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scovery\Kentucky\1 - Kentucky Rate Cases\2021-00214 (2021 Kentucky Rate Case)\MFR Attachments\Originals Converted\"/>
    </mc:Choice>
  </mc:AlternateContent>
  <xr:revisionPtr revIDLastSave="0" documentId="13_ncr:1_{AF1D8C04-740D-4F27-8F04-A2AA04EC5FB8}" xr6:coauthVersionLast="47" xr6:coauthVersionMax="47" xr10:uidLastSave="{00000000-0000-0000-0000-000000000000}"/>
  <bookViews>
    <workbookView xWindow="-120" yWindow="-120" windowWidth="20730" windowHeight="11160" xr2:uid="{1B0CC524-6A41-4384-AEB9-613E90673464}"/>
  </bookViews>
  <sheets>
    <sheet name="Cover C" sheetId="1" r:id="rId1"/>
    <sheet name="C.1" sheetId="2" r:id="rId2"/>
    <sheet name="C.2" sheetId="3" r:id="rId3"/>
    <sheet name="C.2.1 B" sheetId="4" r:id="rId4"/>
    <sheet name="C.2.1 F" sheetId="5" r:id="rId5"/>
    <sheet name="C.2.2 B 09" sheetId="6" r:id="rId6"/>
    <sheet name="C.2.2 B 02" sheetId="7" r:id="rId7"/>
    <sheet name="C.2.2 B 12" sheetId="8" r:id="rId8"/>
    <sheet name="C.2.2 B 91" sheetId="9" r:id="rId9"/>
    <sheet name="C.2.2-F 09" sheetId="10" r:id="rId10"/>
    <sheet name="C.2.2-F 02" sheetId="11" r:id="rId11"/>
    <sheet name="C.2.2-F 12" sheetId="12" r:id="rId12"/>
    <sheet name="C.2.2-F 91" sheetId="13" r:id="rId13"/>
    <sheet name="C.2.3 B" sheetId="14" r:id="rId14"/>
    <sheet name="C.2.3 F" sheetId="15" r:id="rId15"/>
  </sheets>
  <definedNames>
    <definedName name="_Div012">#REF!</definedName>
    <definedName name="_Div02">#REF!</definedName>
    <definedName name="_Div091">#REF!</definedName>
    <definedName name="Case_No._2006_00464">#REF!</definedName>
    <definedName name="csDesignMode">1</definedName>
    <definedName name="Div012Cap">#REF!</definedName>
    <definedName name="Div02Cap">#REF!</definedName>
    <definedName name="Div091Cap">#REF!</definedName>
    <definedName name="Div09cap">#REF!</definedName>
    <definedName name="kytax">#REF!</definedName>
    <definedName name="ltdrate">#REF!</definedName>
    <definedName name="_xlnm.Print_Area" localSheetId="1">'C.1'!$A$1:$J$31</definedName>
    <definedName name="_xlnm.Print_Area" localSheetId="2">'C.2'!$A$1:$O$34</definedName>
    <definedName name="_xlnm.Print_Area" localSheetId="3">'C.2.1 B'!$A$1:$D$183</definedName>
    <definedName name="_xlnm.Print_Area" localSheetId="4">'C.2.1 F'!$A$1:$D$178</definedName>
    <definedName name="_xlnm.Print_Area" localSheetId="6">'C.2.2 B 02'!$A$14:$P$49</definedName>
    <definedName name="_xlnm.Print_Area" localSheetId="5">'C.2.2 B 09'!$A$12:$P$117</definedName>
    <definedName name="_xlnm.Print_Area" localSheetId="7">'C.2.2 B 12'!$A$12:$P$37</definedName>
    <definedName name="_xlnm.Print_Area" localSheetId="8">'C.2.2 B 91'!$A$14:$P$68</definedName>
    <definedName name="_xlnm.Print_Area" localSheetId="10">'C.2.2-F 02'!$A$12:$P$47</definedName>
    <definedName name="_xlnm.Print_Area" localSheetId="9">'C.2.2-F 09'!$A$12:$P$116</definedName>
    <definedName name="_xlnm.Print_Area" localSheetId="11">'C.2.2-F 12'!$A$12:$P$37</definedName>
    <definedName name="_xlnm.Print_Area" localSheetId="12">'C.2.2-F 91'!$A$12:$P$66</definedName>
    <definedName name="_xlnm.Print_Area" localSheetId="13">'C.2.3 B'!$A$1:$O$67</definedName>
    <definedName name="_xlnm.Print_Area" localSheetId="14">'C.2.3 F'!$A$1:$O$68</definedName>
    <definedName name="_xlnm.Print_Area" localSheetId="0">'Cover C'!$A$1:$C$20</definedName>
    <definedName name="_xlnm.Print_Titles" localSheetId="3">'C.2.1 B'!$1:$12</definedName>
    <definedName name="_xlnm.Print_Titles" localSheetId="4">'C.2.1 F'!$1:$12</definedName>
    <definedName name="_xlnm.Print_Titles" localSheetId="6">'C.2.2 B 02'!$1:$11</definedName>
    <definedName name="_xlnm.Print_Titles" localSheetId="5">'C.2.2 B 09'!$1:$11</definedName>
    <definedName name="_xlnm.Print_Titles" localSheetId="7">'C.2.2 B 12'!$1:$11</definedName>
    <definedName name="_xlnm.Print_Titles" localSheetId="8">'C.2.2 B 91'!$1:$11</definedName>
    <definedName name="_xlnm.Print_Titles" localSheetId="10">'C.2.2-F 02'!$1:$11</definedName>
    <definedName name="_xlnm.Print_Titles" localSheetId="9">'C.2.2-F 09'!$1:$11</definedName>
    <definedName name="_xlnm.Print_Titles" localSheetId="11">'C.2.2-F 12'!$1:$11</definedName>
    <definedName name="_xlnm.Print_Titles" localSheetId="12">'C.2.2-F 91'!$1:$11</definedName>
    <definedName name="_xlnm.Print_Titles" localSheetId="13">'C.2.3 B'!$1:$10</definedName>
    <definedName name="_xlnm.Print_Titles" localSheetId="14">'C.2.3 F'!$1:$10</definedName>
    <definedName name="ROR">#REF!</definedName>
    <definedName name="std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6" i="15" l="1"/>
  <c r="K66" i="15"/>
  <c r="J66" i="15"/>
  <c r="H66" i="15"/>
  <c r="F66" i="15"/>
  <c r="N65" i="15"/>
  <c r="M65" i="15"/>
  <c r="L65" i="15"/>
  <c r="K65" i="15"/>
  <c r="J65" i="15"/>
  <c r="I65" i="15"/>
  <c r="H65" i="15"/>
  <c r="G65" i="15"/>
  <c r="F65" i="15"/>
  <c r="E65" i="15"/>
  <c r="D65" i="15"/>
  <c r="D61" i="15"/>
  <c r="E61" i="15" s="1"/>
  <c r="F61" i="15" s="1"/>
  <c r="G61" i="15" s="1"/>
  <c r="H61" i="15" s="1"/>
  <c r="I61" i="15" s="1"/>
  <c r="J61" i="15" s="1"/>
  <c r="K61" i="15" s="1"/>
  <c r="L61" i="15" s="1"/>
  <c r="M61" i="15" s="1"/>
  <c r="N61" i="15" s="1"/>
  <c r="C60" i="15"/>
  <c r="D59" i="15"/>
  <c r="E59" i="15" s="1"/>
  <c r="F59" i="15" s="1"/>
  <c r="G59" i="15" s="1"/>
  <c r="H59" i="15" s="1"/>
  <c r="I59" i="15" s="1"/>
  <c r="J59" i="15" s="1"/>
  <c r="K59" i="15" s="1"/>
  <c r="L59" i="15" s="1"/>
  <c r="M59" i="15" s="1"/>
  <c r="N59" i="15" s="1"/>
  <c r="N51" i="15"/>
  <c r="L51" i="15"/>
  <c r="J51" i="15"/>
  <c r="I51" i="15"/>
  <c r="H51" i="15"/>
  <c r="G51" i="15"/>
  <c r="F51" i="15"/>
  <c r="D51" i="15"/>
  <c r="M51" i="15"/>
  <c r="L50" i="15"/>
  <c r="K50" i="15"/>
  <c r="I50" i="15"/>
  <c r="D50" i="15"/>
  <c r="M38" i="15"/>
  <c r="K38" i="15"/>
  <c r="H38" i="15"/>
  <c r="G38" i="15"/>
  <c r="E38" i="15"/>
  <c r="N37" i="15"/>
  <c r="M37" i="15"/>
  <c r="L37" i="15"/>
  <c r="J37" i="15"/>
  <c r="I37" i="15"/>
  <c r="H37" i="15"/>
  <c r="G37" i="15"/>
  <c r="F37" i="15"/>
  <c r="E37" i="15"/>
  <c r="D37" i="15"/>
  <c r="K37" i="15"/>
  <c r="D32" i="15"/>
  <c r="E32" i="15" s="1"/>
  <c r="F32" i="15" s="1"/>
  <c r="G32" i="15" s="1"/>
  <c r="H32" i="15" s="1"/>
  <c r="I32" i="15" s="1"/>
  <c r="J32" i="15" s="1"/>
  <c r="K32" i="15" s="1"/>
  <c r="L32" i="15" s="1"/>
  <c r="M32" i="15" s="1"/>
  <c r="N32" i="15" s="1"/>
  <c r="N31" i="15"/>
  <c r="F31" i="15"/>
  <c r="D30" i="15"/>
  <c r="O18" i="15"/>
  <c r="M16" i="15"/>
  <c r="H16" i="15"/>
  <c r="E16" i="15"/>
  <c r="A14" i="15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O10" i="15"/>
  <c r="C10" i="15"/>
  <c r="N9" i="15"/>
  <c r="M9" i="15"/>
  <c r="L9" i="15"/>
  <c r="K9" i="15"/>
  <c r="J9" i="15"/>
  <c r="I9" i="15"/>
  <c r="H9" i="15"/>
  <c r="G9" i="15"/>
  <c r="F9" i="15"/>
  <c r="E9" i="15"/>
  <c r="D9" i="15"/>
  <c r="C9" i="15"/>
  <c r="O8" i="15"/>
  <c r="A8" i="15"/>
  <c r="A6" i="15"/>
  <c r="J67" i="14"/>
  <c r="J22" i="14" s="1"/>
  <c r="J62" i="14"/>
  <c r="H62" i="14"/>
  <c r="C61" i="15"/>
  <c r="M62" i="14"/>
  <c r="M67" i="14" s="1"/>
  <c r="M22" i="14" s="1"/>
  <c r="O59" i="14"/>
  <c r="L62" i="14"/>
  <c r="L67" i="14" s="1"/>
  <c r="L22" i="14" s="1"/>
  <c r="C59" i="15"/>
  <c r="D62" i="14"/>
  <c r="O58" i="14"/>
  <c r="I62" i="14"/>
  <c r="I67" i="14" s="1"/>
  <c r="I22" i="14" s="1"/>
  <c r="G62" i="14"/>
  <c r="E62" i="14"/>
  <c r="G52" i="14"/>
  <c r="C52" i="14"/>
  <c r="M47" i="14"/>
  <c r="M52" i="14" s="1"/>
  <c r="M20" i="14" s="1"/>
  <c r="K47" i="14"/>
  <c r="K52" i="14" s="1"/>
  <c r="K20" i="14" s="1"/>
  <c r="I47" i="14"/>
  <c r="E47" i="14"/>
  <c r="C47" i="14"/>
  <c r="C46" i="15"/>
  <c r="D46" i="15" s="1"/>
  <c r="E46" i="15" s="1"/>
  <c r="F46" i="15" s="1"/>
  <c r="G46" i="15" s="1"/>
  <c r="H46" i="15" s="1"/>
  <c r="I46" i="15" s="1"/>
  <c r="J46" i="15" s="1"/>
  <c r="K46" i="15" s="1"/>
  <c r="L46" i="15" s="1"/>
  <c r="M46" i="15" s="1"/>
  <c r="N46" i="15" s="1"/>
  <c r="C45" i="15"/>
  <c r="L47" i="14"/>
  <c r="L52" i="14" s="1"/>
  <c r="L20" i="14" s="1"/>
  <c r="J47" i="14"/>
  <c r="J52" i="14" s="1"/>
  <c r="J20" i="14" s="1"/>
  <c r="H47" i="14"/>
  <c r="G47" i="14"/>
  <c r="F47" i="14"/>
  <c r="D47" i="14"/>
  <c r="H39" i="14"/>
  <c r="E39" i="14"/>
  <c r="D39" i="14"/>
  <c r="J34" i="14"/>
  <c r="J39" i="14" s="1"/>
  <c r="J21" i="14" s="1"/>
  <c r="C33" i="15"/>
  <c r="O32" i="14"/>
  <c r="C32" i="15"/>
  <c r="G34" i="14"/>
  <c r="O31" i="14"/>
  <c r="L31" i="15"/>
  <c r="F34" i="14"/>
  <c r="O30" i="14"/>
  <c r="C30" i="15"/>
  <c r="M34" i="14"/>
  <c r="M39" i="14" s="1"/>
  <c r="M21" i="14" s="1"/>
  <c r="K34" i="14"/>
  <c r="K39" i="14" s="1"/>
  <c r="K21" i="14" s="1"/>
  <c r="I34" i="14"/>
  <c r="I39" i="14" s="1"/>
  <c r="I21" i="14" s="1"/>
  <c r="H34" i="14"/>
  <c r="E34" i="14"/>
  <c r="C34" i="14"/>
  <c r="H67" i="14"/>
  <c r="G67" i="14"/>
  <c r="F67" i="14"/>
  <c r="E67" i="14"/>
  <c r="D67" i="14"/>
  <c r="G39" i="14"/>
  <c r="F39" i="14"/>
  <c r="C39" i="14"/>
  <c r="H52" i="14"/>
  <c r="F52" i="14"/>
  <c r="E52" i="14"/>
  <c r="D52" i="14"/>
  <c r="O19" i="14"/>
  <c r="C24" i="14"/>
  <c r="O17" i="14"/>
  <c r="N16" i="15"/>
  <c r="J16" i="15"/>
  <c r="I16" i="15"/>
  <c r="G16" i="15"/>
  <c r="F16" i="15"/>
  <c r="D16" i="15"/>
  <c r="F24" i="14"/>
  <c r="O15" i="14"/>
  <c r="L16" i="15"/>
  <c r="E24" i="14"/>
  <c r="A13" i="14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O10" i="14"/>
  <c r="C10" i="14"/>
  <c r="N9" i="14"/>
  <c r="M9" i="14"/>
  <c r="L9" i="14"/>
  <c r="K9" i="14"/>
  <c r="J9" i="14"/>
  <c r="I9" i="14"/>
  <c r="H9" i="14"/>
  <c r="G9" i="14"/>
  <c r="F9" i="14"/>
  <c r="E9" i="14"/>
  <c r="D9" i="14"/>
  <c r="C9" i="14"/>
  <c r="A8" i="14"/>
  <c r="A7" i="14"/>
  <c r="A6" i="14"/>
  <c r="E62" i="13"/>
  <c r="F62" i="13" s="1"/>
  <c r="G62" i="13" s="1"/>
  <c r="H62" i="13" s="1"/>
  <c r="I62" i="13" s="1"/>
  <c r="J62" i="13" s="1"/>
  <c r="K62" i="13" s="1"/>
  <c r="L62" i="13" s="1"/>
  <c r="M62" i="13" s="1"/>
  <c r="N62" i="13" s="1"/>
  <c r="O62" i="13" s="1"/>
  <c r="C61" i="13"/>
  <c r="B61" i="13"/>
  <c r="P57" i="13"/>
  <c r="P56" i="13"/>
  <c r="P55" i="13"/>
  <c r="P54" i="13"/>
  <c r="P53" i="13"/>
  <c r="P52" i="13"/>
  <c r="P51" i="13"/>
  <c r="P49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4" i="13"/>
  <c r="P32" i="13"/>
  <c r="P30" i="13"/>
  <c r="P28" i="13"/>
  <c r="P26" i="13"/>
  <c r="P22" i="13"/>
  <c r="P20" i="13"/>
  <c r="P18" i="13"/>
  <c r="A17" i="13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16" i="13"/>
  <c r="N50" i="13"/>
  <c r="N61" i="13" s="1"/>
  <c r="F50" i="13"/>
  <c r="F61" i="13" s="1"/>
  <c r="P14" i="13"/>
  <c r="A14" i="13"/>
  <c r="A15" i="13" s="1"/>
  <c r="A13" i="13"/>
  <c r="P12" i="13"/>
  <c r="P10" i="13"/>
  <c r="D10" i="13"/>
  <c r="P8" i="13"/>
  <c r="A8" i="13"/>
  <c r="A6" i="13"/>
  <c r="I33" i="12"/>
  <c r="J33" i="12" s="1"/>
  <c r="K33" i="12" s="1"/>
  <c r="L33" i="12" s="1"/>
  <c r="M33" i="12" s="1"/>
  <c r="N33" i="12" s="1"/>
  <c r="O33" i="12" s="1"/>
  <c r="H33" i="12"/>
  <c r="F33" i="12"/>
  <c r="G33" i="12" s="1"/>
  <c r="E33" i="12"/>
  <c r="C32" i="12"/>
  <c r="B32" i="12"/>
  <c r="P27" i="12"/>
  <c r="P26" i="12"/>
  <c r="P25" i="12"/>
  <c r="P24" i="12"/>
  <c r="P23" i="12"/>
  <c r="P21" i="12"/>
  <c r="O22" i="12"/>
  <c r="P19" i="12"/>
  <c r="P18" i="12"/>
  <c r="P17" i="12"/>
  <c r="N22" i="12"/>
  <c r="E22" i="12"/>
  <c r="P15" i="12"/>
  <c r="O30" i="12"/>
  <c r="J22" i="12"/>
  <c r="G22" i="12"/>
  <c r="E30" i="12"/>
  <c r="P13" i="12"/>
  <c r="A13" i="12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P12" i="12"/>
  <c r="P10" i="12"/>
  <c r="D10" i="12"/>
  <c r="P8" i="12"/>
  <c r="A8" i="12"/>
  <c r="A6" i="12"/>
  <c r="E43" i="11"/>
  <c r="F43" i="11" s="1"/>
  <c r="G43" i="11" s="1"/>
  <c r="H43" i="11" s="1"/>
  <c r="I43" i="11" s="1"/>
  <c r="J43" i="11" s="1"/>
  <c r="K43" i="11" s="1"/>
  <c r="L43" i="11" s="1"/>
  <c r="M43" i="11" s="1"/>
  <c r="N43" i="11" s="1"/>
  <c r="O43" i="11" s="1"/>
  <c r="C42" i="11"/>
  <c r="B42" i="11"/>
  <c r="P39" i="11"/>
  <c r="P38" i="11"/>
  <c r="P37" i="11"/>
  <c r="P36" i="11"/>
  <c r="P35" i="11"/>
  <c r="P34" i="11"/>
  <c r="P33" i="11"/>
  <c r="P32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O31" i="11"/>
  <c r="M31" i="11"/>
  <c r="G31" i="11"/>
  <c r="E31" i="11"/>
  <c r="P15" i="11"/>
  <c r="N31" i="11"/>
  <c r="L31" i="11"/>
  <c r="I31" i="11"/>
  <c r="H31" i="11"/>
  <c r="F31" i="11"/>
  <c r="D31" i="11"/>
  <c r="A14" i="1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P13" i="11"/>
  <c r="A13" i="11"/>
  <c r="P12" i="11"/>
  <c r="P10" i="11"/>
  <c r="D10" i="11"/>
  <c r="P8" i="11"/>
  <c r="A8" i="11"/>
  <c r="A6" i="11"/>
  <c r="P111" i="10"/>
  <c r="P110" i="10"/>
  <c r="P109" i="10"/>
  <c r="P108" i="10"/>
  <c r="P107" i="10"/>
  <c r="P106" i="10"/>
  <c r="P105" i="10"/>
  <c r="P104" i="10"/>
  <c r="P103" i="10"/>
  <c r="P101" i="10"/>
  <c r="P100" i="10"/>
  <c r="P99" i="10"/>
  <c r="P98" i="10"/>
  <c r="P97" i="10"/>
  <c r="P96" i="10"/>
  <c r="P95" i="10"/>
  <c r="P93" i="10"/>
  <c r="P92" i="10"/>
  <c r="P91" i="10"/>
  <c r="P90" i="10"/>
  <c r="P89" i="10"/>
  <c r="P88" i="10"/>
  <c r="P87" i="10"/>
  <c r="P86" i="10"/>
  <c r="P85" i="10"/>
  <c r="P84" i="10"/>
  <c r="P82" i="10"/>
  <c r="P80" i="10"/>
  <c r="P78" i="10"/>
  <c r="P76" i="10"/>
  <c r="P75" i="10"/>
  <c r="P72" i="10"/>
  <c r="P70" i="10"/>
  <c r="P68" i="10"/>
  <c r="P67" i="10"/>
  <c r="P66" i="10"/>
  <c r="P64" i="10"/>
  <c r="P61" i="10"/>
  <c r="P60" i="10"/>
  <c r="P58" i="10"/>
  <c r="P57" i="10"/>
  <c r="P56" i="10"/>
  <c r="P55" i="10"/>
  <c r="P53" i="10"/>
  <c r="P52" i="10"/>
  <c r="P48" i="10"/>
  <c r="P47" i="10"/>
  <c r="P44" i="10"/>
  <c r="P40" i="10"/>
  <c r="P38" i="10"/>
  <c r="P36" i="10"/>
  <c r="P34" i="10"/>
  <c r="P32" i="10"/>
  <c r="P30" i="10"/>
  <c r="P29" i="10"/>
  <c r="P27" i="10"/>
  <c r="P26" i="10"/>
  <c r="L94" i="10"/>
  <c r="I94" i="10"/>
  <c r="H94" i="10"/>
  <c r="D94" i="10"/>
  <c r="A14" i="10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3" i="10"/>
  <c r="F10" i="10"/>
  <c r="E10" i="10"/>
  <c r="D10" i="15" s="1"/>
  <c r="A8" i="10"/>
  <c r="A6" i="10"/>
  <c r="C63" i="9"/>
  <c r="B63" i="9"/>
  <c r="I61" i="9"/>
  <c r="I59" i="9"/>
  <c r="H59" i="9"/>
  <c r="P59" i="9" s="1"/>
  <c r="G59" i="9"/>
  <c r="F59" i="9"/>
  <c r="E59" i="9"/>
  <c r="D59" i="9"/>
  <c r="P58" i="9"/>
  <c r="I57" i="9"/>
  <c r="H57" i="9"/>
  <c r="G57" i="9"/>
  <c r="F57" i="9"/>
  <c r="E57" i="9"/>
  <c r="D57" i="9"/>
  <c r="P57" i="9" s="1"/>
  <c r="P56" i="9"/>
  <c r="P55" i="9"/>
  <c r="P54" i="9"/>
  <c r="P53" i="9"/>
  <c r="I72" i="9"/>
  <c r="I74" i="9" s="1"/>
  <c r="H72" i="9"/>
  <c r="H74" i="9" s="1"/>
  <c r="G72" i="9"/>
  <c r="G74" i="9" s="1"/>
  <c r="F72" i="9"/>
  <c r="F74" i="9" s="1"/>
  <c r="E72" i="9"/>
  <c r="E74" i="9" s="1"/>
  <c r="D72" i="9"/>
  <c r="D74" i="9" s="1"/>
  <c r="P51" i="9"/>
  <c r="P50" i="9"/>
  <c r="P49" i="9"/>
  <c r="P48" i="9"/>
  <c r="P47" i="9"/>
  <c r="P46" i="9"/>
  <c r="P45" i="9"/>
  <c r="I44" i="9"/>
  <c r="H44" i="9"/>
  <c r="G44" i="9"/>
  <c r="F44" i="9"/>
  <c r="E44" i="9"/>
  <c r="D44" i="9"/>
  <c r="P44" i="9" s="1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I29" i="9"/>
  <c r="H29" i="9"/>
  <c r="G29" i="9"/>
  <c r="F29" i="9"/>
  <c r="E29" i="9"/>
  <c r="D29" i="9"/>
  <c r="P29" i="9" s="1"/>
  <c r="P28" i="9"/>
  <c r="I27" i="9"/>
  <c r="H27" i="9"/>
  <c r="P27" i="9" s="1"/>
  <c r="G27" i="9"/>
  <c r="F27" i="9"/>
  <c r="E27" i="9"/>
  <c r="D27" i="9"/>
  <c r="P26" i="9"/>
  <c r="P25" i="9"/>
  <c r="P24" i="9"/>
  <c r="P23" i="9"/>
  <c r="P22" i="9"/>
  <c r="I21" i="9"/>
  <c r="H21" i="9"/>
  <c r="G21" i="9"/>
  <c r="F21" i="9"/>
  <c r="E21" i="9"/>
  <c r="D21" i="9"/>
  <c r="P21" i="9" s="1"/>
  <c r="P20" i="9"/>
  <c r="P19" i="9"/>
  <c r="P18" i="9"/>
  <c r="P17" i="9"/>
  <c r="O16" i="9"/>
  <c r="N16" i="9"/>
  <c r="M16" i="9"/>
  <c r="L16" i="9"/>
  <c r="K16" i="9"/>
  <c r="J16" i="9"/>
  <c r="J52" i="9" s="1"/>
  <c r="P16" i="9"/>
  <c r="O15" i="9"/>
  <c r="N15" i="9"/>
  <c r="M15" i="9"/>
  <c r="L15" i="9"/>
  <c r="K15" i="9"/>
  <c r="J15" i="9"/>
  <c r="P15" i="9"/>
  <c r="A15" i="9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O14" i="9"/>
  <c r="N14" i="9"/>
  <c r="M14" i="9"/>
  <c r="L14" i="9"/>
  <c r="K14" i="9"/>
  <c r="J14" i="9"/>
  <c r="H61" i="9"/>
  <c r="H63" i="9" s="1"/>
  <c r="G61" i="9"/>
  <c r="G63" i="9" s="1"/>
  <c r="F61" i="9"/>
  <c r="F63" i="9" s="1"/>
  <c r="E61" i="9"/>
  <c r="E63" i="9" s="1"/>
  <c r="E64" i="9" s="1"/>
  <c r="D61" i="9"/>
  <c r="D63" i="9" s="1"/>
  <c r="P13" i="9"/>
  <c r="P12" i="9"/>
  <c r="P10" i="9"/>
  <c r="D10" i="9"/>
  <c r="O9" i="9"/>
  <c r="N9" i="9"/>
  <c r="M9" i="9"/>
  <c r="L9" i="9"/>
  <c r="K9" i="9"/>
  <c r="J9" i="9"/>
  <c r="I9" i="9"/>
  <c r="H9" i="9"/>
  <c r="G9" i="9"/>
  <c r="F9" i="9"/>
  <c r="E9" i="9"/>
  <c r="D9" i="9"/>
  <c r="P8" i="9"/>
  <c r="H32" i="8"/>
  <c r="H33" i="8" s="1"/>
  <c r="C32" i="8"/>
  <c r="B32" i="8"/>
  <c r="I30" i="8"/>
  <c r="P28" i="8"/>
  <c r="P27" i="8"/>
  <c r="P26" i="8"/>
  <c r="P25" i="8"/>
  <c r="P24" i="8"/>
  <c r="P23" i="8"/>
  <c r="I32" i="8"/>
  <c r="I33" i="8" s="1"/>
  <c r="G32" i="8"/>
  <c r="F32" i="8"/>
  <c r="E32" i="8"/>
  <c r="E33" i="8" s="1"/>
  <c r="D32" i="8"/>
  <c r="P21" i="8"/>
  <c r="P20" i="8"/>
  <c r="P19" i="8"/>
  <c r="I18" i="8"/>
  <c r="H18" i="8"/>
  <c r="G18" i="8"/>
  <c r="F18" i="8"/>
  <c r="E18" i="8"/>
  <c r="D18" i="8"/>
  <c r="P18" i="8" s="1"/>
  <c r="P17" i="8"/>
  <c r="I16" i="8"/>
  <c r="H16" i="8"/>
  <c r="P16" i="8" s="1"/>
  <c r="G16" i="8"/>
  <c r="F16" i="8"/>
  <c r="E16" i="8"/>
  <c r="D16" i="8"/>
  <c r="P15" i="8"/>
  <c r="K22" i="8"/>
  <c r="J22" i="8"/>
  <c r="P14" i="8"/>
  <c r="P13" i="8"/>
  <c r="A13" i="8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H30" i="8"/>
  <c r="G30" i="8"/>
  <c r="F30" i="8"/>
  <c r="E30" i="8"/>
  <c r="P12" i="8"/>
  <c r="P10" i="8"/>
  <c r="D10" i="8"/>
  <c r="O9" i="8"/>
  <c r="N9" i="8"/>
  <c r="M9" i="8"/>
  <c r="L9" i="8"/>
  <c r="K9" i="8"/>
  <c r="J9" i="8"/>
  <c r="I9" i="8"/>
  <c r="H9" i="8"/>
  <c r="G9" i="8"/>
  <c r="F9" i="8"/>
  <c r="E9" i="8"/>
  <c r="D9" i="8"/>
  <c r="P8" i="8"/>
  <c r="D61" i="7"/>
  <c r="E45" i="7"/>
  <c r="D45" i="7"/>
  <c r="D44" i="7"/>
  <c r="D60" i="7" s="1"/>
  <c r="C44" i="7"/>
  <c r="B44" i="7"/>
  <c r="P41" i="7"/>
  <c r="P40" i="7"/>
  <c r="P39" i="7"/>
  <c r="I38" i="7"/>
  <c r="H38" i="7"/>
  <c r="G38" i="7"/>
  <c r="F38" i="7"/>
  <c r="E38" i="7"/>
  <c r="D38" i="7"/>
  <c r="P38" i="7" s="1"/>
  <c r="P37" i="7"/>
  <c r="I44" i="7"/>
  <c r="I60" i="7" s="1"/>
  <c r="H44" i="7"/>
  <c r="H60" i="7" s="1"/>
  <c r="G44" i="7"/>
  <c r="F44" i="7"/>
  <c r="F60" i="7" s="1"/>
  <c r="E44" i="7"/>
  <c r="E60" i="7" s="1"/>
  <c r="P32" i="7"/>
  <c r="I30" i="7"/>
  <c r="H30" i="7"/>
  <c r="G30" i="7"/>
  <c r="F30" i="7"/>
  <c r="E30" i="7"/>
  <c r="D30" i="7"/>
  <c r="P30" i="7" s="1"/>
  <c r="P28" i="7"/>
  <c r="I27" i="7"/>
  <c r="H27" i="7"/>
  <c r="G27" i="7"/>
  <c r="F27" i="7"/>
  <c r="E27" i="7"/>
  <c r="D27" i="7"/>
  <c r="P27" i="7" s="1"/>
  <c r="P26" i="7"/>
  <c r="I24" i="7"/>
  <c r="H24" i="7"/>
  <c r="G24" i="7"/>
  <c r="F24" i="7"/>
  <c r="E24" i="7"/>
  <c r="D24" i="7"/>
  <c r="I23" i="7"/>
  <c r="H23" i="7"/>
  <c r="G23" i="7"/>
  <c r="F23" i="7"/>
  <c r="E23" i="7"/>
  <c r="D23" i="7"/>
  <c r="P23" i="7" s="1"/>
  <c r="A22" i="7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I20" i="7"/>
  <c r="H20" i="7"/>
  <c r="G20" i="7"/>
  <c r="F20" i="7"/>
  <c r="E20" i="7"/>
  <c r="D20" i="7"/>
  <c r="P18" i="7"/>
  <c r="A18" i="7"/>
  <c r="A19" i="7" s="1"/>
  <c r="A20" i="7" s="1"/>
  <c r="A21" i="7" s="1"/>
  <c r="P17" i="7"/>
  <c r="A17" i="7"/>
  <c r="I16" i="7"/>
  <c r="H16" i="7"/>
  <c r="G16" i="7"/>
  <c r="F16" i="7"/>
  <c r="E16" i="7"/>
  <c r="D16" i="7"/>
  <c r="P16" i="7" s="1"/>
  <c r="A16" i="7"/>
  <c r="O15" i="7"/>
  <c r="N15" i="7"/>
  <c r="M15" i="7"/>
  <c r="L15" i="7"/>
  <c r="K15" i="7"/>
  <c r="J15" i="7"/>
  <c r="P15" i="7"/>
  <c r="A15" i="7"/>
  <c r="O14" i="7"/>
  <c r="N14" i="7"/>
  <c r="N33" i="7" s="1"/>
  <c r="N44" i="7" s="1"/>
  <c r="M14" i="7"/>
  <c r="L14" i="7"/>
  <c r="L33" i="7" s="1"/>
  <c r="L44" i="7" s="1"/>
  <c r="K14" i="7"/>
  <c r="J14" i="7"/>
  <c r="H42" i="7"/>
  <c r="F42" i="7"/>
  <c r="P13" i="7"/>
  <c r="P12" i="7"/>
  <c r="P10" i="7"/>
  <c r="D10" i="7"/>
  <c r="O9" i="7"/>
  <c r="N9" i="7"/>
  <c r="M9" i="7"/>
  <c r="L9" i="7"/>
  <c r="K9" i="7"/>
  <c r="J9" i="7"/>
  <c r="I9" i="7"/>
  <c r="H9" i="7"/>
  <c r="G9" i="7"/>
  <c r="F9" i="7"/>
  <c r="E9" i="7"/>
  <c r="D9" i="7"/>
  <c r="P8" i="7"/>
  <c r="I111" i="6"/>
  <c r="H111" i="6"/>
  <c r="G111" i="6"/>
  <c r="F111" i="6"/>
  <c r="E111" i="6"/>
  <c r="D111" i="6"/>
  <c r="P109" i="6"/>
  <c r="P107" i="6"/>
  <c r="P105" i="6"/>
  <c r="P104" i="6"/>
  <c r="P99" i="6"/>
  <c r="P98" i="6"/>
  <c r="P93" i="6"/>
  <c r="I91" i="6"/>
  <c r="H91" i="6"/>
  <c r="G91" i="6"/>
  <c r="F91" i="6"/>
  <c r="E91" i="6"/>
  <c r="D91" i="6"/>
  <c r="P89" i="6"/>
  <c r="I86" i="6"/>
  <c r="H86" i="6"/>
  <c r="G86" i="6"/>
  <c r="F86" i="6"/>
  <c r="E86" i="6"/>
  <c r="D86" i="6"/>
  <c r="P85" i="6"/>
  <c r="D126" i="4" s="1"/>
  <c r="P84" i="6"/>
  <c r="D125" i="4" s="1"/>
  <c r="P83" i="6"/>
  <c r="D124" i="4" s="1"/>
  <c r="P82" i="6"/>
  <c r="D123" i="4" s="1"/>
  <c r="P81" i="6"/>
  <c r="D119" i="4" s="1"/>
  <c r="P80" i="6"/>
  <c r="D118" i="4" s="1"/>
  <c r="P79" i="6"/>
  <c r="D117" i="4" s="1"/>
  <c r="P78" i="6"/>
  <c r="D116" i="4" s="1"/>
  <c r="P77" i="6"/>
  <c r="D115" i="4" s="1"/>
  <c r="P76" i="6"/>
  <c r="D114" i="4" s="1"/>
  <c r="P75" i="6"/>
  <c r="D113" i="4" s="1"/>
  <c r="P74" i="6"/>
  <c r="D112" i="4" s="1"/>
  <c r="I73" i="6"/>
  <c r="H73" i="6"/>
  <c r="G73" i="6"/>
  <c r="F73" i="6"/>
  <c r="E73" i="6"/>
  <c r="D73" i="6"/>
  <c r="P73" i="6" s="1"/>
  <c r="P72" i="6"/>
  <c r="D110" i="4" s="1"/>
  <c r="P71" i="6"/>
  <c r="D109" i="4" s="1"/>
  <c r="P70" i="6"/>
  <c r="D108" i="4" s="1"/>
  <c r="I69" i="6"/>
  <c r="H69" i="6"/>
  <c r="G69" i="6"/>
  <c r="F69" i="6"/>
  <c r="E69" i="6"/>
  <c r="D69" i="6"/>
  <c r="P69" i="6" s="1"/>
  <c r="I68" i="6"/>
  <c r="H68" i="6"/>
  <c r="G68" i="6"/>
  <c r="F68" i="6"/>
  <c r="E68" i="6"/>
  <c r="D68" i="6"/>
  <c r="P68" i="6" s="1"/>
  <c r="P67" i="6"/>
  <c r="P66" i="6"/>
  <c r="D72" i="4" s="1"/>
  <c r="P65" i="6"/>
  <c r="P64" i="6"/>
  <c r="I63" i="6"/>
  <c r="H63" i="6"/>
  <c r="G63" i="6"/>
  <c r="F63" i="6"/>
  <c r="E63" i="6"/>
  <c r="D63" i="6"/>
  <c r="P63" i="6" s="1"/>
  <c r="P62" i="6"/>
  <c r="D68" i="4" s="1"/>
  <c r="D75" i="4" s="1"/>
  <c r="P61" i="6"/>
  <c r="I60" i="6"/>
  <c r="H60" i="6"/>
  <c r="G60" i="6"/>
  <c r="F60" i="6"/>
  <c r="E60" i="6"/>
  <c r="D60" i="6"/>
  <c r="P60" i="6" s="1"/>
  <c r="D63" i="4" s="1"/>
  <c r="I59" i="6"/>
  <c r="H59" i="6"/>
  <c r="G59" i="6"/>
  <c r="F59" i="6"/>
  <c r="E59" i="6"/>
  <c r="D59" i="6"/>
  <c r="P59" i="6" s="1"/>
  <c r="I58" i="6"/>
  <c r="H58" i="6"/>
  <c r="G58" i="6"/>
  <c r="F58" i="6"/>
  <c r="E58" i="6"/>
  <c r="D58" i="6"/>
  <c r="P58" i="6" s="1"/>
  <c r="P57" i="6"/>
  <c r="P56" i="6"/>
  <c r="D58" i="4" s="1"/>
  <c r="D65" i="4" s="1"/>
  <c r="P55" i="6"/>
  <c r="P54" i="6"/>
  <c r="D53" i="4" s="1"/>
  <c r="P53" i="6"/>
  <c r="P52" i="6"/>
  <c r="P51" i="6"/>
  <c r="P50" i="6"/>
  <c r="D49" i="4" s="1"/>
  <c r="P49" i="6"/>
  <c r="P48" i="6"/>
  <c r="P47" i="6"/>
  <c r="P46" i="6"/>
  <c r="D104" i="4" s="1"/>
  <c r="P45" i="6"/>
  <c r="D102" i="4" s="1"/>
  <c r="P44" i="6"/>
  <c r="D100" i="4" s="1"/>
  <c r="P43" i="6"/>
  <c r="D99" i="4" s="1"/>
  <c r="P42" i="6"/>
  <c r="D98" i="4" s="1"/>
  <c r="P41" i="6"/>
  <c r="D97" i="4" s="1"/>
  <c r="P40" i="6"/>
  <c r="D96" i="4" s="1"/>
  <c r="P39" i="6"/>
  <c r="D94" i="4" s="1"/>
  <c r="P38" i="6"/>
  <c r="D93" i="4" s="1"/>
  <c r="P37" i="6"/>
  <c r="D92" i="4" s="1"/>
  <c r="P36" i="6"/>
  <c r="D91" i="4" s="1"/>
  <c r="P35" i="6"/>
  <c r="P34" i="6"/>
  <c r="D88" i="4" s="1"/>
  <c r="P33" i="6"/>
  <c r="I32" i="6"/>
  <c r="H32" i="6"/>
  <c r="G32" i="6"/>
  <c r="F32" i="6"/>
  <c r="E32" i="6"/>
  <c r="D32" i="6"/>
  <c r="P32" i="6" s="1"/>
  <c r="D86" i="4" s="1"/>
  <c r="I31" i="6"/>
  <c r="H31" i="6"/>
  <c r="G31" i="6"/>
  <c r="F31" i="6"/>
  <c r="E31" i="6"/>
  <c r="D31" i="6"/>
  <c r="P31" i="6" s="1"/>
  <c r="I30" i="6"/>
  <c r="I123" i="6" s="1"/>
  <c r="I125" i="6" s="1"/>
  <c r="H30" i="6"/>
  <c r="H123" i="6" s="1"/>
  <c r="H125" i="6" s="1"/>
  <c r="G30" i="6"/>
  <c r="G123" i="6" s="1"/>
  <c r="G125" i="6" s="1"/>
  <c r="F30" i="6"/>
  <c r="F123" i="6" s="1"/>
  <c r="F125" i="6" s="1"/>
  <c r="E30" i="6"/>
  <c r="D30" i="6"/>
  <c r="D123" i="6" s="1"/>
  <c r="D125" i="6" s="1"/>
  <c r="P29" i="6"/>
  <c r="I28" i="6"/>
  <c r="H28" i="6"/>
  <c r="G28" i="6"/>
  <c r="F28" i="6"/>
  <c r="E28" i="6"/>
  <c r="D28" i="6"/>
  <c r="P28" i="6" s="1"/>
  <c r="P27" i="6"/>
  <c r="P26" i="6"/>
  <c r="P25" i="6"/>
  <c r="P24" i="6"/>
  <c r="P23" i="6"/>
  <c r="P22" i="6"/>
  <c r="P21" i="6"/>
  <c r="P20" i="6"/>
  <c r="D18" i="4" s="1"/>
  <c r="P19" i="6"/>
  <c r="P18" i="6"/>
  <c r="P17" i="6"/>
  <c r="J15" i="6"/>
  <c r="K15" i="6" s="1"/>
  <c r="L15" i="6" s="1"/>
  <c r="M15" i="6" s="1"/>
  <c r="N15" i="6" s="1"/>
  <c r="O15" i="6" s="1"/>
  <c r="D15" i="10" s="1"/>
  <c r="P15" i="6"/>
  <c r="D177" i="4" s="1"/>
  <c r="H113" i="6"/>
  <c r="G113" i="6"/>
  <c r="F113" i="6"/>
  <c r="E113" i="6"/>
  <c r="D113" i="6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E10" i="6"/>
  <c r="P8" i="6"/>
  <c r="P8" i="10" s="1"/>
  <c r="A8" i="6"/>
  <c r="A7" i="6"/>
  <c r="A6" i="6"/>
  <c r="D167" i="5"/>
  <c r="D166" i="5"/>
  <c r="D162" i="5"/>
  <c r="D161" i="5"/>
  <c r="D160" i="5"/>
  <c r="D159" i="5"/>
  <c r="D158" i="5"/>
  <c r="D157" i="5"/>
  <c r="D156" i="5"/>
  <c r="D155" i="5"/>
  <c r="D153" i="5"/>
  <c r="D152" i="5"/>
  <c r="D147" i="5"/>
  <c r="D146" i="5"/>
  <c r="D145" i="5"/>
  <c r="D149" i="5" s="1"/>
  <c r="D142" i="5"/>
  <c r="D141" i="5"/>
  <c r="D140" i="5"/>
  <c r="D133" i="5"/>
  <c r="D132" i="5"/>
  <c r="D131" i="5"/>
  <c r="D126" i="5"/>
  <c r="D125" i="5"/>
  <c r="D124" i="5"/>
  <c r="D123" i="5"/>
  <c r="D122" i="5"/>
  <c r="D121" i="5"/>
  <c r="D120" i="5"/>
  <c r="D118" i="5"/>
  <c r="D113" i="5"/>
  <c r="D111" i="5"/>
  <c r="D109" i="5"/>
  <c r="D108" i="5"/>
  <c r="D105" i="5"/>
  <c r="D103" i="5"/>
  <c r="D95" i="5"/>
  <c r="D91" i="5"/>
  <c r="D88" i="5"/>
  <c r="D86" i="5"/>
  <c r="D83" i="5"/>
  <c r="D81" i="5"/>
  <c r="D75" i="5"/>
  <c r="D74" i="5"/>
  <c r="D67" i="5"/>
  <c r="D65" i="5"/>
  <c r="D59" i="5"/>
  <c r="D58" i="5"/>
  <c r="D56" i="5"/>
  <c r="D55" i="5"/>
  <c r="D53" i="5"/>
  <c r="D49" i="5"/>
  <c r="D47" i="5"/>
  <c r="D46" i="5"/>
  <c r="D42" i="5"/>
  <c r="D40" i="5"/>
  <c r="D38" i="5"/>
  <c r="D32" i="5"/>
  <c r="D24" i="5"/>
  <c r="D23" i="5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D8" i="5"/>
  <c r="A7" i="5"/>
  <c r="D166" i="4"/>
  <c r="D164" i="4"/>
  <c r="D162" i="4"/>
  <c r="D161" i="4"/>
  <c r="D152" i="4"/>
  <c r="D151" i="4"/>
  <c r="D138" i="4"/>
  <c r="D130" i="4"/>
  <c r="D111" i="4"/>
  <c r="D90" i="4"/>
  <c r="D87" i="4"/>
  <c r="D81" i="4"/>
  <c r="D80" i="4"/>
  <c r="D79" i="4"/>
  <c r="D83" i="4" s="1"/>
  <c r="D71" i="4"/>
  <c r="D70" i="4"/>
  <c r="D69" i="4"/>
  <c r="D64" i="4"/>
  <c r="D62" i="4"/>
  <c r="D61" i="4"/>
  <c r="D60" i="4"/>
  <c r="D54" i="4"/>
  <c r="D52" i="4"/>
  <c r="D51" i="4"/>
  <c r="D50" i="4"/>
  <c r="D48" i="4"/>
  <c r="D47" i="4"/>
  <c r="D55" i="4" s="1"/>
  <c r="D19" i="3" s="1"/>
  <c r="D45" i="4"/>
  <c r="D43" i="4"/>
  <c r="D38" i="4"/>
  <c r="D30" i="4"/>
  <c r="D29" i="4"/>
  <c r="D28" i="4"/>
  <c r="D27" i="4"/>
  <c r="D26" i="4"/>
  <c r="D31" i="4" s="1"/>
  <c r="D22" i="4"/>
  <c r="D21" i="4"/>
  <c r="D20" i="4"/>
  <c r="D19" i="4"/>
  <c r="D17" i="4"/>
  <c r="D16" i="4"/>
  <c r="D15" i="4"/>
  <c r="A15" i="4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4" i="4"/>
  <c r="D8" i="4"/>
  <c r="H31" i="3"/>
  <c r="H33" i="3" s="1"/>
  <c r="D28" i="3"/>
  <c r="K24" i="3"/>
  <c r="O24" i="3" s="1"/>
  <c r="O23" i="3"/>
  <c r="K23" i="3"/>
  <c r="O9" i="3"/>
  <c r="A9" i="3"/>
  <c r="A8" i="3"/>
  <c r="A7" i="3"/>
  <c r="D23" i="4" l="1"/>
  <c r="D33" i="4" s="1"/>
  <c r="D105" i="4"/>
  <c r="D17" i="3" s="1"/>
  <c r="D20" i="3"/>
  <c r="D120" i="4"/>
  <c r="P15" i="10"/>
  <c r="E15" i="10"/>
  <c r="F15" i="10" s="1"/>
  <c r="G15" i="10" s="1"/>
  <c r="H15" i="10" s="1"/>
  <c r="I15" i="10" s="1"/>
  <c r="J15" i="10" s="1"/>
  <c r="K15" i="10" s="1"/>
  <c r="L15" i="10" s="1"/>
  <c r="M15" i="10" s="1"/>
  <c r="N15" i="10" s="1"/>
  <c r="O15" i="10" s="1"/>
  <c r="A8" i="7"/>
  <c r="A8" i="8"/>
  <c r="A8" i="9"/>
  <c r="P14" i="6"/>
  <c r="D176" i="4" s="1"/>
  <c r="D26" i="3" s="1"/>
  <c r="D20" i="2" s="1"/>
  <c r="P92" i="6"/>
  <c r="D137" i="4" s="1"/>
  <c r="P101" i="6"/>
  <c r="D158" i="4" s="1"/>
  <c r="N60" i="7"/>
  <c r="N46" i="7"/>
  <c r="P29" i="7"/>
  <c r="P34" i="7"/>
  <c r="P36" i="7"/>
  <c r="I45" i="7"/>
  <c r="I113" i="6"/>
  <c r="P90" i="6"/>
  <c r="D131" i="4" s="1"/>
  <c r="P97" i="6"/>
  <c r="D150" i="4" s="1"/>
  <c r="D154" i="4" s="1"/>
  <c r="D24" i="3" s="1"/>
  <c r="F24" i="3" s="1"/>
  <c r="P106" i="6"/>
  <c r="D163" i="4" s="1"/>
  <c r="P108" i="6"/>
  <c r="D165" i="4" s="1"/>
  <c r="G42" i="7"/>
  <c r="O33" i="7"/>
  <c r="O44" i="7" s="1"/>
  <c r="P31" i="7"/>
  <c r="J61" i="9"/>
  <c r="F64" i="9"/>
  <c r="A7" i="15"/>
  <c r="A7" i="10"/>
  <c r="A7" i="13"/>
  <c r="A7" i="12"/>
  <c r="A7" i="11"/>
  <c r="D10" i="14"/>
  <c r="E10" i="9"/>
  <c r="P30" i="6"/>
  <c r="P87" i="6"/>
  <c r="D128" i="4" s="1"/>
  <c r="P94" i="6"/>
  <c r="D139" i="4" s="1"/>
  <c r="P96" i="6"/>
  <c r="D146" i="4" s="1"/>
  <c r="P110" i="6"/>
  <c r="D167" i="4" s="1"/>
  <c r="P20" i="7"/>
  <c r="E61" i="7"/>
  <c r="J72" i="9"/>
  <c r="J74" i="9" s="1"/>
  <c r="J63" i="9"/>
  <c r="J65" i="9" s="1"/>
  <c r="G64" i="9"/>
  <c r="F10" i="6"/>
  <c r="P12" i="6"/>
  <c r="I42" i="7"/>
  <c r="P22" i="7"/>
  <c r="P24" i="7"/>
  <c r="F61" i="7"/>
  <c r="N61" i="7"/>
  <c r="H64" i="9"/>
  <c r="P91" i="6"/>
  <c r="D136" i="4" s="1"/>
  <c r="D140" i="4" s="1"/>
  <c r="D22" i="3" s="1"/>
  <c r="P100" i="6"/>
  <c r="D157" i="4" s="1"/>
  <c r="P103" i="6"/>
  <c r="D160" i="4" s="1"/>
  <c r="G45" i="7"/>
  <c r="G60" i="7"/>
  <c r="P35" i="7"/>
  <c r="G61" i="7"/>
  <c r="K33" i="7"/>
  <c r="K42" i="7"/>
  <c r="K44" i="7" s="1"/>
  <c r="H61" i="7"/>
  <c r="A6" i="7"/>
  <c r="A6" i="8"/>
  <c r="A6" i="9"/>
  <c r="P88" i="6"/>
  <c r="D129" i="4" s="1"/>
  <c r="P95" i="6"/>
  <c r="D145" i="4" s="1"/>
  <c r="D147" i="4" s="1"/>
  <c r="D23" i="3" s="1"/>
  <c r="F23" i="3" s="1"/>
  <c r="P111" i="6"/>
  <c r="D171" i="4" s="1"/>
  <c r="D172" i="4" s="1"/>
  <c r="P14" i="7"/>
  <c r="L60" i="7"/>
  <c r="L61" i="7" s="1"/>
  <c r="L46" i="7"/>
  <c r="P19" i="7"/>
  <c r="P21" i="7"/>
  <c r="I61" i="7"/>
  <c r="F33" i="8"/>
  <c r="A7" i="7"/>
  <c r="A7" i="8"/>
  <c r="A7" i="9"/>
  <c r="E123" i="6"/>
  <c r="E125" i="6" s="1"/>
  <c r="P86" i="6"/>
  <c r="D127" i="4" s="1"/>
  <c r="D133" i="4" s="1"/>
  <c r="E42" i="7"/>
  <c r="M33" i="7"/>
  <c r="M44" i="7" s="1"/>
  <c r="P25" i="7"/>
  <c r="H45" i="7"/>
  <c r="G33" i="8"/>
  <c r="L22" i="8"/>
  <c r="L32" i="8" s="1"/>
  <c r="L34" i="8" s="1"/>
  <c r="F10" i="13"/>
  <c r="E10" i="13"/>
  <c r="E10" i="12"/>
  <c r="E10" i="15"/>
  <c r="F10" i="11"/>
  <c r="E10" i="11"/>
  <c r="F10" i="12"/>
  <c r="H52" i="11"/>
  <c r="H54" i="11" s="1"/>
  <c r="H42" i="11"/>
  <c r="H44" i="11" s="1"/>
  <c r="J33" i="7"/>
  <c r="P33" i="7" s="1"/>
  <c r="D42" i="7"/>
  <c r="L42" i="7"/>
  <c r="M22" i="8"/>
  <c r="M32" i="8" s="1"/>
  <c r="M34" i="8" s="1"/>
  <c r="J30" i="8"/>
  <c r="J32" i="8" s="1"/>
  <c r="J34" i="8" s="1"/>
  <c r="P34" i="8" s="1"/>
  <c r="K52" i="9"/>
  <c r="I63" i="9"/>
  <c r="I64" i="9" s="1"/>
  <c r="G10" i="10"/>
  <c r="J94" i="10"/>
  <c r="P19" i="10"/>
  <c r="D16" i="5" s="1"/>
  <c r="P23" i="10"/>
  <c r="D18" i="5" s="1"/>
  <c r="P33" i="10"/>
  <c r="D82" i="5" s="1"/>
  <c r="D100" i="5" s="1"/>
  <c r="K17" i="3" s="1"/>
  <c r="P35" i="10"/>
  <c r="D85" i="5" s="1"/>
  <c r="P50" i="10"/>
  <c r="D44" i="5" s="1"/>
  <c r="P59" i="10"/>
  <c r="D57" i="5" s="1"/>
  <c r="D60" i="5" s="1"/>
  <c r="P74" i="10"/>
  <c r="D107" i="5" s="1"/>
  <c r="I42" i="11"/>
  <c r="I44" i="11" s="1"/>
  <c r="I52" i="11"/>
  <c r="I54" i="11" s="1"/>
  <c r="E42" i="11"/>
  <c r="E44" i="11" s="1"/>
  <c r="E52" i="11"/>
  <c r="E54" i="11" s="1"/>
  <c r="M52" i="11"/>
  <c r="M54" i="11" s="1"/>
  <c r="M42" i="11"/>
  <c r="M44" i="11" s="1"/>
  <c r="J32" i="12"/>
  <c r="J34" i="12" s="1"/>
  <c r="J41" i="12"/>
  <c r="J43" i="12" s="1"/>
  <c r="F45" i="7"/>
  <c r="N22" i="8"/>
  <c r="N32" i="8" s="1"/>
  <c r="N34" i="8" s="1"/>
  <c r="K30" i="8"/>
  <c r="K32" i="8" s="1"/>
  <c r="K34" i="8" s="1"/>
  <c r="D33" i="8"/>
  <c r="P14" i="9"/>
  <c r="L52" i="9"/>
  <c r="D64" i="9"/>
  <c r="K94" i="10"/>
  <c r="P45" i="10"/>
  <c r="D97" i="5" s="1"/>
  <c r="P63" i="10"/>
  <c r="D64" i="5" s="1"/>
  <c r="P65" i="10"/>
  <c r="D66" i="5" s="1"/>
  <c r="N42" i="7"/>
  <c r="O22" i="8"/>
  <c r="O32" i="8" s="1"/>
  <c r="O34" i="8" s="1"/>
  <c r="D30" i="8"/>
  <c r="M52" i="9"/>
  <c r="M61" i="9" s="1"/>
  <c r="P14" i="10"/>
  <c r="D171" i="5" s="1"/>
  <c r="P42" i="10"/>
  <c r="D93" i="5" s="1"/>
  <c r="P69" i="10"/>
  <c r="D76" i="5" s="1"/>
  <c r="D78" i="5" s="1"/>
  <c r="G42" i="11"/>
  <c r="G44" i="11" s="1"/>
  <c r="G52" i="11"/>
  <c r="G54" i="11" s="1"/>
  <c r="O42" i="11"/>
  <c r="O44" i="11" s="1"/>
  <c r="O52" i="11"/>
  <c r="O54" i="11" s="1"/>
  <c r="N52" i="9"/>
  <c r="N61" i="9" s="1"/>
  <c r="E94" i="10"/>
  <c r="P94" i="10" s="1"/>
  <c r="D134" i="5" s="1"/>
  <c r="D135" i="5" s="1"/>
  <c r="K22" i="3" s="1"/>
  <c r="M94" i="10"/>
  <c r="P28" i="10"/>
  <c r="D25" i="5" s="1"/>
  <c r="P37" i="10"/>
  <c r="D87" i="5" s="1"/>
  <c r="P39" i="10"/>
  <c r="D89" i="5" s="1"/>
  <c r="P49" i="10"/>
  <c r="D43" i="5" s="1"/>
  <c r="D50" i="5" s="1"/>
  <c r="P54" i="10"/>
  <c r="D48" i="5" s="1"/>
  <c r="P71" i="10"/>
  <c r="D104" i="5" s="1"/>
  <c r="D115" i="5" s="1"/>
  <c r="K21" i="3" s="1"/>
  <c r="P73" i="10"/>
  <c r="D106" i="5" s="1"/>
  <c r="D52" i="11"/>
  <c r="D54" i="11" s="1"/>
  <c r="P31" i="11"/>
  <c r="D42" i="11"/>
  <c r="D44" i="11" s="1"/>
  <c r="L52" i="11"/>
  <c r="L54" i="11" s="1"/>
  <c r="L42" i="11"/>
  <c r="L44" i="11" s="1"/>
  <c r="M30" i="12"/>
  <c r="E41" i="12"/>
  <c r="E43" i="12" s="1"/>
  <c r="E32" i="12"/>
  <c r="E34" i="12" s="1"/>
  <c r="O52" i="9"/>
  <c r="O61" i="9" s="1"/>
  <c r="P12" i="10"/>
  <c r="F94" i="10"/>
  <c r="N94" i="10"/>
  <c r="P20" i="10"/>
  <c r="D17" i="5" s="1"/>
  <c r="P25" i="10"/>
  <c r="D22" i="5" s="1"/>
  <c r="D26" i="5" s="1"/>
  <c r="P51" i="10"/>
  <c r="D45" i="5" s="1"/>
  <c r="P77" i="10"/>
  <c r="D110" i="5" s="1"/>
  <c r="E40" i="11"/>
  <c r="M40" i="11"/>
  <c r="N41" i="12"/>
  <c r="N43" i="12" s="1"/>
  <c r="N32" i="12"/>
  <c r="N34" i="12" s="1"/>
  <c r="G94" i="10"/>
  <c r="O94" i="10"/>
  <c r="P46" i="10"/>
  <c r="D99" i="5" s="1"/>
  <c r="P62" i="10"/>
  <c r="D63" i="5" s="1"/>
  <c r="P79" i="10"/>
  <c r="D112" i="5" s="1"/>
  <c r="P81" i="10"/>
  <c r="D114" i="5" s="1"/>
  <c r="F42" i="11"/>
  <c r="F44" i="11" s="1"/>
  <c r="F52" i="11"/>
  <c r="F54" i="11" s="1"/>
  <c r="N42" i="11"/>
  <c r="N44" i="11" s="1"/>
  <c r="N52" i="11"/>
  <c r="N54" i="11" s="1"/>
  <c r="G32" i="12"/>
  <c r="G34" i="12" s="1"/>
  <c r="G41" i="12"/>
  <c r="G43" i="12" s="1"/>
  <c r="K30" i="12"/>
  <c r="O41" i="12"/>
  <c r="O43" i="12" s="1"/>
  <c r="O32" i="12"/>
  <c r="O34" i="12" s="1"/>
  <c r="P41" i="10"/>
  <c r="D92" i="5" s="1"/>
  <c r="P43" i="10"/>
  <c r="D94" i="5" s="1"/>
  <c r="P83" i="10"/>
  <c r="D119" i="5" s="1"/>
  <c r="D128" i="5" s="1"/>
  <c r="G40" i="11"/>
  <c r="O40" i="11"/>
  <c r="H30" i="12"/>
  <c r="L30" i="12"/>
  <c r="P14" i="11"/>
  <c r="P40" i="11" s="1"/>
  <c r="J31" i="11"/>
  <c r="D40" i="11"/>
  <c r="L40" i="11"/>
  <c r="H22" i="12"/>
  <c r="I59" i="13"/>
  <c r="I50" i="13"/>
  <c r="I61" i="13" s="1"/>
  <c r="P16" i="13"/>
  <c r="P24" i="13"/>
  <c r="P31" i="13"/>
  <c r="K31" i="11"/>
  <c r="N30" i="12"/>
  <c r="J59" i="13"/>
  <c r="J50" i="13"/>
  <c r="J61" i="13" s="1"/>
  <c r="P29" i="13"/>
  <c r="D33" i="15"/>
  <c r="E33" i="15" s="1"/>
  <c r="F33" i="15" s="1"/>
  <c r="G33" i="15" s="1"/>
  <c r="H33" i="15" s="1"/>
  <c r="I33" i="15" s="1"/>
  <c r="J33" i="15" s="1"/>
  <c r="K33" i="15" s="1"/>
  <c r="L33" i="15" s="1"/>
  <c r="M33" i="15" s="1"/>
  <c r="N33" i="15" s="1"/>
  <c r="O33" i="15"/>
  <c r="D35" i="15"/>
  <c r="P17" i="10"/>
  <c r="F40" i="11"/>
  <c r="N40" i="11"/>
  <c r="P20" i="12"/>
  <c r="K22" i="12"/>
  <c r="G30" i="12"/>
  <c r="P21" i="13"/>
  <c r="P35" i="13"/>
  <c r="M24" i="14"/>
  <c r="N16" i="6" s="1"/>
  <c r="P14" i="12"/>
  <c r="P16" i="12"/>
  <c r="M22" i="12"/>
  <c r="P28" i="12"/>
  <c r="P15" i="13"/>
  <c r="L59" i="13"/>
  <c r="P23" i="13"/>
  <c r="P33" i="13"/>
  <c r="H40" i="11"/>
  <c r="I22" i="12"/>
  <c r="I30" i="12" s="1"/>
  <c r="E59" i="13"/>
  <c r="E50" i="13"/>
  <c r="E61" i="13" s="1"/>
  <c r="M50" i="13"/>
  <c r="M61" i="13" s="1"/>
  <c r="I40" i="11"/>
  <c r="J30" i="12"/>
  <c r="F69" i="13"/>
  <c r="F71" i="13" s="1"/>
  <c r="F63" i="13"/>
  <c r="N63" i="13"/>
  <c r="N69" i="13"/>
  <c r="N71" i="13" s="1"/>
  <c r="D45" i="15"/>
  <c r="C48" i="15"/>
  <c r="K24" i="14"/>
  <c r="L16" i="6" s="1"/>
  <c r="P31" i="10"/>
  <c r="F22" i="12"/>
  <c r="F30" i="12" s="1"/>
  <c r="G50" i="13"/>
  <c r="G61" i="13" s="1"/>
  <c r="O59" i="13"/>
  <c r="O50" i="13"/>
  <c r="O61" i="13" s="1"/>
  <c r="P17" i="13"/>
  <c r="P25" i="13"/>
  <c r="P27" i="13"/>
  <c r="P36" i="13"/>
  <c r="D22" i="12"/>
  <c r="L22" i="12"/>
  <c r="H59" i="13"/>
  <c r="P19" i="13"/>
  <c r="J24" i="14"/>
  <c r="K16" i="6" s="1"/>
  <c r="F59" i="13"/>
  <c r="N59" i="13"/>
  <c r="H50" i="13"/>
  <c r="H61" i="13" s="1"/>
  <c r="E30" i="15"/>
  <c r="G31" i="15"/>
  <c r="O14" i="14"/>
  <c r="O29" i="14"/>
  <c r="N34" i="14"/>
  <c r="N39" i="14" s="1"/>
  <c r="N21" i="14" s="1"/>
  <c r="N47" i="14"/>
  <c r="N52" i="14" s="1"/>
  <c r="N20" i="14" s="1"/>
  <c r="N24" i="14" s="1"/>
  <c r="O16" i="6" s="1"/>
  <c r="J31" i="15"/>
  <c r="D24" i="14"/>
  <c r="O24" i="14" s="1"/>
  <c r="O32" i="15"/>
  <c r="O44" i="14"/>
  <c r="O59" i="15"/>
  <c r="O61" i="15"/>
  <c r="C16" i="15"/>
  <c r="O16" i="15" s="1"/>
  <c r="K50" i="13"/>
  <c r="K61" i="13" s="1"/>
  <c r="O57" i="14"/>
  <c r="C62" i="14"/>
  <c r="K62" i="14"/>
  <c r="K67" i="14" s="1"/>
  <c r="K22" i="14" s="1"/>
  <c r="O46" i="15"/>
  <c r="D50" i="13"/>
  <c r="L50" i="13"/>
  <c r="L61" i="13" s="1"/>
  <c r="O16" i="14"/>
  <c r="O45" i="14"/>
  <c r="N50" i="15"/>
  <c r="F50" i="15"/>
  <c r="M50" i="15"/>
  <c r="E50" i="15"/>
  <c r="J50" i="15"/>
  <c r="H50" i="15"/>
  <c r="D60" i="15"/>
  <c r="E60" i="15" s="1"/>
  <c r="F60" i="15" s="1"/>
  <c r="G60" i="15" s="1"/>
  <c r="H60" i="15" s="1"/>
  <c r="I60" i="15" s="1"/>
  <c r="J60" i="15" s="1"/>
  <c r="K60" i="15" s="1"/>
  <c r="L60" i="15" s="1"/>
  <c r="M60" i="15" s="1"/>
  <c r="N60" i="15" s="1"/>
  <c r="G24" i="14"/>
  <c r="I52" i="14"/>
  <c r="I20" i="14" s="1"/>
  <c r="I24" i="14" s="1"/>
  <c r="J16" i="6" s="1"/>
  <c r="O19" i="15"/>
  <c r="H24" i="14"/>
  <c r="O18" i="14"/>
  <c r="D34" i="14"/>
  <c r="L34" i="14"/>
  <c r="L39" i="14" s="1"/>
  <c r="L21" i="14" s="1"/>
  <c r="L24" i="14" s="1"/>
  <c r="M16" i="6" s="1"/>
  <c r="I31" i="15"/>
  <c r="H31" i="15"/>
  <c r="M31" i="15"/>
  <c r="E31" i="15"/>
  <c r="K31" i="15"/>
  <c r="C31" i="15"/>
  <c r="F62" i="14"/>
  <c r="N62" i="14"/>
  <c r="N67" i="14" s="1"/>
  <c r="N22" i="14" s="1"/>
  <c r="O22" i="14" s="1"/>
  <c r="C58" i="15"/>
  <c r="O60" i="14"/>
  <c r="O15" i="15"/>
  <c r="K16" i="15"/>
  <c r="D31" i="15"/>
  <c r="J38" i="15"/>
  <c r="I38" i="15"/>
  <c r="N38" i="15"/>
  <c r="F38" i="15"/>
  <c r="L38" i="15"/>
  <c r="D38" i="15"/>
  <c r="G50" i="15"/>
  <c r="M66" i="15"/>
  <c r="E66" i="15"/>
  <c r="L66" i="15"/>
  <c r="D66" i="15"/>
  <c r="I66" i="15"/>
  <c r="G66" i="15"/>
  <c r="K51" i="15"/>
  <c r="C67" i="14"/>
  <c r="E51" i="15"/>
  <c r="O17" i="3" l="1"/>
  <c r="F17" i="3"/>
  <c r="P16" i="6"/>
  <c r="D178" i="4" s="1"/>
  <c r="D27" i="3" s="1"/>
  <c r="D21" i="2" s="1"/>
  <c r="O113" i="6"/>
  <c r="O22" i="3"/>
  <c r="F22" i="3"/>
  <c r="O21" i="3"/>
  <c r="G118" i="10"/>
  <c r="G119" i="10" s="1"/>
  <c r="K19" i="3"/>
  <c r="D61" i="13"/>
  <c r="P50" i="13"/>
  <c r="P59" i="13" s="1"/>
  <c r="D58" i="15"/>
  <c r="C63" i="15"/>
  <c r="O34" i="14"/>
  <c r="J63" i="13"/>
  <c r="J69" i="13"/>
  <c r="J71" i="13" s="1"/>
  <c r="J42" i="11"/>
  <c r="J44" i="11" s="1"/>
  <c r="J102" i="10" s="1"/>
  <c r="J52" i="11"/>
  <c r="J54" i="11" s="1"/>
  <c r="P22" i="8"/>
  <c r="P30" i="8" s="1"/>
  <c r="P42" i="7"/>
  <c r="M42" i="7"/>
  <c r="I102" i="10"/>
  <c r="K72" i="9"/>
  <c r="K74" i="9" s="1"/>
  <c r="K63" i="9"/>
  <c r="K65" i="9" s="1"/>
  <c r="K61" i="9"/>
  <c r="D37" i="4"/>
  <c r="D39" i="4" s="1"/>
  <c r="D18" i="2"/>
  <c r="O60" i="15"/>
  <c r="O47" i="14"/>
  <c r="L32" i="12"/>
  <c r="L34" i="12" s="1"/>
  <c r="L41" i="12"/>
  <c r="L43" i="12" s="1"/>
  <c r="O69" i="13"/>
  <c r="O71" i="13" s="1"/>
  <c r="O63" i="13"/>
  <c r="C53" i="15"/>
  <c r="M41" i="12"/>
  <c r="M43" i="12" s="1"/>
  <c r="M32" i="12"/>
  <c r="M34" i="12" s="1"/>
  <c r="I63" i="13"/>
  <c r="I69" i="13"/>
  <c r="I71" i="13" s="1"/>
  <c r="D70" i="5"/>
  <c r="K20" i="3" s="1"/>
  <c r="P52" i="9"/>
  <c r="O63" i="9"/>
  <c r="O65" i="9" s="1"/>
  <c r="O72" i="9"/>
  <c r="O74" i="9" s="1"/>
  <c r="J40" i="11"/>
  <c r="O30" i="8"/>
  <c r="N30" i="8"/>
  <c r="M30" i="8"/>
  <c r="D21" i="3"/>
  <c r="F21" i="3" s="1"/>
  <c r="H23" i="2"/>
  <c r="J23" i="2" s="1"/>
  <c r="F10" i="15"/>
  <c r="G10" i="11"/>
  <c r="G10" i="12"/>
  <c r="G10" i="13"/>
  <c r="H10" i="10"/>
  <c r="I41" i="12"/>
  <c r="I43" i="12" s="1"/>
  <c r="I32" i="12"/>
  <c r="I34" i="12" s="1"/>
  <c r="D173" i="5"/>
  <c r="K28" i="3" s="1"/>
  <c r="O67" i="14"/>
  <c r="O31" i="15"/>
  <c r="C35" i="15"/>
  <c r="O62" i="14"/>
  <c r="H69" i="13"/>
  <c r="H71" i="13" s="1"/>
  <c r="H63" i="13"/>
  <c r="D41" i="12"/>
  <c r="D43" i="12" s="1"/>
  <c r="P22" i="12"/>
  <c r="P30" i="12" s="1"/>
  <c r="D32" i="12"/>
  <c r="D48" i="15"/>
  <c r="D53" i="15" s="1"/>
  <c r="D21" i="15" s="1"/>
  <c r="E45" i="15"/>
  <c r="O52" i="14"/>
  <c r="C20" i="15"/>
  <c r="D20" i="15" s="1"/>
  <c r="E20" i="15" s="1"/>
  <c r="F20" i="15" s="1"/>
  <c r="G20" i="15" s="1"/>
  <c r="H20" i="15" s="1"/>
  <c r="I20" i="15" s="1"/>
  <c r="J20" i="15" s="1"/>
  <c r="K20" i="15" s="1"/>
  <c r="L20" i="15" s="1"/>
  <c r="M20" i="15" s="1"/>
  <c r="N20" i="15" s="1"/>
  <c r="D15" i="5"/>
  <c r="D19" i="5" s="1"/>
  <c r="D28" i="5"/>
  <c r="O102" i="10"/>
  <c r="L72" i="9"/>
  <c r="L74" i="9" s="1"/>
  <c r="L63" i="9"/>
  <c r="L65" i="9" s="1"/>
  <c r="F102" i="10"/>
  <c r="F122" i="10" s="1"/>
  <c r="F124" i="10" s="1"/>
  <c r="D59" i="13"/>
  <c r="O21" i="14"/>
  <c r="O20" i="14"/>
  <c r="G69" i="13"/>
  <c r="G71" i="13" s="1"/>
  <c r="G63" i="13"/>
  <c r="M69" i="13"/>
  <c r="M71" i="13" s="1"/>
  <c r="M63" i="13"/>
  <c r="K59" i="13"/>
  <c r="D40" i="15"/>
  <c r="D22" i="15" s="1"/>
  <c r="K52" i="11"/>
  <c r="K54" i="11" s="1"/>
  <c r="K42" i="11"/>
  <c r="K44" i="11" s="1"/>
  <c r="D30" i="12"/>
  <c r="O26" i="3"/>
  <c r="K26" i="3"/>
  <c r="F26" i="3" s="1"/>
  <c r="P61" i="9"/>
  <c r="M102" i="10"/>
  <c r="M122" i="10" s="1"/>
  <c r="M124" i="10" s="1"/>
  <c r="J42" i="7"/>
  <c r="J44" i="7" s="1"/>
  <c r="L61" i="9"/>
  <c r="N72" i="9"/>
  <c r="N74" i="9" s="1"/>
  <c r="N63" i="9"/>
  <c r="N65" i="9" s="1"/>
  <c r="N102" i="6" s="1"/>
  <c r="O60" i="7"/>
  <c r="O61" i="7" s="1"/>
  <c r="O46" i="7"/>
  <c r="O102" i="6" s="1"/>
  <c r="O123" i="6" s="1"/>
  <c r="O125" i="6" s="1"/>
  <c r="O42" i="7"/>
  <c r="O39" i="14"/>
  <c r="G59" i="13"/>
  <c r="M59" i="13"/>
  <c r="H41" i="12"/>
  <c r="H43" i="12" s="1"/>
  <c r="H32" i="12"/>
  <c r="H34" i="12" s="1"/>
  <c r="H102" i="10" s="1"/>
  <c r="N102" i="10"/>
  <c r="N122" i="10" s="1"/>
  <c r="N124" i="10" s="1"/>
  <c r="G102" i="10"/>
  <c r="G122" i="10" s="1"/>
  <c r="G124" i="10" s="1"/>
  <c r="K60" i="7"/>
  <c r="K61" i="7" s="1"/>
  <c r="K46" i="7"/>
  <c r="K102" i="6" s="1"/>
  <c r="K123" i="6" s="1"/>
  <c r="K125" i="6" s="1"/>
  <c r="P32" i="8"/>
  <c r="P33" i="8" s="1"/>
  <c r="P63" i="9"/>
  <c r="E10" i="14"/>
  <c r="F10" i="7"/>
  <c r="F10" i="8"/>
  <c r="E10" i="7"/>
  <c r="E10" i="8"/>
  <c r="F10" i="9"/>
  <c r="G10" i="6"/>
  <c r="D14" i="3"/>
  <c r="E35" i="15"/>
  <c r="E40" i="15" s="1"/>
  <c r="E22" i="15" s="1"/>
  <c r="F30" i="15"/>
  <c r="D33" i="5"/>
  <c r="D34" i="5" s="1"/>
  <c r="M46" i="7"/>
  <c r="M102" i="6" s="1"/>
  <c r="M123" i="6" s="1"/>
  <c r="M125" i="6" s="1"/>
  <c r="M60" i="7"/>
  <c r="M61" i="7" s="1"/>
  <c r="L69" i="13"/>
  <c r="L71" i="13" s="1"/>
  <c r="L63" i="13"/>
  <c r="L102" i="10" s="1"/>
  <c r="K69" i="13"/>
  <c r="K71" i="13" s="1"/>
  <c r="K63" i="13"/>
  <c r="F32" i="12"/>
  <c r="F34" i="12" s="1"/>
  <c r="F41" i="12"/>
  <c r="F43" i="12" s="1"/>
  <c r="E69" i="13"/>
  <c r="E71" i="13" s="1"/>
  <c r="E63" i="13"/>
  <c r="E102" i="10" s="1"/>
  <c r="K41" i="12"/>
  <c r="K43" i="12" s="1"/>
  <c r="K32" i="12"/>
  <c r="K34" i="12" s="1"/>
  <c r="K40" i="11"/>
  <c r="M72" i="9"/>
  <c r="M74" i="9" s="1"/>
  <c r="M63" i="9"/>
  <c r="M65" i="9" s="1"/>
  <c r="L102" i="6"/>
  <c r="L123" i="6" s="1"/>
  <c r="L125" i="6" s="1"/>
  <c r="L30" i="8"/>
  <c r="L122" i="10" l="1"/>
  <c r="L124" i="10" s="1"/>
  <c r="L118" i="10"/>
  <c r="L119" i="10" s="1"/>
  <c r="E122" i="10"/>
  <c r="E124" i="10" s="1"/>
  <c r="E118" i="10"/>
  <c r="E119" i="10" s="1"/>
  <c r="H122" i="10"/>
  <c r="H124" i="10" s="1"/>
  <c r="H118" i="10"/>
  <c r="H119" i="10" s="1"/>
  <c r="N123" i="6"/>
  <c r="N125" i="6" s="1"/>
  <c r="N113" i="6"/>
  <c r="F10" i="14"/>
  <c r="G10" i="7"/>
  <c r="G10" i="8"/>
  <c r="G10" i="9"/>
  <c r="H10" i="6"/>
  <c r="P65" i="9"/>
  <c r="P64" i="9" s="1"/>
  <c r="P44" i="11"/>
  <c r="D63" i="15"/>
  <c r="D68" i="15" s="1"/>
  <c r="D23" i="15" s="1"/>
  <c r="E58" i="15"/>
  <c r="P64" i="7"/>
  <c r="F118" i="10"/>
  <c r="F119" i="10" s="1"/>
  <c r="P32" i="12"/>
  <c r="D34" i="12"/>
  <c r="M113" i="6"/>
  <c r="L113" i="6"/>
  <c r="C40" i="15"/>
  <c r="O17" i="15"/>
  <c r="M26" i="3"/>
  <c r="M31" i="3" s="1"/>
  <c r="M33" i="3" s="1"/>
  <c r="F20" i="2"/>
  <c r="J20" i="2" s="1"/>
  <c r="O122" i="10"/>
  <c r="O124" i="10" s="1"/>
  <c r="O118" i="10"/>
  <c r="O119" i="10" s="1"/>
  <c r="F28" i="3"/>
  <c r="M28" i="3"/>
  <c r="C21" i="15"/>
  <c r="I122" i="10"/>
  <c r="I124" i="10" s="1"/>
  <c r="I118" i="10"/>
  <c r="I119" i="10" s="1"/>
  <c r="J122" i="10"/>
  <c r="J124" i="10" s="1"/>
  <c r="J118" i="10"/>
  <c r="J119" i="10" s="1"/>
  <c r="D69" i="13"/>
  <c r="D71" i="13" s="1"/>
  <c r="D63" i="13"/>
  <c r="P63" i="13" s="1"/>
  <c r="P62" i="13" s="1"/>
  <c r="P61" i="13"/>
  <c r="H24" i="2"/>
  <c r="H26" i="2" s="1"/>
  <c r="K14" i="3"/>
  <c r="E48" i="15"/>
  <c r="F45" i="15"/>
  <c r="K18" i="3"/>
  <c r="F35" i="15"/>
  <c r="F40" i="15" s="1"/>
  <c r="F22" i="15" s="1"/>
  <c r="G30" i="15"/>
  <c r="D25" i="15"/>
  <c r="E16" i="10" s="1"/>
  <c r="E113" i="10" s="1"/>
  <c r="K102" i="10"/>
  <c r="O20" i="3"/>
  <c r="F20" i="3"/>
  <c r="D18" i="3"/>
  <c r="O19" i="3"/>
  <c r="F19" i="3"/>
  <c r="M118" i="10"/>
  <c r="M119" i="10" s="1"/>
  <c r="D15" i="2"/>
  <c r="J60" i="7"/>
  <c r="J61" i="7" s="1"/>
  <c r="J46" i="7"/>
  <c r="P44" i="7"/>
  <c r="G10" i="15"/>
  <c r="H10" i="13"/>
  <c r="H10" i="11"/>
  <c r="I10" i="10"/>
  <c r="H10" i="12"/>
  <c r="C68" i="15"/>
  <c r="N118" i="10"/>
  <c r="N119" i="10" s="1"/>
  <c r="K113" i="6"/>
  <c r="F18" i="2"/>
  <c r="H10" i="15" l="1"/>
  <c r="J10" i="10"/>
  <c r="I10" i="12"/>
  <c r="I10" i="13"/>
  <c r="I10" i="11"/>
  <c r="K122" i="10"/>
  <c r="K124" i="10" s="1"/>
  <c r="K118" i="10"/>
  <c r="K119" i="10" s="1"/>
  <c r="F48" i="15"/>
  <c r="F53" i="15" s="1"/>
  <c r="F21" i="15" s="1"/>
  <c r="G45" i="15"/>
  <c r="G10" i="14"/>
  <c r="H10" i="8"/>
  <c r="H10" i="9"/>
  <c r="I10" i="6"/>
  <c r="H10" i="7"/>
  <c r="C23" i="15"/>
  <c r="J102" i="6"/>
  <c r="P46" i="7"/>
  <c r="P45" i="7" s="1"/>
  <c r="E53" i="15"/>
  <c r="G35" i="15"/>
  <c r="G40" i="15" s="1"/>
  <c r="G22" i="15" s="1"/>
  <c r="H30" i="15"/>
  <c r="O14" i="3"/>
  <c r="F14" i="3"/>
  <c r="C22" i="15"/>
  <c r="E63" i="15"/>
  <c r="F58" i="15"/>
  <c r="O18" i="3"/>
  <c r="F18" i="3"/>
  <c r="J18" i="2"/>
  <c r="P34" i="12"/>
  <c r="D102" i="10"/>
  <c r="H10" i="14" l="1"/>
  <c r="I10" i="9"/>
  <c r="I10" i="7"/>
  <c r="I10" i="8"/>
  <c r="J10" i="6"/>
  <c r="P102" i="10"/>
  <c r="D122" i="10"/>
  <c r="D118" i="10"/>
  <c r="D119" i="10" s="1"/>
  <c r="E68" i="15"/>
  <c r="E21" i="15"/>
  <c r="F15" i="2"/>
  <c r="C25" i="15"/>
  <c r="J123" i="6"/>
  <c r="J125" i="6" s="1"/>
  <c r="P102" i="6"/>
  <c r="J113" i="6"/>
  <c r="G48" i="15"/>
  <c r="H45" i="15"/>
  <c r="I10" i="15"/>
  <c r="J10" i="13"/>
  <c r="J10" i="12"/>
  <c r="J10" i="11"/>
  <c r="K10" i="10"/>
  <c r="F63" i="15"/>
  <c r="F68" i="15" s="1"/>
  <c r="F23" i="15" s="1"/>
  <c r="G58" i="15"/>
  <c r="H35" i="15"/>
  <c r="H40" i="15" s="1"/>
  <c r="H22" i="15" s="1"/>
  <c r="I30" i="15"/>
  <c r="F25" i="15"/>
  <c r="G16" i="10" s="1"/>
  <c r="G113" i="10" s="1"/>
  <c r="I10" i="14" l="1"/>
  <c r="J10" i="9"/>
  <c r="J10" i="7"/>
  <c r="J10" i="8"/>
  <c r="K10" i="6"/>
  <c r="D159" i="4"/>
  <c r="D168" i="4" s="1"/>
  <c r="P122" i="6"/>
  <c r="P119" i="6"/>
  <c r="F174" i="4" s="1"/>
  <c r="P113" i="6"/>
  <c r="I45" i="15"/>
  <c r="H48" i="15"/>
  <c r="H53" i="15" s="1"/>
  <c r="H21" i="15" s="1"/>
  <c r="J15" i="2"/>
  <c r="E23" i="15"/>
  <c r="G53" i="15"/>
  <c r="D124" i="10"/>
  <c r="D126" i="10"/>
  <c r="I35" i="15"/>
  <c r="I40" i="15" s="1"/>
  <c r="I22" i="15" s="1"/>
  <c r="J30" i="15"/>
  <c r="D16" i="10"/>
  <c r="G63" i="15"/>
  <c r="H58" i="15"/>
  <c r="J10" i="15"/>
  <c r="K10" i="12"/>
  <c r="K10" i="13"/>
  <c r="K10" i="11"/>
  <c r="L10" i="10"/>
  <c r="P125" i="10"/>
  <c r="D154" i="5"/>
  <c r="D163" i="5" s="1"/>
  <c r="P122" i="10"/>
  <c r="Q117" i="10"/>
  <c r="F169" i="5" s="1"/>
  <c r="P118" i="10"/>
  <c r="P119" i="10" s="1"/>
  <c r="P126" i="10" s="1"/>
  <c r="E25" i="15"/>
  <c r="F16" i="10" s="1"/>
  <c r="F113" i="10" s="1"/>
  <c r="K10" i="15" l="1"/>
  <c r="L10" i="12"/>
  <c r="L10" i="13"/>
  <c r="L10" i="11"/>
  <c r="M10" i="10"/>
  <c r="D113" i="10"/>
  <c r="K25" i="3"/>
  <c r="D169" i="5"/>
  <c r="D25" i="3"/>
  <c r="D174" i="4"/>
  <c r="J35" i="15"/>
  <c r="K30" i="15"/>
  <c r="J10" i="14"/>
  <c r="K10" i="7"/>
  <c r="K10" i="8"/>
  <c r="K10" i="9"/>
  <c r="L10" i="6"/>
  <c r="J45" i="15"/>
  <c r="I48" i="15"/>
  <c r="H63" i="15"/>
  <c r="H68" i="15" s="1"/>
  <c r="H23" i="15" s="1"/>
  <c r="H25" i="15" s="1"/>
  <c r="I16" i="10" s="1"/>
  <c r="I113" i="10" s="1"/>
  <c r="I58" i="15"/>
  <c r="G68" i="15"/>
  <c r="G21" i="15"/>
  <c r="K10" i="14" l="1"/>
  <c r="L10" i="7"/>
  <c r="L10" i="8"/>
  <c r="L10" i="9"/>
  <c r="M10" i="6"/>
  <c r="G174" i="4"/>
  <c r="D181" i="4"/>
  <c r="D183" i="4" s="1"/>
  <c r="L10" i="15"/>
  <c r="M10" i="13"/>
  <c r="M10" i="12"/>
  <c r="M10" i="11"/>
  <c r="N10" i="10"/>
  <c r="D19" i="2"/>
  <c r="D24" i="2" s="1"/>
  <c r="D26" i="2" s="1"/>
  <c r="D30" i="2" s="1"/>
  <c r="D31" i="3"/>
  <c r="D33" i="3" s="1"/>
  <c r="I63" i="15"/>
  <c r="J58" i="15"/>
  <c r="G23" i="15"/>
  <c r="G169" i="5"/>
  <c r="I53" i="15"/>
  <c r="L30" i="15"/>
  <c r="K35" i="15"/>
  <c r="K40" i="15" s="1"/>
  <c r="K22" i="15" s="1"/>
  <c r="F25" i="3"/>
  <c r="O25" i="3"/>
  <c r="K45" i="15"/>
  <c r="J48" i="15"/>
  <c r="J53" i="15" s="1"/>
  <c r="J21" i="15" s="1"/>
  <c r="J40" i="15"/>
  <c r="L10" i="14" l="1"/>
  <c r="M10" i="7"/>
  <c r="M10" i="8"/>
  <c r="M10" i="9"/>
  <c r="N10" i="6"/>
  <c r="M10" i="15"/>
  <c r="N10" i="13"/>
  <c r="N10" i="11"/>
  <c r="N10" i="12"/>
  <c r="O10" i="10"/>
  <c r="F19" i="2"/>
  <c r="J22" i="15"/>
  <c r="I21" i="15"/>
  <c r="L45" i="15"/>
  <c r="K48" i="15"/>
  <c r="J63" i="15"/>
  <c r="J68" i="15" s="1"/>
  <c r="J23" i="15" s="1"/>
  <c r="J25" i="15" s="1"/>
  <c r="K16" i="10" s="1"/>
  <c r="K113" i="10" s="1"/>
  <c r="K58" i="15"/>
  <c r="M30" i="15"/>
  <c r="L35" i="15"/>
  <c r="L40" i="15" s="1"/>
  <c r="L22" i="15" s="1"/>
  <c r="I68" i="15"/>
  <c r="G25" i="15"/>
  <c r="M10" i="14" l="1"/>
  <c r="N10" i="7"/>
  <c r="N10" i="8"/>
  <c r="N10" i="9"/>
  <c r="O10" i="6"/>
  <c r="K53" i="15"/>
  <c r="L48" i="15"/>
  <c r="L53" i="15" s="1"/>
  <c r="L21" i="15" s="1"/>
  <c r="M45" i="15"/>
  <c r="J19" i="2"/>
  <c r="H16" i="10"/>
  <c r="N10" i="15"/>
  <c r="O10" i="11"/>
  <c r="O10" i="13"/>
  <c r="O10" i="12"/>
  <c r="K63" i="15"/>
  <c r="K68" i="15" s="1"/>
  <c r="K23" i="15" s="1"/>
  <c r="L58" i="15"/>
  <c r="I23" i="15"/>
  <c r="I25" i="15"/>
  <c r="J16" i="10" s="1"/>
  <c r="J113" i="10" s="1"/>
  <c r="M35" i="15"/>
  <c r="M40" i="15" s="1"/>
  <c r="N30" i="15"/>
  <c r="N10" i="14" l="1"/>
  <c r="O10" i="7"/>
  <c r="O10" i="8"/>
  <c r="O10" i="9"/>
  <c r="K21" i="15"/>
  <c r="K25" i="15" s="1"/>
  <c r="L16" i="10" s="1"/>
  <c r="L113" i="10" s="1"/>
  <c r="H113" i="10"/>
  <c r="L63" i="15"/>
  <c r="L68" i="15" s="1"/>
  <c r="M58" i="15"/>
  <c r="N35" i="15"/>
  <c r="O30" i="15"/>
  <c r="M48" i="15"/>
  <c r="M53" i="15" s="1"/>
  <c r="M21" i="15" s="1"/>
  <c r="N45" i="15"/>
  <c r="M22" i="15"/>
  <c r="N40" i="15" l="1"/>
  <c r="O35" i="15"/>
  <c r="N58" i="15"/>
  <c r="M63" i="15"/>
  <c r="M68" i="15" s="1"/>
  <c r="M23" i="15" s="1"/>
  <c r="M25" i="15" s="1"/>
  <c r="N16" i="10" s="1"/>
  <c r="N113" i="10" s="1"/>
  <c r="N48" i="15"/>
  <c r="O45" i="15"/>
  <c r="L23" i="15"/>
  <c r="L25" i="15" s="1"/>
  <c r="N53" i="15" l="1"/>
  <c r="O48" i="15"/>
  <c r="N63" i="15"/>
  <c r="O58" i="15"/>
  <c r="M16" i="10"/>
  <c r="N22" i="15"/>
  <c r="O22" i="15" s="1"/>
  <c r="O40" i="15"/>
  <c r="M113" i="10" l="1"/>
  <c r="N68" i="15"/>
  <c r="O63" i="15"/>
  <c r="N21" i="15"/>
  <c r="O53" i="15"/>
  <c r="O21" i="15" l="1"/>
  <c r="N23" i="15"/>
  <c r="O23" i="15" s="1"/>
  <c r="O68" i="15"/>
  <c r="N25" i="15" l="1"/>
  <c r="O16" i="10" l="1"/>
  <c r="O25" i="15"/>
  <c r="O113" i="10" l="1"/>
  <c r="P16" i="10"/>
  <c r="D172" i="5" l="1"/>
  <c r="P113" i="10"/>
  <c r="K27" i="3" l="1"/>
  <c r="D175" i="5"/>
  <c r="D177" i="5" s="1"/>
  <c r="P120" i="10" s="1"/>
  <c r="Q120" i="10" s="1"/>
  <c r="O27" i="3" l="1"/>
  <c r="F27" i="3"/>
  <c r="F31" i="3" s="1"/>
  <c r="F33" i="3" s="1"/>
  <c r="K31" i="3"/>
  <c r="K33" i="3" s="1"/>
  <c r="F21" i="2" l="1"/>
  <c r="O31" i="3"/>
  <c r="O33" i="3" s="1"/>
  <c r="J21" i="2" l="1"/>
  <c r="J24" i="2" s="1"/>
  <c r="J26" i="2" s="1"/>
  <c r="J30" i="2" s="1"/>
  <c r="F24" i="2"/>
  <c r="F26" i="2" s="1"/>
  <c r="F30" i="2" s="1"/>
</calcChain>
</file>

<file path=xl/sharedStrings.xml><?xml version="1.0" encoding="utf-8"?>
<sst xmlns="http://schemas.openxmlformats.org/spreadsheetml/2006/main" count="1258" uniqueCount="408">
  <si>
    <t>FR 16(8)(c)                 SCHEDULE C</t>
  </si>
  <si>
    <t>Operating Income Summary</t>
  </si>
  <si>
    <t>Schedule</t>
  </si>
  <si>
    <t>Pages</t>
  </si>
  <si>
    <t>Description</t>
  </si>
  <si>
    <t>C-1</t>
  </si>
  <si>
    <t>C-2</t>
  </si>
  <si>
    <t>Adjusted Operating Income</t>
  </si>
  <si>
    <t>C-2.1</t>
  </si>
  <si>
    <t xml:space="preserve">Operating Revenue and Expenses by FERC Account </t>
  </si>
  <si>
    <t>C-2.2</t>
  </si>
  <si>
    <t>Monthly Operating Income by FERC Account</t>
  </si>
  <si>
    <t>C-2.3</t>
  </si>
  <si>
    <t>Taxes Other than Income Tax by Sub-Account</t>
  </si>
  <si>
    <t>Data:__X____Base Period___X___Forecasted Period</t>
  </si>
  <si>
    <t>FR 16(8)(c)1</t>
  </si>
  <si>
    <t>Type of Filing:___X____Original________Updated ________Revised</t>
  </si>
  <si>
    <t>Schedule C-1</t>
  </si>
  <si>
    <t>Workpaper Reference No(s).____________________</t>
  </si>
  <si>
    <t>Witness: Christian, Densman</t>
  </si>
  <si>
    <t>Base</t>
  </si>
  <si>
    <t>Forecasted</t>
  </si>
  <si>
    <t>Line</t>
  </si>
  <si>
    <t>Return at</t>
  </si>
  <si>
    <t>Proposed</t>
  </si>
  <si>
    <t>No.</t>
  </si>
  <si>
    <t>Current Rates</t>
  </si>
  <si>
    <t>Increase</t>
  </si>
  <si>
    <t>Proposed Rates</t>
  </si>
  <si>
    <t>Operating Revenue</t>
  </si>
  <si>
    <t>Operating Expenses</t>
  </si>
  <si>
    <t>Purchased Gas Cost</t>
  </si>
  <si>
    <t>Other O &amp; M Expenses</t>
  </si>
  <si>
    <t xml:space="preserve">  Depreciation Expense</t>
  </si>
  <si>
    <t xml:space="preserve">  Taxes Other than Income</t>
  </si>
  <si>
    <t>State &amp; Federal Income Taxes</t>
  </si>
  <si>
    <t>Total Operating Expenses</t>
  </si>
  <si>
    <t>Operating Income</t>
  </si>
  <si>
    <t>Rate Base</t>
  </si>
  <si>
    <t>Rate of Return</t>
  </si>
  <si>
    <t>Adjusted Operating Income Statement</t>
  </si>
  <si>
    <t>FR 16(8)(c)2</t>
  </si>
  <si>
    <t>Schedule C-2</t>
  </si>
  <si>
    <t>Base Year</t>
  </si>
  <si>
    <t>SSU</t>
  </si>
  <si>
    <t>Test Year</t>
  </si>
  <si>
    <t>Major Group</t>
  </si>
  <si>
    <t>Revenue &amp;</t>
  </si>
  <si>
    <t>Utility budget</t>
  </si>
  <si>
    <t>Sched</t>
  </si>
  <si>
    <t>Billing</t>
  </si>
  <si>
    <t>Ratemaking</t>
  </si>
  <si>
    <t>Rev. &amp; Exp.</t>
  </si>
  <si>
    <t>Classification</t>
  </si>
  <si>
    <t>Expenses</t>
  </si>
  <si>
    <t>Adjustments</t>
  </si>
  <si>
    <t>Ref.</t>
  </si>
  <si>
    <t>Adjs</t>
  </si>
  <si>
    <t>Adjusted</t>
  </si>
  <si>
    <t>D-1</t>
  </si>
  <si>
    <t>Production O&amp;M Expense</t>
  </si>
  <si>
    <t>Storage O&amp;M Expense</t>
  </si>
  <si>
    <t>Transmission O&amp;M Expense</t>
  </si>
  <si>
    <t>Distribution O&amp;M Expense</t>
  </si>
  <si>
    <t>*</t>
  </si>
  <si>
    <t>Customer Accting. &amp; Collection</t>
  </si>
  <si>
    <t>Customer Service &amp; Information</t>
  </si>
  <si>
    <t>Sales Expense</t>
  </si>
  <si>
    <t>F-4</t>
  </si>
  <si>
    <t>Admin. &amp; General Expense</t>
  </si>
  <si>
    <t>F-1, F-6, F-8, F-9, F-10, F-11</t>
  </si>
  <si>
    <t>Depreciation Expense</t>
  </si>
  <si>
    <t>Taxes - Other</t>
  </si>
  <si>
    <t>F-10</t>
  </si>
  <si>
    <t>Income Taxes</t>
  </si>
  <si>
    <t>Net Operating Income</t>
  </si>
  <si>
    <t>Data:___X____Base Period________Forecasted Period</t>
  </si>
  <si>
    <t>FR 16(8)(c)2.1</t>
  </si>
  <si>
    <t>Schedule C-2.1 B</t>
  </si>
  <si>
    <t>Account</t>
  </si>
  <si>
    <t>Unadjusted</t>
  </si>
  <si>
    <t>No. (s)</t>
  </si>
  <si>
    <t>Title</t>
  </si>
  <si>
    <t>Total Utility</t>
  </si>
  <si>
    <t>(1)</t>
  </si>
  <si>
    <t>O P E R A T I N G  R E V E N U E</t>
  </si>
  <si>
    <t xml:space="preserve">  Sales of Gas</t>
  </si>
  <si>
    <t>Residential</t>
  </si>
  <si>
    <t>Unbilled Residential</t>
  </si>
  <si>
    <t>Commercial</t>
  </si>
  <si>
    <t>Industrial</t>
  </si>
  <si>
    <t>Unbilled Commercial</t>
  </si>
  <si>
    <t>Unbilled Industrial</t>
  </si>
  <si>
    <t>Other - Public Authority</t>
  </si>
  <si>
    <t>Unbilled Public Authority</t>
  </si>
  <si>
    <t xml:space="preserve">  Total Sales of Gas</t>
  </si>
  <si>
    <t xml:space="preserve">  Other Operating Income</t>
  </si>
  <si>
    <t>Forfeited Discounts</t>
  </si>
  <si>
    <t>Misc. Service Revenues</t>
  </si>
  <si>
    <t>Revenue From Transportation of Gas of Others</t>
  </si>
  <si>
    <t>Other Gas Revenue</t>
  </si>
  <si>
    <t>Provision for Rate Refunds</t>
  </si>
  <si>
    <t xml:space="preserve">  Total Other Operating Income</t>
  </si>
  <si>
    <t>T O T A L  O P E R A T I N G  R E V E N U E</t>
  </si>
  <si>
    <t>O P E R A T I N G  E X P E N S E S</t>
  </si>
  <si>
    <t>Production Expense - Operation</t>
  </si>
  <si>
    <t>Ng. Field Meas. &amp; Reg. Station</t>
  </si>
  <si>
    <t>Production and gathering-Other</t>
  </si>
  <si>
    <t>Total Production Expense - Operation</t>
  </si>
  <si>
    <t>Production Expense - Maintenance</t>
  </si>
  <si>
    <t>Ng Main. Supervision &amp; Engineering</t>
  </si>
  <si>
    <t>Natural Gas Storage Expense - Operation</t>
  </si>
  <si>
    <t>Operation Supervision &amp; Engineering</t>
  </si>
  <si>
    <t>Maps and Records</t>
  </si>
  <si>
    <t>Wells Expense</t>
  </si>
  <si>
    <t>Lines Expense</t>
  </si>
  <si>
    <t>Compressor Station Expense</t>
  </si>
  <si>
    <t>Compressor Station Expense Fuel &amp; Power</t>
  </si>
  <si>
    <t>Measuring &amp; Regulating Station Expense</t>
  </si>
  <si>
    <t>Purification</t>
  </si>
  <si>
    <t>Other</t>
  </si>
  <si>
    <t>Storage Well Royalties</t>
  </si>
  <si>
    <t>Total Nat. Gas Storage Expense - Operation</t>
  </si>
  <si>
    <t>Natural Gas Storage Expense - Maintenance</t>
  </si>
  <si>
    <t>Structure &amp; Improvements</t>
  </si>
  <si>
    <t>Reservoirs &amp; Wells</t>
  </si>
  <si>
    <t>Compressor Station Equip.</t>
  </si>
  <si>
    <t>Measuring &amp; Regulating Station Equip.</t>
  </si>
  <si>
    <t>Purification Equipment</t>
  </si>
  <si>
    <t>Maintenance of other equipment</t>
  </si>
  <si>
    <t>840/847</t>
  </si>
  <si>
    <t>Other Storage Exp. - LNG</t>
  </si>
  <si>
    <t>Total Nat. Gas Storage Expense - Maintenance</t>
  </si>
  <si>
    <t>Transmission Expense - Operation</t>
  </si>
  <si>
    <t>Communication system expenses</t>
  </si>
  <si>
    <t>Other fuel &amp; power for compression</t>
  </si>
  <si>
    <t>Mains Expense</t>
  </si>
  <si>
    <t>Measuring &amp; Regulating Station Exp.</t>
  </si>
  <si>
    <t>Other Exp.</t>
  </si>
  <si>
    <t>Rents</t>
  </si>
  <si>
    <t>Total Transmission Expense - Operation</t>
  </si>
  <si>
    <t>Transmission Expense - Maintenance</t>
  </si>
  <si>
    <t>Structures and Improvements</t>
  </si>
  <si>
    <t>Mains</t>
  </si>
  <si>
    <t>Compressor Station Equipment</t>
  </si>
  <si>
    <t>Measuring &amp; Reg Station Equip.</t>
  </si>
  <si>
    <t>Other Equipment</t>
  </si>
  <si>
    <t>Total Transmission Expense - Maintenance</t>
  </si>
  <si>
    <t>Purchased Gas Cost - Operation</t>
  </si>
  <si>
    <t>Intercompany Gas Well-head Purchases</t>
  </si>
  <si>
    <t xml:space="preserve">      Natural gas field line purchases</t>
  </si>
  <si>
    <t xml:space="preserve">      Natural Gas City Gate Purchases</t>
  </si>
  <si>
    <t xml:space="preserve">      Transportation to City Gate</t>
  </si>
  <si>
    <t>Transmission-Operation supervision and engineering</t>
  </si>
  <si>
    <t xml:space="preserve">      Other Gas Purchases / Gas Cost Adjustments</t>
  </si>
  <si>
    <t xml:space="preserve">      PGA for Commercial</t>
  </si>
  <si>
    <t xml:space="preserve">      PGA for Industrial</t>
  </si>
  <si>
    <t xml:space="preserve">      PGA for Public Authority</t>
  </si>
  <si>
    <t xml:space="preserve">      PGA for Transportation Sales</t>
  </si>
  <si>
    <t xml:space="preserve">      Unbilled PGA Costs</t>
  </si>
  <si>
    <t xml:space="preserve">      PGA Offset to Unrecovered Gas Cost</t>
  </si>
  <si>
    <t xml:space="preserve">      Exchange Gas</t>
  </si>
  <si>
    <t xml:space="preserve">      Gas Withdrawn From Storage - Debit</t>
  </si>
  <si>
    <t xml:space="preserve">      Gas Delivered to Storage</t>
  </si>
  <si>
    <t xml:space="preserve">      Gas used for products extraction-Credit</t>
  </si>
  <si>
    <t xml:space="preserve">      Gas Used for Other Utility Operations</t>
  </si>
  <si>
    <t xml:space="preserve">      Transmission and compression of gas by others</t>
  </si>
  <si>
    <t>Total Purchased Gas Cost</t>
  </si>
  <si>
    <t>Distribution Expenses - Operation</t>
  </si>
  <si>
    <t>Supervision and Engineering</t>
  </si>
  <si>
    <t>Distribution Load Dispatching</t>
  </si>
  <si>
    <t xml:space="preserve">      Odorization</t>
  </si>
  <si>
    <t>Compressor Station Labor &amp; Expenses</t>
  </si>
  <si>
    <t>Mains &amp; Services</t>
  </si>
  <si>
    <t>Measuring and Regulating Station Exp. - Gen</t>
  </si>
  <si>
    <t>Measuring and Regulating Station Exp. - Ind.</t>
  </si>
  <si>
    <t>Measuring and Regulating Sta. Exp. - City Gate</t>
  </si>
  <si>
    <t>Meters and House Regulator Expense</t>
  </si>
  <si>
    <t>Customer Installations Expense</t>
  </si>
  <si>
    <t>Other Expense</t>
  </si>
  <si>
    <t>Total Distribution Expenses - Operation</t>
  </si>
  <si>
    <t>Distribution Expenses - Maintenance</t>
  </si>
  <si>
    <t>Services</t>
  </si>
  <si>
    <t>Meters and House Regulators</t>
  </si>
  <si>
    <t>Maintenance of Other Plant</t>
  </si>
  <si>
    <t>Total Distribution Expenses - Maintenance</t>
  </si>
  <si>
    <t>Customer Accounts Expenses - Operation</t>
  </si>
  <si>
    <t>Supervision</t>
  </si>
  <si>
    <t>Meter Reading Expenses</t>
  </si>
  <si>
    <t>Customer Records &amp; Collections</t>
  </si>
  <si>
    <t>Uncollectible Accounts</t>
  </si>
  <si>
    <t>Total Customer Accounts Expense</t>
  </si>
  <si>
    <t>Customer Service &amp; Information - Operation</t>
  </si>
  <si>
    <t>Customer Assistance Expenses</t>
  </si>
  <si>
    <t>Informational and Instructional Advertising Expenses</t>
  </si>
  <si>
    <t>Misc Cust Serv &amp; Informational Exp</t>
  </si>
  <si>
    <t>Total Customer Accounts Expenses - Operation</t>
  </si>
  <si>
    <t>Demonstrating and Selling Expenses</t>
  </si>
  <si>
    <t>Advertising Expenses</t>
  </si>
  <si>
    <t>Miscellaneous Sales Expenses</t>
  </si>
  <si>
    <t>Total Sales Expenses</t>
  </si>
  <si>
    <t>Administrative and General Expenses - Operation</t>
  </si>
  <si>
    <t>Administrative and General Salaries</t>
  </si>
  <si>
    <t>Office Supplies and Expenses</t>
  </si>
  <si>
    <t>Administrative Expense Transferred</t>
  </si>
  <si>
    <t>Outside Services Employed</t>
  </si>
  <si>
    <t>Property Insurance</t>
  </si>
  <si>
    <t>Injuries and Damages</t>
  </si>
  <si>
    <t>Employee Pensions and Benefits</t>
  </si>
  <si>
    <t>Franchise Requirements</t>
  </si>
  <si>
    <t>Regulatory Commission Expense</t>
  </si>
  <si>
    <t>Miscellaneous General Expense</t>
  </si>
  <si>
    <t>A&amp;G-Rents</t>
  </si>
  <si>
    <t>Total Administrative and General Exp. - Operation</t>
  </si>
  <si>
    <t>Administrative and General Expense - Maintenance</t>
  </si>
  <si>
    <t>Maintenance of general plant</t>
  </si>
  <si>
    <t>Total Administrative and Gen. Exp. - Maintenance</t>
  </si>
  <si>
    <t>Total Operation and Maintenance Expense</t>
  </si>
  <si>
    <t xml:space="preserve">Depreciation </t>
  </si>
  <si>
    <t>Amortization</t>
  </si>
  <si>
    <t>Taxes Other than Income Taxes</t>
  </si>
  <si>
    <t>4091-4101</t>
  </si>
  <si>
    <t>Provision for Federal &amp; State Income Taxes</t>
  </si>
  <si>
    <t>TOTAL OPERATING EXPENSE (incl Gas Cost)</t>
  </si>
  <si>
    <t>NET OPERATING INCOME</t>
  </si>
  <si>
    <t>Operating Revenue and Expenses by FERC Account</t>
  </si>
  <si>
    <t>Data:________Base Period___X____Forecasted Period</t>
  </si>
  <si>
    <t>Schedule C-2.1 F</t>
  </si>
  <si>
    <t>4893-4896</t>
  </si>
  <si>
    <t>Ng. Main. Supervision &amp; Engineering</t>
  </si>
  <si>
    <t>841/847</t>
  </si>
  <si>
    <t>Other Fuel &amp; Power for Compression</t>
  </si>
  <si>
    <t xml:space="preserve">      Other Gas Supply Expenses</t>
  </si>
  <si>
    <t>8950</t>
  </si>
  <si>
    <t>Maintenance of General Plant</t>
  </si>
  <si>
    <t>403-406</t>
  </si>
  <si>
    <t>Depreciation and Amortization</t>
  </si>
  <si>
    <t>T O T A L  O P E R A T I N G  E X P E N S E</t>
  </si>
  <si>
    <t>N E T  O P E R A T I N G  I N C O M E</t>
  </si>
  <si>
    <t>Monthly Jurisdictional Operating Income by FERC Account</t>
  </si>
  <si>
    <t>FR 16(8)(c)2.2</t>
  </si>
  <si>
    <t>Schedule C-2.2</t>
  </si>
  <si>
    <t>Acct</t>
  </si>
  <si>
    <t>actual</t>
  </si>
  <si>
    <t>Budgeted</t>
  </si>
  <si>
    <t>Account Discription</t>
  </si>
  <si>
    <t>Total</t>
  </si>
  <si>
    <t>$</t>
  </si>
  <si>
    <t>Provision for income taxes</t>
  </si>
  <si>
    <t>Amortization of gas plant acquisition adjustments</t>
  </si>
  <si>
    <t>Taxes other than income taxes, utility operating income</t>
  </si>
  <si>
    <t>Residential sales</t>
  </si>
  <si>
    <t>Unbilled Residential Revenue</t>
  </si>
  <si>
    <t>Commercial Revenue</t>
  </si>
  <si>
    <t>Industrial Revenue</t>
  </si>
  <si>
    <t>Unbilled Comm Revenue</t>
  </si>
  <si>
    <t>Unbilled Industrial Revenue</t>
  </si>
  <si>
    <t>Other Sales to Public Authorities</t>
  </si>
  <si>
    <t>Unbilled Public Authority Revenue</t>
  </si>
  <si>
    <t>Forfeited discounts</t>
  </si>
  <si>
    <t>Miscellaneous service revenues</t>
  </si>
  <si>
    <t>Revenue-Transportation Distribution</t>
  </si>
  <si>
    <t>Field measuring and regulating station expenses</t>
  </si>
  <si>
    <t>Natural gas field line purchases</t>
  </si>
  <si>
    <t>Natural gas city gate purchases</t>
  </si>
  <si>
    <t>Other purchases</t>
  </si>
  <si>
    <t>PGA for Residential</t>
  </si>
  <si>
    <t>PGA for Commercial</t>
  </si>
  <si>
    <t>PGA for Industrial</t>
  </si>
  <si>
    <t>PGA for Public Authorities</t>
  </si>
  <si>
    <t>Unbilled PGA Cost</t>
  </si>
  <si>
    <t>PGA Offset to Unrecovered Gas Cost</t>
  </si>
  <si>
    <t>Exchange gas</t>
  </si>
  <si>
    <t>Gas withdrawn from storage-Debit</t>
  </si>
  <si>
    <t>Gas delivered to storage-Credit</t>
  </si>
  <si>
    <t>Gas used for other utility operations-Credit</t>
  </si>
  <si>
    <t>Transmission and compression of gas by others</t>
  </si>
  <si>
    <t>Storage-Operation supervision and engineering</t>
  </si>
  <si>
    <t>Wells expenses</t>
  </si>
  <si>
    <t>Lines expenses</t>
  </si>
  <si>
    <t>Compressor station expenses</t>
  </si>
  <si>
    <t>Compressor station fuel and power</t>
  </si>
  <si>
    <t>Storage-Measuring and regulating station expenses</t>
  </si>
  <si>
    <t>Storage-Purification expenses</t>
  </si>
  <si>
    <t>Storage-Other expenses</t>
  </si>
  <si>
    <t>Storage well royalties</t>
  </si>
  <si>
    <t>Storage-Maintenance of structures and improvements</t>
  </si>
  <si>
    <t>Maintenance of compressor station equipment</t>
  </si>
  <si>
    <t>Maintenance of measuring and regulating station equipment</t>
  </si>
  <si>
    <t>Processing-Maintenance of purification equipment</t>
  </si>
  <si>
    <t>Other storage expenses-Operation labor and expenses</t>
  </si>
  <si>
    <t>Other fuel and power for Compression</t>
  </si>
  <si>
    <t>Mains expenses</t>
  </si>
  <si>
    <t>Transmission-Measuring and regulating station expenses</t>
  </si>
  <si>
    <t>Transmission-Maintenance of mains</t>
  </si>
  <si>
    <t>Transmission-Maintenance of compressor sta equipment</t>
  </si>
  <si>
    <t>Transmission-Maintenance of measuring and regulating station equipment</t>
  </si>
  <si>
    <t>Distribution-Operation supervision and engineering</t>
  </si>
  <si>
    <t>Distribution load dispatching</t>
  </si>
  <si>
    <t>Odorization</t>
  </si>
  <si>
    <t>Distribution-Compressor station labor and expenses</t>
  </si>
  <si>
    <t>Mains and Services Expenses</t>
  </si>
  <si>
    <t>Distribution-Measuring and regulating station expenses</t>
  </si>
  <si>
    <t>Distribution-Measuring and regulating station expenses-Industrial</t>
  </si>
  <si>
    <t>Distribution-Measuring and regulating station expenses-City gate check stations</t>
  </si>
  <si>
    <t>Meter and house regulator expenses</t>
  </si>
  <si>
    <t>Customer installations expenses</t>
  </si>
  <si>
    <t>Distribution-Other expenses</t>
  </si>
  <si>
    <t>Distribution-Rents</t>
  </si>
  <si>
    <t>Distribution-Maintenance supervision and engineering</t>
  </si>
  <si>
    <t>Distribution-Maintenance of structures and improvements</t>
  </si>
  <si>
    <t>Distribution-Maint of mains</t>
  </si>
  <si>
    <t>Maintenance of measuring and regulating station equipment-General</t>
  </si>
  <si>
    <t>Maintenance of measuring and regulating station equipment-Industrial</t>
  </si>
  <si>
    <t>Maintenance of measuring and regulating station equipment-City gate check stations</t>
  </si>
  <si>
    <t>Maintenance of services</t>
  </si>
  <si>
    <t>Maintenance of meters and house regulators</t>
  </si>
  <si>
    <t>Distribution-Maintenance of other equipment</t>
  </si>
  <si>
    <t>Customer accounts-Operation supervision</t>
  </si>
  <si>
    <t>Customer accounts-Meter reading expenses</t>
  </si>
  <si>
    <t>Customer accounts-Customer records and collections expenses</t>
  </si>
  <si>
    <t>Customer accounts-Uncollectible accounts</t>
  </si>
  <si>
    <t>Customer service-Operating informational and instructional advertising expense</t>
  </si>
  <si>
    <t>Customer service-Miscellaneous customer service</t>
  </si>
  <si>
    <t>Sales-Supervision</t>
  </si>
  <si>
    <t>Sales-Demonstrating and selling expenses</t>
  </si>
  <si>
    <t>Sales-Advertising expenses</t>
  </si>
  <si>
    <t>A&amp;G-Administrative &amp; general salaries</t>
  </si>
  <si>
    <t>A&amp;G-Office supplies &amp; expense</t>
  </si>
  <si>
    <t>A&amp;G-Administrative expense transferred-Credit</t>
  </si>
  <si>
    <t>A&amp;G-Outside services employed</t>
  </si>
  <si>
    <t>A&amp;G-Property insurance</t>
  </si>
  <si>
    <t>A&amp;G-Injuries &amp; damages</t>
  </si>
  <si>
    <t>A&amp;G-Employee pensions and benefits</t>
  </si>
  <si>
    <t>A&amp;G-Franchise requirements</t>
  </si>
  <si>
    <t>A&amp;G-Regulatory commission expenses</t>
  </si>
  <si>
    <t>Miscellaneous general expenses</t>
  </si>
  <si>
    <t>A&amp;G-Maintenance of general plant</t>
  </si>
  <si>
    <t>Operating (Income)Loss*</t>
  </si>
  <si>
    <t>*Note:  Debits are shown as positive, and credits are shown as negatives.  Includes the  Shared Services allocation.</t>
  </si>
  <si>
    <t>**Note:  Provision for Income Taxes is not a component of Operating Income but is included on this schedule to develop the 12 month total for use elsewhere in the model</t>
  </si>
  <si>
    <t>Data Sources:</t>
  </si>
  <si>
    <t>KMD TB BS &amp; IS end Mar-21_DIV 009 &amp; DIV 091 IS Activity.xlsx</t>
  </si>
  <si>
    <t>OM for KY-2021.xlsx</t>
  </si>
  <si>
    <t>KY Plant Data-2021.xlsx</t>
  </si>
  <si>
    <t>Div 009 Direct O&amp;M</t>
  </si>
  <si>
    <t>KY Revenue  Billing Unit Forecast TYE 12.31.2022.xlsx</t>
  </si>
  <si>
    <r>
      <t xml:space="preserve">Monthly Jurisdictional Operating Income by FERC Account, </t>
    </r>
    <r>
      <rPr>
        <b/>
        <sz val="12"/>
        <rFont val="Helvetica-Narrow"/>
      </rPr>
      <t>Div 002 Only</t>
    </r>
  </si>
  <si>
    <t>Mains Expenses</t>
  </si>
  <si>
    <t>Sales-Miscellaneous sales expenses</t>
  </si>
  <si>
    <t>A&amp;G-General advertising expense</t>
  </si>
  <si>
    <t>Allocation Factor to Kentucky</t>
  </si>
  <si>
    <t>Total Allocated Amount</t>
  </si>
  <si>
    <t>*Note:  Debits are shown as positive, and credits are shown as negatives.  Includes the Shared Services allocation.</t>
  </si>
  <si>
    <t>SSU TB BS &amp; IS end Mar-21_DIV 002 &amp; DIV 012 IS Activity.xlsx</t>
  </si>
  <si>
    <t>Income Statement_Report-9220 Accts - end Mar-21.xlsx</t>
  </si>
  <si>
    <t>SSU Direct O&amp;M</t>
  </si>
  <si>
    <t>O&amp;M Comparison</t>
  </si>
  <si>
    <r>
      <t xml:space="preserve">Monthly Jurisdictional Operating Income by FERC Account, </t>
    </r>
    <r>
      <rPr>
        <b/>
        <sz val="12"/>
        <rFont val="Helvetica-Narrow"/>
      </rPr>
      <t>Div 012 Only</t>
    </r>
  </si>
  <si>
    <r>
      <t xml:space="preserve">Monthly Jurisdictional Operating Income by FERC Account, </t>
    </r>
    <r>
      <rPr>
        <b/>
        <sz val="12"/>
        <rFont val="Helvetica-Narrow"/>
      </rPr>
      <t>Div 091 Only</t>
    </r>
  </si>
  <si>
    <t>4060</t>
  </si>
  <si>
    <t>Transmission-Maintenance of me - Non-Inventory Supplies 8650-02005</t>
  </si>
  <si>
    <t>Revenue-Transportation Commercial</t>
  </si>
  <si>
    <t>A&amp;G-Administrative &amp; General Salaries</t>
  </si>
  <si>
    <t>Gas Cost by FERC-end Mar-21.xlsx</t>
  </si>
  <si>
    <t>Direct O&amp;M</t>
  </si>
  <si>
    <t>Allocated</t>
  </si>
  <si>
    <t>Total O&amp;M</t>
  </si>
  <si>
    <t>Maintenance Supervision and Engineering</t>
  </si>
  <si>
    <t>Sales-Demonstrating and selling</t>
  </si>
  <si>
    <t>Distribution-Measuring and regulating station expenses-Genrl</t>
  </si>
  <si>
    <t>Account 4081-Taxes Other than Income Tax by Sub-Account</t>
  </si>
  <si>
    <t>FR 16(8)(c)2.3</t>
  </si>
  <si>
    <t>Schedule C-2.3 B</t>
  </si>
  <si>
    <t>Witness: Christian</t>
  </si>
  <si>
    <t>Discription</t>
  </si>
  <si>
    <t>Div 009</t>
  </si>
  <si>
    <t>Payroll</t>
  </si>
  <si>
    <t>Payroll Tax Projects</t>
  </si>
  <si>
    <t>Ad Valorem - Accrual</t>
  </si>
  <si>
    <t>Dot Transmission User Tax</t>
  </si>
  <si>
    <t>Taxes Property and Other</t>
  </si>
  <si>
    <t>Public Service Commission Assessment</t>
  </si>
  <si>
    <t xml:space="preserve">Allocation for taxes other CSC </t>
  </si>
  <si>
    <t>Allocation from taxes other SS</t>
  </si>
  <si>
    <t>Allocation from taxes other Gen Office</t>
  </si>
  <si>
    <t>Div 002</t>
  </si>
  <si>
    <t>Ad Valorem</t>
  </si>
  <si>
    <t>Taxes Property And Other</t>
  </si>
  <si>
    <t>Total Tax Other Than Income Tax</t>
  </si>
  <si>
    <t>Allocation Factor to Kentucky Mid-States (Div 091)</t>
  </si>
  <si>
    <t>Allocation Factor to Kentucky Jurisdiction (Div 009)</t>
  </si>
  <si>
    <t>Div 012</t>
  </si>
  <si>
    <t>Div 091</t>
  </si>
  <si>
    <t>Occupational Licenses</t>
  </si>
  <si>
    <t>SOURCE:</t>
  </si>
  <si>
    <t>Income Statement - Taxes Other-2021.xlsx</t>
  </si>
  <si>
    <t>Schedule C-2.3 F</t>
  </si>
  <si>
    <t xml:space="preserve">Payroll </t>
  </si>
  <si>
    <t>Benefit Load Projects</t>
  </si>
  <si>
    <t>Total Allocated Amount from Div 2</t>
  </si>
  <si>
    <t>Total Allocated Amount from Div 12</t>
  </si>
  <si>
    <t>Total Allocated Amount from Div 91</t>
  </si>
  <si>
    <t>SOURCES:</t>
  </si>
  <si>
    <t>Atmos Energy Corporation, Kentucky/Mid-States Division</t>
  </si>
  <si>
    <t>Kentucky Jurisdiction Case No. 2021-00214</t>
  </si>
  <si>
    <t>Base Period: Twelve Months Ended September 30, 2021</t>
  </si>
  <si>
    <t>Forecasted Test Period: Twelve Months Ended December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</si>
</sst>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0.0000%"/>
    <numFmt numFmtId="168" formatCode="0_);\(0\)"/>
    <numFmt numFmtId="169" formatCode="0.000%"/>
    <numFmt numFmtId="170" formatCode="0000"/>
    <numFmt numFmtId="171" formatCode="000.0"/>
    <numFmt numFmtId="172" formatCode="[$-409]mmm\-yy;@"/>
    <numFmt numFmtId="173" formatCode="0.000000%"/>
  </numFmts>
  <fonts count="32">
    <font>
      <sz val="12"/>
      <name val="Helvetica-Narrow"/>
      <family val="2"/>
    </font>
    <font>
      <sz val="12"/>
      <name val="Helvetica-Narrow"/>
      <family val="2"/>
    </font>
    <font>
      <b/>
      <sz val="12"/>
      <name val="Helvetica-Narrow"/>
      <family val="2"/>
    </font>
    <font>
      <sz val="12"/>
      <color theme="0" tint="-0.499984740745262"/>
      <name val="Helvetica-Narrow"/>
      <family val="2"/>
    </font>
    <font>
      <u/>
      <sz val="12"/>
      <name val="Helvetica-Narrow"/>
      <family val="2"/>
    </font>
    <font>
      <sz val="12"/>
      <color theme="0" tint="-0.34998626667073579"/>
      <name val="Helvetica-Narrow"/>
      <family val="2"/>
    </font>
    <font>
      <sz val="12"/>
      <name val="Times New Roman"/>
      <family val="1"/>
    </font>
    <font>
      <sz val="12"/>
      <color theme="0" tint="-0.249977111117893"/>
      <name val="Helvetica-Narrow"/>
    </font>
    <font>
      <sz val="10"/>
      <color rgb="FFFF0000"/>
      <name val="Helvetica-Narrow"/>
      <family val="2"/>
    </font>
    <font>
      <sz val="12"/>
      <color theme="0" tint="-0.249977111117893"/>
      <name val="Helvetica-Narrow"/>
      <family val="2"/>
    </font>
    <font>
      <sz val="12"/>
      <color rgb="FF7030A0"/>
      <name val="Helvetica-Narrow"/>
      <family val="2"/>
    </font>
    <font>
      <sz val="12"/>
      <color rgb="FF0000FF"/>
      <name val="Helvetica-Narrow"/>
      <family val="2"/>
    </font>
    <font>
      <b/>
      <sz val="9"/>
      <name val="Helvetica-Narrow"/>
      <family val="2"/>
    </font>
    <font>
      <sz val="9"/>
      <name val="Helvetica-Narrow"/>
      <family val="2"/>
    </font>
    <font>
      <sz val="12"/>
      <name val="Helvetica-Narrow"/>
    </font>
    <font>
      <u/>
      <sz val="12"/>
      <name val="Helvetica-Narrow"/>
    </font>
    <font>
      <sz val="12"/>
      <color rgb="FF0000FF"/>
      <name val="Helvetica-Narrow"/>
    </font>
    <font>
      <u val="double"/>
      <sz val="12"/>
      <name val="Helvetica-Narrow"/>
    </font>
    <font>
      <sz val="12"/>
      <color rgb="FFFF0000"/>
      <name val="Helvetica-Narrow"/>
    </font>
    <font>
      <b/>
      <sz val="12"/>
      <color rgb="FF0000FF"/>
      <name val="Helvetica-Narrow"/>
    </font>
    <font>
      <sz val="12"/>
      <color rgb="FFFF0000"/>
      <name val="Helvetica-Narrow"/>
      <family val="2"/>
    </font>
    <font>
      <b/>
      <sz val="10"/>
      <color rgb="FFFF0000"/>
      <name val="Arial"/>
      <family val="2"/>
    </font>
    <font>
      <b/>
      <sz val="12"/>
      <name val="Helvetica-Narrow"/>
    </font>
    <font>
      <sz val="10"/>
      <name val="Arial"/>
      <family val="2"/>
    </font>
    <font>
      <b/>
      <sz val="12"/>
      <color rgb="FFFF0000"/>
      <name val="Helvetica-Narrow"/>
    </font>
    <font>
      <sz val="12"/>
      <color rgb="FF7030A0"/>
      <name val="Helvetica-Narrow"/>
    </font>
    <font>
      <b/>
      <sz val="10"/>
      <name val="Times New Roman"/>
      <family val="1"/>
    </font>
    <font>
      <sz val="10"/>
      <color theme="1"/>
      <name val="Arial"/>
      <family val="2"/>
    </font>
    <font>
      <b/>
      <sz val="12"/>
      <color rgb="FF00B050"/>
      <name val="Helvetica-Narrow"/>
    </font>
    <font>
      <sz val="12"/>
      <color rgb="FF008000"/>
      <name val="Helvetica-Narrow"/>
    </font>
    <font>
      <sz val="10"/>
      <color indexed="8"/>
      <name val="Arial"/>
      <family val="2"/>
    </font>
    <font>
      <b/>
      <sz val="11"/>
      <color indexed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37" fontId="0" fillId="0" borderId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/>
    <xf numFmtId="40" fontId="30" fillId="2" borderId="0">
      <alignment horizontal="right"/>
    </xf>
  </cellStyleXfs>
  <cellXfs count="244">
    <xf numFmtId="37" fontId="0" fillId="0" borderId="0" xfId="0"/>
    <xf numFmtId="37" fontId="1" fillId="0" borderId="1" xfId="0" applyFont="1" applyBorder="1" applyAlignment="1">
      <alignment horizontal="center"/>
    </xf>
    <xf numFmtId="37" fontId="1" fillId="0" borderId="1" xfId="0" applyFont="1" applyBorder="1"/>
    <xf numFmtId="37" fontId="1" fillId="0" borderId="0" xfId="0" applyFont="1" applyAlignment="1">
      <alignment horizontal="center"/>
    </xf>
    <xf numFmtId="37" fontId="1" fillId="0" borderId="0" xfId="0" applyFont="1"/>
    <xf numFmtId="37" fontId="1" fillId="0" borderId="0" xfId="0" applyFont="1" applyAlignment="1">
      <alignment horizontal="left" indent="1"/>
    </xf>
    <xf numFmtId="37" fontId="1" fillId="0" borderId="0" xfId="0" applyFont="1" applyAlignment="1" applyProtection="1">
      <alignment horizontal="center"/>
      <protection locked="0"/>
    </xf>
    <xf numFmtId="37" fontId="1" fillId="0" borderId="0" xfId="0" applyFont="1" applyAlignment="1" applyProtection="1">
      <alignment horizontal="left"/>
    </xf>
    <xf numFmtId="37" fontId="1" fillId="0" borderId="0" xfId="0" applyFont="1" applyAlignment="1">
      <alignment horizontal="right"/>
    </xf>
    <xf numFmtId="37" fontId="1" fillId="0" borderId="0" xfId="0" applyFont="1" applyAlignment="1" applyProtection="1">
      <alignment horizontal="right"/>
    </xf>
    <xf numFmtId="37" fontId="1" fillId="0" borderId="2" xfId="0" applyFont="1" applyBorder="1" applyAlignment="1" applyProtection="1">
      <alignment horizontal="left"/>
    </xf>
    <xf numFmtId="37" fontId="1" fillId="0" borderId="2" xfId="0" applyFont="1" applyBorder="1"/>
    <xf numFmtId="37" fontId="1" fillId="0" borderId="2" xfId="0" applyFont="1" applyBorder="1" applyAlignment="1" applyProtection="1">
      <alignment horizontal="right"/>
    </xf>
    <xf numFmtId="37" fontId="1" fillId="0" borderId="0" xfId="0" applyFont="1" applyAlignment="1" applyProtection="1">
      <alignment horizontal="center"/>
    </xf>
    <xf numFmtId="37" fontId="3" fillId="0" borderId="0" xfId="0" applyFont="1"/>
    <xf numFmtId="37" fontId="1" fillId="0" borderId="2" xfId="0" applyFont="1" applyBorder="1" applyAlignment="1" applyProtection="1">
      <alignment horizontal="center"/>
    </xf>
    <xf numFmtId="37" fontId="4" fillId="0" borderId="0" xfId="0" applyFont="1" applyAlignment="1">
      <alignment horizontal="center"/>
    </xf>
    <xf numFmtId="37" fontId="5" fillId="0" borderId="0" xfId="0" applyFont="1" applyAlignment="1">
      <alignment horizontal="center"/>
    </xf>
    <xf numFmtId="37" fontId="3" fillId="0" borderId="0" xfId="0" applyFont="1" applyAlignment="1">
      <alignment horizontal="center"/>
    </xf>
    <xf numFmtId="37" fontId="3" fillId="0" borderId="0" xfId="0" applyFont="1" applyAlignment="1">
      <alignment horizontal="left"/>
    </xf>
    <xf numFmtId="37" fontId="5" fillId="0" borderId="0" xfId="0" applyFont="1"/>
    <xf numFmtId="164" fontId="1" fillId="0" borderId="0" xfId="2" applyNumberFormat="1" applyFont="1" applyFill="1" applyProtection="1"/>
    <xf numFmtId="37" fontId="1" fillId="0" borderId="0" xfId="0" applyFont="1" applyProtection="1"/>
    <xf numFmtId="164" fontId="1" fillId="0" borderId="0" xfId="2" applyNumberFormat="1" applyFont="1" applyProtection="1"/>
    <xf numFmtId="165" fontId="3" fillId="0" borderId="0" xfId="3" applyNumberFormat="1" applyFont="1" applyProtection="1"/>
    <xf numFmtId="166" fontId="5" fillId="0" borderId="0" xfId="1" applyNumberFormat="1" applyFont="1" applyFill="1" applyProtection="1"/>
    <xf numFmtId="37" fontId="5" fillId="0" borderId="0" xfId="0" applyFont="1" applyProtection="1"/>
    <xf numFmtId="166" fontId="3" fillId="0" borderId="0" xfId="1" applyNumberFormat="1" applyFont="1" applyFill="1" applyProtection="1"/>
    <xf numFmtId="37" fontId="3" fillId="0" borderId="0" xfId="0" applyFont="1" applyProtection="1"/>
    <xf numFmtId="37" fontId="1" fillId="0" borderId="0" xfId="0" applyFont="1" applyAlignment="1" applyProtection="1">
      <alignment horizontal="left" indent="1"/>
    </xf>
    <xf numFmtId="166" fontId="1" fillId="0" borderId="0" xfId="1" applyNumberFormat="1" applyFont="1" applyFill="1" applyProtection="1"/>
    <xf numFmtId="166" fontId="1" fillId="0" borderId="0" xfId="1" applyNumberFormat="1" applyFont="1" applyFill="1"/>
    <xf numFmtId="166" fontId="3" fillId="0" borderId="0" xfId="1" applyNumberFormat="1" applyFont="1" applyFill="1"/>
    <xf numFmtId="167" fontId="7" fillId="0" borderId="0" xfId="0" applyNumberFormat="1" applyFont="1" applyProtection="1"/>
    <xf numFmtId="166" fontId="1" fillId="0" borderId="0" xfId="1" applyNumberFormat="1" applyFont="1" applyProtection="1"/>
    <xf numFmtId="167" fontId="1" fillId="0" borderId="0" xfId="0" applyNumberFormat="1" applyFont="1" applyProtection="1"/>
    <xf numFmtId="166" fontId="1" fillId="0" borderId="0" xfId="1" applyNumberFormat="1" applyFont="1"/>
    <xf numFmtId="166" fontId="3" fillId="0" borderId="0" xfId="1" applyNumberFormat="1" applyFont="1"/>
    <xf numFmtId="166" fontId="3" fillId="0" borderId="0" xfId="1" applyNumberFormat="1" applyFont="1" applyProtection="1"/>
    <xf numFmtId="166" fontId="1" fillId="0" borderId="2" xfId="1" applyNumberFormat="1" applyFont="1" applyFill="1" applyBorder="1" applyProtection="1"/>
    <xf numFmtId="166" fontId="1" fillId="0" borderId="1" xfId="1" applyNumberFormat="1" applyFont="1" applyBorder="1" applyProtection="1"/>
    <xf numFmtId="165" fontId="8" fillId="0" borderId="0" xfId="3" applyNumberFormat="1" applyFont="1" applyProtection="1"/>
    <xf numFmtId="164" fontId="1" fillId="0" borderId="3" xfId="2" applyNumberFormat="1" applyFont="1" applyBorder="1" applyProtection="1"/>
    <xf numFmtId="164" fontId="1" fillId="0" borderId="3" xfId="2" applyNumberFormat="1" applyFont="1" applyFill="1" applyBorder="1" applyProtection="1"/>
    <xf numFmtId="10" fontId="0" fillId="0" borderId="0" xfId="0" applyNumberFormat="1" applyProtection="1"/>
    <xf numFmtId="10" fontId="1" fillId="0" borderId="0" xfId="0" applyNumberFormat="1" applyFont="1" applyProtection="1"/>
    <xf numFmtId="10" fontId="3" fillId="0" borderId="0" xfId="0" applyNumberFormat="1" applyFont="1" applyProtection="1"/>
    <xf numFmtId="37" fontId="9" fillId="0" borderId="0" xfId="0" applyFont="1" applyAlignment="1">
      <alignment horizontal="right"/>
    </xf>
    <xf numFmtId="37" fontId="9" fillId="0" borderId="0" xfId="0" applyFont="1"/>
    <xf numFmtId="37" fontId="1" fillId="0" borderId="0" xfId="0" applyFont="1" applyProtection="1">
      <protection locked="0"/>
    </xf>
    <xf numFmtId="37" fontId="0" fillId="0" borderId="0" xfId="0" applyAlignment="1" applyProtection="1">
      <alignment horizontal="left"/>
    </xf>
    <xf numFmtId="37" fontId="1" fillId="0" borderId="0" xfId="0" applyFont="1" applyAlignment="1" applyProtection="1">
      <alignment horizontal="left"/>
      <protection locked="0"/>
    </xf>
    <xf numFmtId="37" fontId="1" fillId="0" borderId="0" xfId="0" applyFont="1" applyAlignment="1" applyProtection="1">
      <alignment horizontal="right"/>
      <protection locked="0"/>
    </xf>
    <xf numFmtId="37" fontId="0" fillId="0" borderId="1" xfId="0" applyBorder="1" applyAlignment="1" applyProtection="1">
      <alignment horizontal="left"/>
    </xf>
    <xf numFmtId="37" fontId="1" fillId="0" borderId="2" xfId="0" applyFont="1" applyBorder="1" applyAlignment="1" applyProtection="1">
      <alignment horizontal="left"/>
      <protection locked="0"/>
    </xf>
    <xf numFmtId="37" fontId="0" fillId="0" borderId="2" xfId="0" applyBorder="1" applyAlignment="1" applyProtection="1">
      <alignment horizontal="right"/>
      <protection locked="0"/>
    </xf>
    <xf numFmtId="37" fontId="4" fillId="0" borderId="0" xfId="0" applyFont="1" applyProtection="1">
      <protection locked="0"/>
    </xf>
    <xf numFmtId="37" fontId="1" fillId="0" borderId="2" xfId="0" applyFont="1" applyBorder="1" applyAlignment="1" applyProtection="1">
      <alignment horizontal="center"/>
      <protection locked="0"/>
    </xf>
    <xf numFmtId="37" fontId="1" fillId="0" borderId="2" xfId="0" applyFont="1" applyBorder="1" applyAlignment="1">
      <alignment horizontal="center"/>
    </xf>
    <xf numFmtId="37" fontId="0" fillId="0" borderId="0" xfId="0" applyAlignment="1" applyProtection="1">
      <alignment horizontal="center"/>
    </xf>
    <xf numFmtId="37" fontId="4" fillId="0" borderId="0" xfId="0" applyFont="1"/>
    <xf numFmtId="37" fontId="1" fillId="0" borderId="4" xfId="0" applyFont="1" applyBorder="1" applyAlignment="1" applyProtection="1">
      <alignment horizontal="center"/>
    </xf>
    <xf numFmtId="168" fontId="1" fillId="0" borderId="0" xfId="0" applyNumberFormat="1" applyFont="1" applyAlignment="1" applyProtection="1">
      <alignment horizontal="center"/>
      <protection locked="0"/>
    </xf>
    <xf numFmtId="164" fontId="1" fillId="0" borderId="0" xfId="2" applyNumberFormat="1" applyFont="1" applyFill="1" applyProtection="1">
      <protection locked="0"/>
    </xf>
    <xf numFmtId="164" fontId="10" fillId="0" borderId="0" xfId="2" applyNumberFormat="1" applyFont="1" applyFill="1" applyProtection="1">
      <protection locked="0"/>
    </xf>
    <xf numFmtId="168" fontId="1" fillId="0" borderId="0" xfId="0" applyNumberFormat="1" applyFont="1" applyAlignment="1">
      <alignment horizontal="center"/>
    </xf>
    <xf numFmtId="10" fontId="1" fillId="0" borderId="0" xfId="3" applyNumberFormat="1" applyFont="1"/>
    <xf numFmtId="166" fontId="1" fillId="0" borderId="0" xfId="1" applyNumberFormat="1" applyFont="1" applyFill="1" applyProtection="1">
      <protection locked="0"/>
    </xf>
    <xf numFmtId="166" fontId="1" fillId="0" borderId="0" xfId="1" quotePrefix="1" applyNumberFormat="1" applyFont="1" applyFill="1" applyProtection="1"/>
    <xf numFmtId="37" fontId="11" fillId="0" borderId="0" xfId="0" applyFont="1"/>
    <xf numFmtId="37" fontId="1" fillId="0" borderId="0" xfId="0" applyFont="1" applyAlignment="1" applyProtection="1">
      <alignment horizontal="left" indent="1"/>
      <protection locked="0"/>
    </xf>
    <xf numFmtId="166" fontId="1" fillId="0" borderId="0" xfId="1" quotePrefix="1" applyNumberFormat="1" applyFont="1" applyFill="1" applyProtection="1">
      <protection locked="0"/>
    </xf>
    <xf numFmtId="169" fontId="11" fillId="0" borderId="0" xfId="0" applyNumberFormat="1" applyFont="1" applyProtection="1"/>
    <xf numFmtId="37" fontId="11" fillId="0" borderId="0" xfId="0" applyFont="1" applyProtection="1">
      <protection locked="0"/>
    </xf>
    <xf numFmtId="10" fontId="11" fillId="0" borderId="0" xfId="0" applyNumberFormat="1" applyFont="1" applyProtection="1"/>
    <xf numFmtId="37" fontId="1" fillId="0" borderId="2" xfId="0" applyFont="1" applyBorder="1" applyProtection="1"/>
    <xf numFmtId="37" fontId="1" fillId="0" borderId="2" xfId="0" applyFont="1" applyBorder="1" applyProtection="1">
      <protection locked="0"/>
    </xf>
    <xf numFmtId="37" fontId="1" fillId="0" borderId="1" xfId="0" applyFont="1" applyBorder="1" applyProtection="1">
      <protection locked="0"/>
    </xf>
    <xf numFmtId="37" fontId="1" fillId="0" borderId="1" xfId="0" applyFont="1" applyBorder="1" applyProtection="1"/>
    <xf numFmtId="169" fontId="1" fillId="0" borderId="0" xfId="0" applyNumberFormat="1" applyFont="1" applyProtection="1"/>
    <xf numFmtId="37" fontId="1" fillId="0" borderId="0" xfId="0" quotePrefix="1" applyFont="1" applyProtection="1"/>
    <xf numFmtId="37" fontId="5" fillId="0" borderId="0" xfId="0" applyFont="1" applyAlignment="1">
      <alignment horizontal="right"/>
    </xf>
    <xf numFmtId="37" fontId="5" fillId="0" borderId="0" xfId="0" quotePrefix="1" applyFont="1" applyProtection="1"/>
    <xf numFmtId="37" fontId="12" fillId="0" borderId="0" xfId="0" quotePrefix="1" applyFont="1"/>
    <xf numFmtId="37" fontId="13" fillId="0" borderId="0" xfId="0" quotePrefix="1" applyFont="1"/>
    <xf numFmtId="37" fontId="14" fillId="0" borderId="0" xfId="0" applyFont="1"/>
    <xf numFmtId="37" fontId="14" fillId="0" borderId="0" xfId="0" applyFont="1" applyAlignment="1" applyProtection="1">
      <alignment horizontal="centerContinuous"/>
      <protection locked="0"/>
    </xf>
    <xf numFmtId="37" fontId="14" fillId="0" borderId="0" xfId="0" applyFont="1" applyAlignment="1">
      <alignment horizontal="centerContinuous"/>
    </xf>
    <xf numFmtId="37" fontId="14" fillId="0" borderId="0" xfId="0" applyFont="1" applyAlignment="1" applyProtection="1">
      <alignment horizontal="left"/>
    </xf>
    <xf numFmtId="37" fontId="14" fillId="0" borderId="0" xfId="0" applyFont="1" applyAlignment="1">
      <alignment horizontal="right"/>
    </xf>
    <xf numFmtId="37" fontId="14" fillId="0" borderId="0" xfId="0" applyFont="1" applyAlignment="1" applyProtection="1">
      <alignment horizontal="right"/>
      <protection locked="0"/>
    </xf>
    <xf numFmtId="37" fontId="14" fillId="0" borderId="2" xfId="0" applyFont="1" applyBorder="1" applyAlignment="1" applyProtection="1">
      <alignment horizontal="left"/>
    </xf>
    <xf numFmtId="37" fontId="14" fillId="0" borderId="2" xfId="0" applyFont="1" applyBorder="1"/>
    <xf numFmtId="37" fontId="14" fillId="0" borderId="1" xfId="0" applyFont="1" applyBorder="1" applyAlignment="1">
      <alignment horizontal="right"/>
    </xf>
    <xf numFmtId="37" fontId="14" fillId="0" borderId="0" xfId="0" applyFont="1" applyAlignment="1" applyProtection="1">
      <alignment horizontal="center"/>
      <protection locked="0"/>
    </xf>
    <xf numFmtId="37" fontId="14" fillId="0" borderId="0" xfId="0" applyFont="1" applyAlignment="1" applyProtection="1">
      <alignment horizontal="left"/>
      <protection locked="0"/>
    </xf>
    <xf numFmtId="37" fontId="14" fillId="0" borderId="2" xfId="0" applyFont="1" applyBorder="1" applyAlignment="1" applyProtection="1">
      <alignment horizontal="left"/>
      <protection locked="0"/>
    </xf>
    <xf numFmtId="37" fontId="14" fillId="0" borderId="2" xfId="0" applyFont="1" applyBorder="1" applyAlignment="1" applyProtection="1">
      <alignment horizontal="center"/>
      <protection locked="0"/>
    </xf>
    <xf numFmtId="37" fontId="14" fillId="0" borderId="0" xfId="0" applyFont="1" applyProtection="1">
      <protection locked="0"/>
    </xf>
    <xf numFmtId="37" fontId="15" fillId="0" borderId="0" xfId="0" applyFont="1" applyAlignment="1" applyProtection="1">
      <alignment horizontal="left"/>
      <protection locked="0"/>
    </xf>
    <xf numFmtId="170" fontId="14" fillId="0" borderId="0" xfId="0" applyNumberFormat="1" applyFont="1" applyAlignment="1" applyProtection="1">
      <alignment horizontal="center"/>
      <protection locked="0"/>
    </xf>
    <xf numFmtId="37" fontId="14" fillId="0" borderId="0" xfId="0" applyFont="1" applyAlignment="1" applyProtection="1">
      <alignment horizontal="left" indent="2"/>
      <protection locked="0"/>
    </xf>
    <xf numFmtId="164" fontId="14" fillId="0" borderId="0" xfId="2" applyNumberFormat="1" applyFont="1" applyFill="1" applyProtection="1"/>
    <xf numFmtId="10" fontId="14" fillId="0" borderId="0" xfId="3" applyNumberFormat="1" applyFont="1"/>
    <xf numFmtId="166" fontId="14" fillId="0" borderId="0" xfId="1" applyNumberFormat="1" applyFont="1" applyFill="1" applyProtection="1"/>
    <xf numFmtId="166" fontId="14" fillId="0" borderId="1" xfId="1" applyNumberFormat="1" applyFont="1" applyFill="1" applyBorder="1" applyProtection="1"/>
    <xf numFmtId="37" fontId="14" fillId="0" borderId="0" xfId="0" applyFont="1" applyAlignment="1">
      <alignment horizontal="center"/>
    </xf>
    <xf numFmtId="166" fontId="14" fillId="0" borderId="0" xfId="1" applyNumberFormat="1" applyFont="1" applyFill="1" applyProtection="1">
      <protection locked="0"/>
    </xf>
    <xf numFmtId="37" fontId="16" fillId="0" borderId="0" xfId="0" applyFont="1"/>
    <xf numFmtId="164" fontId="14" fillId="0" borderId="4" xfId="2" applyNumberFormat="1" applyFont="1" applyFill="1" applyBorder="1" applyProtection="1"/>
    <xf numFmtId="37" fontId="17" fillId="0" borderId="0" xfId="0" applyFont="1" applyProtection="1"/>
    <xf numFmtId="37" fontId="15" fillId="0" borderId="0" xfId="0" applyFont="1" applyAlignment="1" applyProtection="1">
      <alignment horizontal="left" indent="1"/>
      <protection locked="0"/>
    </xf>
    <xf numFmtId="166" fontId="14" fillId="0" borderId="0" xfId="1" applyNumberFormat="1" applyFont="1" applyFill="1"/>
    <xf numFmtId="170" fontId="14" fillId="0" borderId="0" xfId="0" applyNumberFormat="1" applyFont="1" applyAlignment="1" applyProtection="1">
      <alignment horizontal="center"/>
    </xf>
    <xf numFmtId="166" fontId="14" fillId="0" borderId="0" xfId="1" applyNumberFormat="1" applyFont="1" applyFill="1" applyBorder="1" applyProtection="1"/>
    <xf numFmtId="37" fontId="14" fillId="0" borderId="0" xfId="0" applyFont="1" applyAlignment="1" applyProtection="1">
      <alignment horizontal="left" indent="1"/>
      <protection locked="0"/>
    </xf>
    <xf numFmtId="164" fontId="14" fillId="0" borderId="1" xfId="2" applyNumberFormat="1" applyFont="1" applyFill="1" applyBorder="1" applyProtection="1"/>
    <xf numFmtId="164" fontId="14" fillId="0" borderId="0" xfId="2" applyNumberFormat="1" applyFont="1" applyFill="1" applyBorder="1" applyProtection="1"/>
    <xf numFmtId="170" fontId="14" fillId="0" borderId="0" xfId="0" applyNumberFormat="1" applyFont="1" applyAlignment="1">
      <alignment horizontal="center"/>
    </xf>
    <xf numFmtId="37" fontId="14" fillId="0" borderId="0" xfId="0" applyFont="1" applyAlignment="1" applyProtection="1">
      <alignment horizontal="left" indent="2"/>
    </xf>
    <xf numFmtId="37" fontId="14" fillId="0" borderId="0" xfId="0" quotePrefix="1" applyFont="1" applyAlignment="1">
      <alignment horizontal="center"/>
    </xf>
    <xf numFmtId="37" fontId="18" fillId="0" borderId="0" xfId="0" applyFont="1"/>
    <xf numFmtId="0" fontId="1" fillId="0" borderId="0" xfId="0" applyNumberFormat="1" applyFont="1" applyAlignment="1">
      <alignment horizontal="center"/>
    </xf>
    <xf numFmtId="37" fontId="14" fillId="0" borderId="0" xfId="0" applyFont="1" applyProtection="1"/>
    <xf numFmtId="169" fontId="14" fillId="0" borderId="0" xfId="3" applyNumberFormat="1" applyFont="1"/>
    <xf numFmtId="171" fontId="14" fillId="0" borderId="0" xfId="0" applyNumberFormat="1" applyFont="1" applyAlignment="1" applyProtection="1">
      <alignment horizontal="center"/>
      <protection locked="0"/>
    </xf>
    <xf numFmtId="164" fontId="14" fillId="0" borderId="0" xfId="2" applyNumberFormat="1" applyFont="1" applyFill="1" applyProtection="1">
      <protection locked="0"/>
    </xf>
    <xf numFmtId="164" fontId="17" fillId="0" borderId="0" xfId="2" applyNumberFormat="1" applyFont="1" applyFill="1" applyProtection="1"/>
    <xf numFmtId="164" fontId="14" fillId="0" borderId="5" xfId="2" applyNumberFormat="1" applyFont="1" applyFill="1" applyBorder="1" applyProtection="1"/>
    <xf numFmtId="37" fontId="1" fillId="0" borderId="0" xfId="0" applyFont="1" applyAlignment="1" applyProtection="1">
      <alignment horizontal="centerContinuous"/>
      <protection locked="0"/>
    </xf>
    <xf numFmtId="37" fontId="1" fillId="0" borderId="0" xfId="0" applyFont="1" applyAlignment="1">
      <alignment horizontal="centerContinuous"/>
    </xf>
    <xf numFmtId="37" fontId="0" fillId="0" borderId="1" xfId="0" applyBorder="1" applyAlignment="1">
      <alignment horizontal="right"/>
    </xf>
    <xf numFmtId="37" fontId="4" fillId="0" borderId="0" xfId="0" applyFont="1" applyAlignment="1" applyProtection="1">
      <alignment horizontal="left"/>
      <protection locked="0"/>
    </xf>
    <xf numFmtId="37" fontId="0" fillId="0" borderId="0" xfId="0" applyAlignment="1" applyProtection="1">
      <alignment horizontal="center"/>
      <protection locked="0"/>
    </xf>
    <xf numFmtId="10" fontId="1" fillId="0" borderId="0" xfId="3" applyNumberFormat="1" applyFont="1" applyBorder="1"/>
    <xf numFmtId="170" fontId="1" fillId="0" borderId="0" xfId="0" applyNumberFormat="1" applyFont="1" applyAlignment="1" applyProtection="1">
      <alignment horizontal="center"/>
      <protection locked="0"/>
    </xf>
    <xf numFmtId="37" fontId="1" fillId="0" borderId="0" xfId="0" applyFont="1" applyAlignment="1" applyProtection="1">
      <alignment horizontal="left" indent="2"/>
      <protection locked="0"/>
    </xf>
    <xf numFmtId="164" fontId="1" fillId="0" borderId="0" xfId="2" applyNumberFormat="1" applyFont="1" applyFill="1" applyBorder="1" applyProtection="1"/>
    <xf numFmtId="166" fontId="1" fillId="0" borderId="0" xfId="1" applyNumberFormat="1" applyFont="1" applyFill="1" applyBorder="1" applyProtection="1"/>
    <xf numFmtId="166" fontId="1" fillId="0" borderId="1" xfId="1" applyNumberFormat="1" applyFont="1" applyFill="1" applyBorder="1" applyProtection="1"/>
    <xf numFmtId="164" fontId="1" fillId="0" borderId="4" xfId="2" applyNumberFormat="1" applyFont="1" applyFill="1" applyBorder="1" applyProtection="1"/>
    <xf numFmtId="164" fontId="1" fillId="0" borderId="0" xfId="2" applyNumberFormat="1" applyFont="1"/>
    <xf numFmtId="37" fontId="4" fillId="0" borderId="0" xfId="0" applyFont="1" applyAlignment="1" applyProtection="1">
      <alignment horizontal="left" indent="1"/>
      <protection locked="0"/>
    </xf>
    <xf numFmtId="170" fontId="1" fillId="0" borderId="0" xfId="0" applyNumberFormat="1" applyFont="1" applyAlignment="1" applyProtection="1">
      <alignment horizontal="center"/>
    </xf>
    <xf numFmtId="164" fontId="1" fillId="0" borderId="1" xfId="2" applyNumberFormat="1" applyFont="1" applyFill="1" applyBorder="1" applyProtection="1"/>
    <xf numFmtId="168" fontId="1" fillId="0" borderId="0" xfId="0" applyNumberFormat="1" applyFont="1"/>
    <xf numFmtId="170" fontId="1" fillId="0" borderId="0" xfId="0" applyNumberFormat="1" applyFont="1" applyAlignment="1">
      <alignment horizontal="center"/>
    </xf>
    <xf numFmtId="37" fontId="1" fillId="0" borderId="0" xfId="0" applyFont="1" applyAlignment="1" applyProtection="1">
      <alignment horizontal="left" indent="2"/>
    </xf>
    <xf numFmtId="37" fontId="1" fillId="0" borderId="0" xfId="0" quotePrefix="1" applyFont="1" applyAlignment="1">
      <alignment horizontal="center"/>
    </xf>
    <xf numFmtId="37" fontId="0" fillId="0" borderId="0" xfId="0" applyProtection="1"/>
    <xf numFmtId="37" fontId="0" fillId="0" borderId="0" xfId="0" applyAlignment="1" applyProtection="1">
      <alignment horizontal="left" indent="1"/>
      <protection locked="0"/>
    </xf>
    <xf numFmtId="170" fontId="1" fillId="0" borderId="0" xfId="0" quotePrefix="1" applyNumberFormat="1" applyFont="1" applyAlignment="1" applyProtection="1">
      <alignment horizontal="center"/>
      <protection locked="0"/>
    </xf>
    <xf numFmtId="171" fontId="1" fillId="0" borderId="0" xfId="0" applyNumberFormat="1" applyFont="1" applyAlignment="1" applyProtection="1">
      <alignment horizontal="center"/>
      <protection locked="0"/>
    </xf>
    <xf numFmtId="37" fontId="0" fillId="0" borderId="1" xfId="0" applyBorder="1" applyProtection="1"/>
    <xf numFmtId="164" fontId="1" fillId="0" borderId="5" xfId="2" applyNumberFormat="1" applyFont="1" applyFill="1" applyBorder="1" applyProtection="1"/>
    <xf numFmtId="37" fontId="19" fillId="0" borderId="0" xfId="0" applyFont="1" applyAlignment="1">
      <alignment horizontal="left"/>
    </xf>
    <xf numFmtId="37" fontId="1" fillId="0" borderId="6" xfId="0" applyFont="1" applyBorder="1" applyAlignment="1">
      <alignment horizontal="center"/>
    </xf>
    <xf numFmtId="37" fontId="1" fillId="0" borderId="4" xfId="0" applyFont="1" applyBorder="1" applyAlignment="1">
      <alignment horizontal="center"/>
    </xf>
    <xf numFmtId="37" fontId="1" fillId="0" borderId="4" xfId="0" applyFont="1" applyBorder="1" applyAlignment="1" applyProtection="1">
      <alignment horizontal="center"/>
      <protection locked="0"/>
    </xf>
    <xf numFmtId="37" fontId="11" fillId="0" borderId="0" xfId="0" applyFont="1" applyAlignment="1">
      <alignment horizontal="center"/>
    </xf>
    <xf numFmtId="37" fontId="0" fillId="0" borderId="0" xfId="0" applyAlignment="1">
      <alignment horizontal="center"/>
    </xf>
    <xf numFmtId="37" fontId="1" fillId="0" borderId="7" xfId="0" applyFont="1" applyBorder="1" applyAlignment="1">
      <alignment horizontal="center"/>
    </xf>
    <xf numFmtId="37" fontId="1" fillId="0" borderId="1" xfId="0" applyFont="1" applyBorder="1" applyAlignment="1" applyProtection="1">
      <alignment horizontal="center"/>
      <protection locked="0"/>
    </xf>
    <xf numFmtId="172" fontId="0" fillId="0" borderId="1" xfId="0" applyNumberFormat="1" applyBorder="1" applyAlignment="1">
      <alignment horizontal="center"/>
    </xf>
    <xf numFmtId="37" fontId="1" fillId="0" borderId="8" xfId="0" applyFont="1" applyBorder="1" applyAlignment="1">
      <alignment horizontal="center"/>
    </xf>
    <xf numFmtId="37" fontId="20" fillId="0" borderId="0" xfId="0" applyFont="1"/>
    <xf numFmtId="170" fontId="1" fillId="0" borderId="0" xfId="0" applyNumberFormat="1" applyFont="1" applyAlignment="1">
      <alignment horizontal="left"/>
    </xf>
    <xf numFmtId="37" fontId="21" fillId="0" borderId="0" xfId="0" applyFont="1"/>
    <xf numFmtId="37" fontId="19" fillId="0" borderId="0" xfId="0" applyFont="1"/>
    <xf numFmtId="37" fontId="22" fillId="0" borderId="0" xfId="0" applyFont="1"/>
    <xf numFmtId="170" fontId="19" fillId="0" borderId="0" xfId="0" applyNumberFormat="1" applyFont="1" applyAlignment="1" applyProtection="1">
      <alignment horizontal="left"/>
      <protection locked="0"/>
    </xf>
    <xf numFmtId="0" fontId="19" fillId="0" borderId="0" xfId="0" applyNumberFormat="1" applyFont="1" applyAlignment="1">
      <alignment horizontal="center"/>
    </xf>
    <xf numFmtId="170" fontId="1" fillId="0" borderId="0" xfId="0" applyNumberFormat="1" applyFont="1" applyAlignment="1" applyProtection="1">
      <alignment horizontal="left"/>
      <protection locked="0"/>
    </xf>
    <xf numFmtId="37" fontId="1" fillId="0" borderId="0" xfId="0" quotePrefix="1" applyFont="1"/>
    <xf numFmtId="37" fontId="18" fillId="0" borderId="0" xfId="0" applyFont="1" applyProtection="1">
      <protection locked="0"/>
    </xf>
    <xf numFmtId="43" fontId="23" fillId="0" borderId="0" xfId="1" applyFont="1"/>
    <xf numFmtId="43" fontId="23" fillId="0" borderId="0" xfId="1" applyFont="1" applyFill="1"/>
    <xf numFmtId="5" fontId="0" fillId="0" borderId="3" xfId="0" applyNumberFormat="1" applyBorder="1"/>
    <xf numFmtId="5" fontId="1" fillId="0" borderId="0" xfId="0" applyNumberFormat="1" applyFont="1"/>
    <xf numFmtId="37" fontId="1" fillId="2" borderId="0" xfId="0" applyFont="1" applyFill="1"/>
    <xf numFmtId="37" fontId="0" fillId="3" borderId="0" xfId="0" applyFill="1"/>
    <xf numFmtId="39" fontId="0" fillId="0" borderId="0" xfId="0" applyNumberFormat="1"/>
    <xf numFmtId="37" fontId="4" fillId="0" borderId="0" xfId="0" applyFont="1" applyAlignment="1">
      <alignment horizontal="centerContinuous"/>
    </xf>
    <xf numFmtId="37" fontId="24" fillId="0" borderId="0" xfId="0" applyFont="1"/>
    <xf numFmtId="37" fontId="11" fillId="0" borderId="0" xfId="0" applyFont="1" applyAlignment="1">
      <alignment horizontal="left"/>
    </xf>
    <xf numFmtId="37" fontId="1" fillId="0" borderId="9" xfId="0" applyFont="1" applyBorder="1" applyAlignment="1" applyProtection="1">
      <alignment horizontal="center"/>
      <protection locked="0"/>
    </xf>
    <xf numFmtId="17" fontId="0" fillId="0" borderId="8" xfId="0" applyNumberFormat="1" applyBorder="1" applyAlignment="1">
      <alignment horizontal="center"/>
    </xf>
    <xf numFmtId="166" fontId="25" fillId="0" borderId="0" xfId="1" applyNumberFormat="1" applyFont="1" applyFill="1"/>
    <xf numFmtId="166" fontId="0" fillId="0" borderId="0" xfId="0" applyNumberFormat="1"/>
    <xf numFmtId="0" fontId="23" fillId="0" borderId="0" xfId="4"/>
    <xf numFmtId="0" fontId="0" fillId="0" borderId="0" xfId="0" applyNumberFormat="1" applyAlignment="1">
      <alignment horizontal="center"/>
    </xf>
    <xf numFmtId="166" fontId="1" fillId="0" borderId="0" xfId="1" applyNumberFormat="1" applyFont="1" applyFill="1" applyAlignment="1">
      <alignment horizontal="center"/>
    </xf>
    <xf numFmtId="10" fontId="1" fillId="0" borderId="1" xfId="3" applyNumberFormat="1" applyFont="1" applyFill="1" applyBorder="1"/>
    <xf numFmtId="43" fontId="1" fillId="0" borderId="0" xfId="1" applyFont="1" applyFill="1"/>
    <xf numFmtId="10" fontId="1" fillId="0" borderId="0" xfId="3" applyNumberFormat="1" applyFont="1" applyFill="1"/>
    <xf numFmtId="0" fontId="0" fillId="0" borderId="0" xfId="0" applyNumberFormat="1" applyAlignment="1">
      <alignment horizontal="left"/>
    </xf>
    <xf numFmtId="166" fontId="1" fillId="0" borderId="0" xfId="1" applyNumberFormat="1" applyFont="1" applyFill="1" applyAlignment="1">
      <alignment horizontal="left"/>
    </xf>
    <xf numFmtId="5" fontId="26" fillId="0" borderId="0" xfId="1" applyNumberFormat="1" applyFont="1" applyFill="1" applyBorder="1"/>
    <xf numFmtId="37" fontId="0" fillId="0" borderId="0" xfId="0" quotePrefix="1"/>
    <xf numFmtId="0" fontId="1" fillId="0" borderId="0" xfId="0" quotePrefix="1" applyNumberFormat="1" applyFont="1" applyAlignment="1">
      <alignment horizontal="center"/>
    </xf>
    <xf numFmtId="169" fontId="26" fillId="0" borderId="0" xfId="3" applyNumberFormat="1" applyFont="1" applyFill="1"/>
    <xf numFmtId="37" fontId="27" fillId="0" borderId="0" xfId="0" applyFont="1"/>
    <xf numFmtId="39" fontId="1" fillId="0" borderId="0" xfId="0" applyNumberFormat="1" applyFont="1" applyAlignment="1">
      <alignment horizontal="center"/>
    </xf>
    <xf numFmtId="39" fontId="1" fillId="0" borderId="0" xfId="0" applyNumberFormat="1" applyFont="1"/>
    <xf numFmtId="39" fontId="11" fillId="0" borderId="0" xfId="0" applyNumberFormat="1" applyFont="1"/>
    <xf numFmtId="37" fontId="0" fillId="0" borderId="4" xfId="0" applyBorder="1" applyAlignment="1">
      <alignment horizontal="center"/>
    </xf>
    <xf numFmtId="37" fontId="1" fillId="0" borderId="10" xfId="0" applyFont="1" applyBorder="1" applyAlignment="1">
      <alignment horizontal="center"/>
    </xf>
    <xf numFmtId="37" fontId="28" fillId="0" borderId="0" xfId="0" applyFont="1"/>
    <xf numFmtId="168" fontId="0" fillId="0" borderId="0" xfId="0" applyNumberFormat="1"/>
    <xf numFmtId="166" fontId="29" fillId="0" borderId="0" xfId="1" applyNumberFormat="1" applyFont="1" applyFill="1"/>
    <xf numFmtId="37" fontId="11" fillId="0" borderId="0" xfId="0" quotePrefix="1" applyFont="1"/>
    <xf numFmtId="37" fontId="0" fillId="0" borderId="0" xfId="0" applyAlignment="1">
      <alignment horizontal="right"/>
    </xf>
    <xf numFmtId="37" fontId="1" fillId="0" borderId="6" xfId="0" applyFont="1" applyBorder="1"/>
    <xf numFmtId="37" fontId="1" fillId="0" borderId="4" xfId="0" applyFont="1" applyBorder="1"/>
    <xf numFmtId="37" fontId="1" fillId="0" borderId="4" xfId="0" applyFont="1" applyBorder="1" applyAlignment="1" applyProtection="1">
      <alignment horizontal="left"/>
      <protection locked="0"/>
    </xf>
    <xf numFmtId="37" fontId="1" fillId="0" borderId="7" xfId="0" applyFont="1" applyBorder="1"/>
    <xf numFmtId="37" fontId="1" fillId="0" borderId="1" xfId="0" applyFont="1" applyBorder="1" applyAlignment="1" applyProtection="1">
      <alignment horizontal="left"/>
      <protection locked="0"/>
    </xf>
    <xf numFmtId="167" fontId="1" fillId="0" borderId="0" xfId="3" applyNumberFormat="1" applyFont="1" applyFill="1"/>
    <xf numFmtId="173" fontId="1" fillId="0" borderId="0" xfId="3" applyNumberFormat="1" applyFont="1" applyFill="1"/>
    <xf numFmtId="10" fontId="1" fillId="0" borderId="0" xfId="3" applyNumberFormat="1" applyFont="1" applyFill="1" applyBorder="1"/>
    <xf numFmtId="37" fontId="20" fillId="0" borderId="0" xfId="0" applyFont="1" applyAlignment="1">
      <alignment horizontal="centerContinuous"/>
    </xf>
    <xf numFmtId="37" fontId="1" fillId="0" borderId="2" xfId="0" applyFont="1" applyBorder="1" applyAlignment="1" applyProtection="1">
      <alignment horizontal="right"/>
      <protection locked="0"/>
    </xf>
    <xf numFmtId="37" fontId="0" fillId="0" borderId="11" xfId="0" applyBorder="1" applyAlignment="1" applyProtection="1">
      <alignment horizontal="center"/>
      <protection locked="0"/>
    </xf>
    <xf numFmtId="37" fontId="2" fillId="0" borderId="0" xfId="0" applyFont="1" applyAlignment="1" applyProtection="1">
      <alignment horizontal="left"/>
    </xf>
    <xf numFmtId="164" fontId="1" fillId="0" borderId="0" xfId="2" applyNumberFormat="1" applyFont="1" applyFill="1"/>
    <xf numFmtId="9" fontId="1" fillId="0" borderId="0" xfId="3" applyFont="1" applyFill="1"/>
    <xf numFmtId="166" fontId="0" fillId="0" borderId="0" xfId="1" applyNumberFormat="1" applyFont="1" applyFill="1"/>
    <xf numFmtId="164" fontId="1" fillId="0" borderId="11" xfId="2" applyNumberFormat="1" applyFont="1" applyFill="1" applyBorder="1"/>
    <xf numFmtId="164" fontId="0" fillId="0" borderId="0" xfId="2" applyNumberFormat="1" applyFont="1" applyFill="1"/>
    <xf numFmtId="166" fontId="1" fillId="0" borderId="0" xfId="1" applyNumberFormat="1" applyFont="1" applyFill="1" applyAlignment="1">
      <alignment horizontal="right"/>
    </xf>
    <xf numFmtId="37" fontId="1" fillId="0" borderId="0" xfId="0" applyFont="1" applyAlignment="1">
      <alignment horizontal="left"/>
    </xf>
    <xf numFmtId="172" fontId="0" fillId="0" borderId="8" xfId="0" applyNumberFormat="1" applyBorder="1" applyAlignment="1" applyProtection="1">
      <alignment horizontal="center"/>
      <protection locked="0"/>
    </xf>
    <xf numFmtId="166" fontId="11" fillId="0" borderId="0" xfId="1" applyNumberFormat="1" applyFont="1" applyFill="1"/>
    <xf numFmtId="9" fontId="11" fillId="0" borderId="0" xfId="3" applyFont="1" applyFill="1"/>
    <xf numFmtId="167" fontId="11" fillId="0" borderId="0" xfId="3" applyNumberFormat="1" applyFont="1" applyFill="1"/>
    <xf numFmtId="166" fontId="1" fillId="0" borderId="11" xfId="1" applyNumberFormat="1" applyFont="1" applyFill="1" applyBorder="1"/>
    <xf numFmtId="40" fontId="31" fillId="0" borderId="0" xfId="5" applyFont="1" applyFill="1" applyAlignment="1">
      <alignment horizontal="left"/>
    </xf>
    <xf numFmtId="37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  <xf numFmtId="37" fontId="2" fillId="0" borderId="0" xfId="0" applyFont="1" applyAlignment="1">
      <alignment horizontal="center"/>
    </xf>
    <xf numFmtId="37" fontId="0" fillId="0" borderId="0" xfId="0" applyAlignment="1" applyProtection="1">
      <alignment horizontal="center"/>
      <protection locked="0"/>
    </xf>
    <xf numFmtId="37" fontId="1" fillId="0" borderId="0" xfId="0" applyFont="1" applyAlignment="1" applyProtection="1">
      <alignment horizontal="center"/>
      <protection locked="0"/>
    </xf>
    <xf numFmtId="37" fontId="1" fillId="0" borderId="0" xfId="0" applyFont="1" applyAlignment="1">
      <alignment horizontal="center"/>
    </xf>
    <xf numFmtId="37" fontId="14" fillId="0" borderId="0" xfId="0" applyFont="1" applyAlignment="1" applyProtection="1">
      <alignment horizontal="center"/>
      <protection locked="0"/>
    </xf>
  </cellXfs>
  <cellStyles count="6">
    <cellStyle name="Comma" xfId="1" builtinId="3"/>
    <cellStyle name="Currency" xfId="2" builtinId="4"/>
    <cellStyle name="Normal" xfId="0" builtinId="0"/>
    <cellStyle name="Normal_C.2.2 B" xfId="4" xr:uid="{9E0DDE85-130A-4F22-8DC3-B0EB6ED8F866}"/>
    <cellStyle name="Output Amounts" xfId="5" xr:uid="{BD8A58E5-B8D8-4305-BCAD-AD82E11BE527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2436A-7AF4-4AC6-B39B-975F05E054B8}">
  <dimension ref="A1:C20"/>
  <sheetViews>
    <sheetView tabSelected="1" view="pageBreakPreview" zoomScale="80" zoomScaleNormal="100" zoomScaleSheetLayoutView="80" workbookViewId="0">
      <selection activeCell="H13" sqref="H13"/>
    </sheetView>
  </sheetViews>
  <sheetFormatPr defaultRowHeight="15"/>
  <cols>
    <col min="1" max="1" width="13.109375" customWidth="1"/>
    <col min="3" max="3" width="51.21875" customWidth="1"/>
  </cols>
  <sheetData>
    <row r="1" spans="1:3">
      <c r="A1" s="237" t="s">
        <v>404</v>
      </c>
      <c r="B1" s="237"/>
      <c r="C1" s="237"/>
    </row>
    <row r="2" spans="1:3">
      <c r="A2" s="237" t="s">
        <v>405</v>
      </c>
      <c r="B2" s="237"/>
      <c r="C2" s="237"/>
    </row>
    <row r="3" spans="1:3">
      <c r="A3" s="237" t="s">
        <v>406</v>
      </c>
      <c r="B3" s="237"/>
      <c r="C3" s="237"/>
    </row>
    <row r="4" spans="1:3">
      <c r="A4" s="237" t="s">
        <v>407</v>
      </c>
      <c r="B4" s="237"/>
      <c r="C4" s="237"/>
    </row>
    <row r="9" spans="1:3" ht="15.75">
      <c r="A9" s="238" t="s">
        <v>0</v>
      </c>
      <c r="B9" s="238"/>
      <c r="C9" s="238"/>
    </row>
    <row r="11" spans="1:3" ht="15.75">
      <c r="A11" s="239" t="s">
        <v>1</v>
      </c>
      <c r="B11" s="239"/>
      <c r="C11" s="239"/>
    </row>
    <row r="14" spans="1:3">
      <c r="A14" s="1" t="s">
        <v>2</v>
      </c>
      <c r="B14" s="1" t="s">
        <v>3</v>
      </c>
      <c r="C14" s="2" t="s">
        <v>4</v>
      </c>
    </row>
    <row r="15" spans="1:3">
      <c r="A15" s="3"/>
      <c r="B15" s="4"/>
      <c r="C15" s="4"/>
    </row>
    <row r="16" spans="1:3">
      <c r="A16" s="5" t="s">
        <v>5</v>
      </c>
      <c r="B16" s="3">
        <v>1</v>
      </c>
      <c r="C16" s="4" t="s">
        <v>1</v>
      </c>
    </row>
    <row r="17" spans="1:3">
      <c r="A17" s="5" t="s">
        <v>6</v>
      </c>
      <c r="B17" s="3">
        <v>1</v>
      </c>
      <c r="C17" s="4" t="s">
        <v>7</v>
      </c>
    </row>
    <row r="18" spans="1:3">
      <c r="A18" s="5" t="s">
        <v>8</v>
      </c>
      <c r="B18" s="3">
        <v>10</v>
      </c>
      <c r="C18" s="4" t="s">
        <v>9</v>
      </c>
    </row>
    <row r="19" spans="1:3">
      <c r="A19" s="5" t="s">
        <v>10</v>
      </c>
      <c r="B19" s="3">
        <v>10</v>
      </c>
      <c r="C19" s="4" t="s">
        <v>11</v>
      </c>
    </row>
    <row r="20" spans="1:3">
      <c r="A20" s="5" t="s">
        <v>12</v>
      </c>
      <c r="B20" s="3">
        <v>2</v>
      </c>
      <c r="C20" t="s">
        <v>13</v>
      </c>
    </row>
  </sheetData>
  <mergeCells count="6">
    <mergeCell ref="A11:C11"/>
    <mergeCell ref="A1:C1"/>
    <mergeCell ref="A2:C2"/>
    <mergeCell ref="A3:C3"/>
    <mergeCell ref="A4:C4"/>
    <mergeCell ref="A9:C9"/>
  </mergeCells>
  <printOptions horizontalCentered="1"/>
  <pageMargins left="0.75" right="0.75" top="1" bottom="1" header="0.5" footer="0.5"/>
  <pageSetup orientation="portrait" r:id="rId1"/>
  <headerFooter alignWithMargins="0">
    <oddHeader>&amp;RCASE NO. 2021-00214
FR_16(8)(c) 
ATTACHMENT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422EB-6044-415F-8526-199DD51191BD}">
  <dimension ref="A1:Y131"/>
  <sheetViews>
    <sheetView view="pageBreakPreview" topLeftCell="C1" zoomScale="80" zoomScaleNormal="100" zoomScaleSheetLayoutView="80" workbookViewId="0">
      <selection activeCell="C21" sqref="C21"/>
    </sheetView>
  </sheetViews>
  <sheetFormatPr defaultColWidth="7.109375" defaultRowHeight="15"/>
  <cols>
    <col min="1" max="1" width="4.6640625" customWidth="1"/>
    <col min="2" max="2" width="9.109375" customWidth="1"/>
    <col min="3" max="3" width="42" customWidth="1"/>
    <col min="4" max="4" width="12.44140625" bestFit="1" customWidth="1"/>
    <col min="5" max="6" width="11.109375" customWidth="1"/>
    <col min="7" max="7" width="11.77734375" bestFit="1" customWidth="1"/>
    <col min="8" max="8" width="11.33203125" bestFit="1" customWidth="1"/>
    <col min="9" max="9" width="15.21875" customWidth="1"/>
    <col min="10" max="10" width="12.5546875" customWidth="1"/>
    <col min="11" max="11" width="11.33203125" bestFit="1" customWidth="1"/>
    <col min="12" max="13" width="12.44140625" bestFit="1" customWidth="1"/>
    <col min="14" max="14" width="11.33203125" bestFit="1" customWidth="1"/>
    <col min="15" max="15" width="12.44140625" customWidth="1"/>
    <col min="16" max="16" width="13.44140625" bestFit="1" customWidth="1"/>
    <col min="17" max="17" width="12.44140625" customWidth="1"/>
    <col min="18" max="18" width="10" customWidth="1"/>
    <col min="19" max="19" width="13.109375" customWidth="1"/>
    <col min="20" max="20" width="11.21875" customWidth="1"/>
  </cols>
  <sheetData>
    <row r="1" spans="1:19">
      <c r="A1" s="237" t="s">
        <v>404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4"/>
      <c r="R1" s="4"/>
      <c r="S1" s="4"/>
    </row>
    <row r="2" spans="1:19">
      <c r="A2" s="237" t="s">
        <v>405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R2" s="201"/>
      <c r="S2" s="201"/>
    </row>
    <row r="3" spans="1:19">
      <c r="A3" s="242" t="s">
        <v>239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4"/>
      <c r="R3" s="201"/>
      <c r="S3" s="201"/>
    </row>
    <row r="4" spans="1:19">
      <c r="A4" s="237" t="s">
        <v>407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4"/>
      <c r="R4" s="201"/>
      <c r="S4" s="201"/>
    </row>
    <row r="5" spans="1:19">
      <c r="A5" s="3"/>
      <c r="B5" s="3"/>
      <c r="C5" s="3"/>
      <c r="D5" s="202"/>
      <c r="E5" s="181"/>
      <c r="F5" s="202"/>
      <c r="G5" s="203"/>
      <c r="H5" s="203"/>
      <c r="I5" s="203"/>
      <c r="J5" s="203"/>
      <c r="K5" s="203"/>
      <c r="L5" s="202"/>
      <c r="M5" s="204"/>
      <c r="N5" s="202"/>
      <c r="O5" s="181"/>
      <c r="P5" s="3"/>
      <c r="Q5" s="4"/>
      <c r="R5" s="201"/>
      <c r="S5" s="201"/>
    </row>
    <row r="6" spans="1:19">
      <c r="A6" s="50" t="str">
        <f>'C.2.1 F'!A6</f>
        <v>Data:________Base Period___X____Forecasted Period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8" t="s">
        <v>240</v>
      </c>
      <c r="Q6" s="4"/>
      <c r="R6" s="201"/>
      <c r="S6" s="201"/>
    </row>
    <row r="7" spans="1:19">
      <c r="A7" s="50" t="str">
        <f>'C.2.1 F'!A7</f>
        <v>Type of Filing:___X____Original________Updated ________Revised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2" t="s">
        <v>241</v>
      </c>
      <c r="Q7" s="4"/>
      <c r="R7" s="201"/>
      <c r="S7" s="201"/>
    </row>
    <row r="8" spans="1:19">
      <c r="A8" s="53" t="str">
        <f>'C.2.1 F'!A8</f>
        <v>Workpaper Reference No(s).____________________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5" t="str">
        <f>'C.2.2 B 09'!P8</f>
        <v>Witness: Christian, Densman</v>
      </c>
      <c r="Q8" s="4"/>
      <c r="R8" s="201"/>
      <c r="S8" s="201"/>
    </row>
    <row r="9" spans="1:19">
      <c r="A9" s="156" t="s">
        <v>22</v>
      </c>
      <c r="B9" s="157" t="s">
        <v>242</v>
      </c>
      <c r="C9" s="158"/>
      <c r="D9" s="205" t="s">
        <v>21</v>
      </c>
      <c r="E9" s="160" t="s">
        <v>21</v>
      </c>
      <c r="F9" s="160" t="s">
        <v>21</v>
      </c>
      <c r="G9" s="160" t="s">
        <v>21</v>
      </c>
      <c r="H9" s="160" t="s">
        <v>21</v>
      </c>
      <c r="I9" s="160" t="s">
        <v>21</v>
      </c>
      <c r="J9" s="160" t="s">
        <v>21</v>
      </c>
      <c r="K9" s="160" t="s">
        <v>21</v>
      </c>
      <c r="L9" s="160" t="s">
        <v>21</v>
      </c>
      <c r="M9" s="160" t="s">
        <v>21</v>
      </c>
      <c r="N9" s="160" t="s">
        <v>21</v>
      </c>
      <c r="O9" s="160" t="s">
        <v>21</v>
      </c>
      <c r="P9" s="206"/>
      <c r="Q9" s="3"/>
      <c r="R9" s="201"/>
      <c r="S9" s="201"/>
    </row>
    <row r="10" spans="1:19">
      <c r="A10" s="161" t="s">
        <v>25</v>
      </c>
      <c r="B10" s="1" t="s">
        <v>25</v>
      </c>
      <c r="C10" s="162" t="s">
        <v>245</v>
      </c>
      <c r="D10" s="163">
        <v>44562</v>
      </c>
      <c r="E10" s="163">
        <f>EOMONTH(D10,0)+1</f>
        <v>44593</v>
      </c>
      <c r="F10" s="163">
        <f t="shared" ref="F10:O10" si="0">EOMONTH(E10,0)+1</f>
        <v>44621</v>
      </c>
      <c r="G10" s="163">
        <f t="shared" si="0"/>
        <v>44652</v>
      </c>
      <c r="H10" s="163">
        <f t="shared" si="0"/>
        <v>44682</v>
      </c>
      <c r="I10" s="163">
        <f t="shared" si="0"/>
        <v>44713</v>
      </c>
      <c r="J10" s="163">
        <f t="shared" si="0"/>
        <v>44743</v>
      </c>
      <c r="K10" s="163">
        <f t="shared" si="0"/>
        <v>44774</v>
      </c>
      <c r="L10" s="163">
        <f t="shared" si="0"/>
        <v>44805</v>
      </c>
      <c r="M10" s="163">
        <f t="shared" si="0"/>
        <v>44835</v>
      </c>
      <c r="N10" s="163">
        <f t="shared" si="0"/>
        <v>44866</v>
      </c>
      <c r="O10" s="163">
        <f t="shared" si="0"/>
        <v>44896</v>
      </c>
      <c r="P10" s="164" t="s">
        <v>246</v>
      </c>
      <c r="Q10" s="3"/>
      <c r="R10" s="3"/>
      <c r="S10" s="3"/>
    </row>
    <row r="11" spans="1:19">
      <c r="A11" s="4"/>
      <c r="B11" s="4"/>
      <c r="C11" s="4"/>
      <c r="D11" s="13" t="s">
        <v>247</v>
      </c>
      <c r="E11" s="13" t="s">
        <v>247</v>
      </c>
      <c r="F11" s="13" t="s">
        <v>247</v>
      </c>
      <c r="G11" s="13" t="s">
        <v>247</v>
      </c>
      <c r="H11" s="13" t="s">
        <v>247</v>
      </c>
      <c r="I11" s="13" t="s">
        <v>247</v>
      </c>
      <c r="J11" s="13" t="s">
        <v>247</v>
      </c>
      <c r="K11" s="13" t="s">
        <v>247</v>
      </c>
      <c r="L11" s="13" t="s">
        <v>247</v>
      </c>
      <c r="M11" s="13" t="s">
        <v>247</v>
      </c>
      <c r="N11" s="13" t="s">
        <v>247</v>
      </c>
      <c r="O11" s="13" t="s">
        <v>247</v>
      </c>
      <c r="P11" s="13" t="s">
        <v>247</v>
      </c>
      <c r="Q11" s="13"/>
      <c r="R11" s="4"/>
      <c r="S11" s="4"/>
    </row>
    <row r="12" spans="1:19">
      <c r="A12" s="3">
        <v>1</v>
      </c>
      <c r="B12" s="122">
        <v>4091</v>
      </c>
      <c r="C12" s="51" t="s">
        <v>222</v>
      </c>
      <c r="D12" s="112">
        <v>524203.06080921408</v>
      </c>
      <c r="E12" s="112">
        <v>524203.06080921408</v>
      </c>
      <c r="F12" s="112">
        <v>524203.06080921408</v>
      </c>
      <c r="G12" s="112">
        <v>524203.06080921408</v>
      </c>
      <c r="H12" s="112">
        <v>524203.06080921408</v>
      </c>
      <c r="I12" s="112">
        <v>524203.06080921408</v>
      </c>
      <c r="J12" s="112">
        <v>524203.06080921408</v>
      </c>
      <c r="K12" s="112">
        <v>524203.06080921408</v>
      </c>
      <c r="L12" s="112">
        <v>524203.06080921408</v>
      </c>
      <c r="M12" s="112">
        <v>524203.06080921408</v>
      </c>
      <c r="N12" s="112">
        <v>524203.06080921408</v>
      </c>
      <c r="O12" s="112">
        <v>524203.06080921408</v>
      </c>
      <c r="P12">
        <f>SUM(D12:O12)</f>
        <v>6290436.7297105677</v>
      </c>
      <c r="Q12" s="69"/>
      <c r="S12" s="69"/>
    </row>
    <row r="13" spans="1:19">
      <c r="A13" s="160">
        <f>A12+1</f>
        <v>2</v>
      </c>
      <c r="B13" s="122"/>
      <c r="C13" s="51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4"/>
      <c r="Q13" s="4"/>
      <c r="S13" s="4"/>
    </row>
    <row r="14" spans="1:19">
      <c r="A14" s="160">
        <f t="shared" ref="A14:A77" si="1">A13+1</f>
        <v>3</v>
      </c>
      <c r="B14" s="122">
        <v>4030</v>
      </c>
      <c r="C14" s="4" t="s">
        <v>71</v>
      </c>
      <c r="D14" s="85">
        <v>1712891.5187810378</v>
      </c>
      <c r="E14" s="85">
        <v>1712891.5187810378</v>
      </c>
      <c r="F14" s="85">
        <v>1712891.5187810378</v>
      </c>
      <c r="G14" s="85">
        <v>1712891.5187810378</v>
      </c>
      <c r="H14" s="85">
        <v>1712891.5187810378</v>
      </c>
      <c r="I14" s="85">
        <v>1712891.5187810378</v>
      </c>
      <c r="J14" s="85">
        <v>1712891.5187810378</v>
      </c>
      <c r="K14" s="85">
        <v>1712891.5187810378</v>
      </c>
      <c r="L14" s="85">
        <v>1712891.5187810378</v>
      </c>
      <c r="M14" s="85">
        <v>1712891.5187810378</v>
      </c>
      <c r="N14" s="85">
        <v>1712891.5187810378</v>
      </c>
      <c r="O14" s="85">
        <v>1712891.5187810378</v>
      </c>
      <c r="P14">
        <f t="shared" ref="P14:P23" si="2">SUM(D14:O14)</f>
        <v>20554698.225372449</v>
      </c>
      <c r="Q14" s="69"/>
      <c r="S14" s="69"/>
    </row>
    <row r="15" spans="1:19">
      <c r="A15" s="160">
        <f t="shared" si="1"/>
        <v>4</v>
      </c>
      <c r="B15" s="122">
        <v>4060</v>
      </c>
      <c r="C15" s="4" t="s">
        <v>249</v>
      </c>
      <c r="D15" s="85">
        <f>'C.2.2 B 09'!O15</f>
        <v>4145.7299999999996</v>
      </c>
      <c r="E15" s="85">
        <f>D15</f>
        <v>4145.7299999999996</v>
      </c>
      <c r="F15" s="85">
        <f t="shared" ref="F15:O15" si="3">E15</f>
        <v>4145.7299999999996</v>
      </c>
      <c r="G15" s="85">
        <f t="shared" si="3"/>
        <v>4145.7299999999996</v>
      </c>
      <c r="H15" s="85">
        <f t="shared" si="3"/>
        <v>4145.7299999999996</v>
      </c>
      <c r="I15" s="85">
        <f t="shared" si="3"/>
        <v>4145.7299999999996</v>
      </c>
      <c r="J15" s="85">
        <f t="shared" si="3"/>
        <v>4145.7299999999996</v>
      </c>
      <c r="K15" s="85">
        <f t="shared" si="3"/>
        <v>4145.7299999999996</v>
      </c>
      <c r="L15" s="85">
        <f t="shared" si="3"/>
        <v>4145.7299999999996</v>
      </c>
      <c r="M15" s="85">
        <f t="shared" si="3"/>
        <v>4145.7299999999996</v>
      </c>
      <c r="N15" s="85">
        <f t="shared" si="3"/>
        <v>4145.7299999999996</v>
      </c>
      <c r="O15" s="85">
        <f t="shared" si="3"/>
        <v>4145.7299999999996</v>
      </c>
      <c r="P15">
        <f t="shared" si="2"/>
        <v>49748.75999999998</v>
      </c>
      <c r="Q15" s="4"/>
      <c r="S15" s="4"/>
    </row>
    <row r="16" spans="1:19">
      <c r="A16" s="160">
        <f t="shared" si="1"/>
        <v>5</v>
      </c>
      <c r="B16" s="122">
        <v>4081</v>
      </c>
      <c r="C16" s="4" t="s">
        <v>250</v>
      </c>
      <c r="D16" s="85">
        <f>'C.2.3 F'!C25</f>
        <v>865158.94232834142</v>
      </c>
      <c r="E16" s="85">
        <f>'C.2.3 F'!D25</f>
        <v>841308.70232834143</v>
      </c>
      <c r="F16" s="85">
        <f>'C.2.3 F'!E25</f>
        <v>999450.22232834145</v>
      </c>
      <c r="G16" s="85">
        <f>'C.2.3 F'!F25</f>
        <v>837277.32232834143</v>
      </c>
      <c r="H16" s="85">
        <f>'C.2.3 F'!G25</f>
        <v>842697.91232834139</v>
      </c>
      <c r="I16" s="85">
        <f>'C.2.3 F'!H25</f>
        <v>836077.33232834144</v>
      </c>
      <c r="J16" s="85">
        <f>'C.2.3 F'!I25</f>
        <v>853603.03232834139</v>
      </c>
      <c r="K16" s="85">
        <f>'C.2.3 F'!J25</f>
        <v>832483.48232834134</v>
      </c>
      <c r="L16" s="85">
        <f>'C.2.3 F'!K25</f>
        <v>853597.20232834143</v>
      </c>
      <c r="M16" s="85">
        <f>'C.2.3 F'!L25</f>
        <v>837547.37232834136</v>
      </c>
      <c r="N16" s="85">
        <f>'C.2.3 F'!M25</f>
        <v>902356.91232834139</v>
      </c>
      <c r="O16" s="85">
        <f>'C.2.3 F'!N25</f>
        <v>824828.5423283414</v>
      </c>
      <c r="P16">
        <f t="shared" si="2"/>
        <v>10326386.977940097</v>
      </c>
      <c r="Q16" s="69"/>
      <c r="S16" s="69"/>
    </row>
    <row r="17" spans="1:18">
      <c r="A17" s="160">
        <f t="shared" si="1"/>
        <v>6</v>
      </c>
      <c r="B17" s="122">
        <v>4800</v>
      </c>
      <c r="C17" s="166" t="s">
        <v>251</v>
      </c>
      <c r="D17" s="85">
        <v>-14970552.79164907</v>
      </c>
      <c r="E17" s="85">
        <v>-15164795.983976707</v>
      </c>
      <c r="F17" s="85">
        <v>-11593054.840880413</v>
      </c>
      <c r="G17" s="85">
        <v>-8577097.0028528776</v>
      </c>
      <c r="H17" s="85">
        <v>-5847698.3067320213</v>
      </c>
      <c r="I17" s="85">
        <v>-4533786.9594352394</v>
      </c>
      <c r="J17" s="85">
        <v>-4268017.710158715</v>
      </c>
      <c r="K17" s="85">
        <v>-4254976.5445450349</v>
      </c>
      <c r="L17" s="85">
        <v>-4278837.0782184144</v>
      </c>
      <c r="M17" s="85">
        <v>-5244766.8609234449</v>
      </c>
      <c r="N17" s="85">
        <v>-8885342.4384247288</v>
      </c>
      <c r="O17" s="85">
        <v>-12577585.431862455</v>
      </c>
      <c r="P17" s="85">
        <f t="shared" si="2"/>
        <v>-100196511.94965912</v>
      </c>
    </row>
    <row r="18" spans="1:18">
      <c r="A18" s="160">
        <f t="shared" si="1"/>
        <v>7</v>
      </c>
      <c r="B18" s="122">
        <v>4805</v>
      </c>
      <c r="C18" s="166" t="s">
        <v>252</v>
      </c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</row>
    <row r="19" spans="1:18">
      <c r="A19" s="160">
        <f t="shared" si="1"/>
        <v>8</v>
      </c>
      <c r="B19" s="122">
        <v>4811</v>
      </c>
      <c r="C19" s="166" t="s">
        <v>253</v>
      </c>
      <c r="D19" s="85">
        <v>-6051198.0017698472</v>
      </c>
      <c r="E19" s="85">
        <v>-6085291.2204172183</v>
      </c>
      <c r="F19" s="85">
        <v>-4783842.0434332788</v>
      </c>
      <c r="G19" s="85">
        <v>-3643758.8805144792</v>
      </c>
      <c r="H19" s="85">
        <v>-2642357.9481225568</v>
      </c>
      <c r="I19" s="85">
        <v>-2125049.4324413068</v>
      </c>
      <c r="J19" s="85">
        <v>-2014762.1405936407</v>
      </c>
      <c r="K19" s="85">
        <v>-1994545.9842292438</v>
      </c>
      <c r="L19" s="85">
        <v>-1990985.8917896666</v>
      </c>
      <c r="M19" s="85">
        <v>-2352046.853715959</v>
      </c>
      <c r="N19" s="85">
        <v>-3722007.0041212994</v>
      </c>
      <c r="O19" s="85">
        <v>-5117701.4177494003</v>
      </c>
      <c r="P19" s="85">
        <f t="shared" si="2"/>
        <v>-42523546.818897888</v>
      </c>
    </row>
    <row r="20" spans="1:18">
      <c r="A20" s="160">
        <f t="shared" si="1"/>
        <v>9</v>
      </c>
      <c r="B20" s="122">
        <v>4812</v>
      </c>
      <c r="C20" s="4" t="s">
        <v>254</v>
      </c>
      <c r="D20" s="85">
        <v>-802230.8969210505</v>
      </c>
      <c r="E20" s="85">
        <v>-854748.00074260146</v>
      </c>
      <c r="F20" s="85">
        <v>-584990.58022239548</v>
      </c>
      <c r="G20" s="85">
        <v>-454891.45838505053</v>
      </c>
      <c r="H20" s="85">
        <v>-256743.72842891328</v>
      </c>
      <c r="I20" s="85">
        <v>-132085.82737316296</v>
      </c>
      <c r="J20" s="85">
        <v>-156452.79343032092</v>
      </c>
      <c r="K20" s="85">
        <v>-181437.36160189708</v>
      </c>
      <c r="L20" s="85">
        <v>-415603.3178603173</v>
      </c>
      <c r="M20" s="85">
        <v>-222146.88316450547</v>
      </c>
      <c r="N20" s="85">
        <v>-319271.88682987925</v>
      </c>
      <c r="O20" s="85">
        <v>-560922.19664614846</v>
      </c>
      <c r="P20" s="85">
        <f t="shared" si="2"/>
        <v>-4941524.9316062424</v>
      </c>
      <c r="Q20" s="4"/>
      <c r="R20" s="69"/>
    </row>
    <row r="21" spans="1:18">
      <c r="A21" s="160">
        <f t="shared" si="1"/>
        <v>10</v>
      </c>
      <c r="B21" s="122">
        <v>4815</v>
      </c>
      <c r="C21" s="4" t="s">
        <v>255</v>
      </c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4"/>
      <c r="R21" s="69"/>
    </row>
    <row r="22" spans="1:18">
      <c r="A22" s="160">
        <f t="shared" si="1"/>
        <v>11</v>
      </c>
      <c r="B22" s="122">
        <v>4816</v>
      </c>
      <c r="C22" s="4" t="s">
        <v>256</v>
      </c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4"/>
      <c r="R22" s="69"/>
    </row>
    <row r="23" spans="1:18" ht="15.75">
      <c r="A23" s="160">
        <f t="shared" si="1"/>
        <v>12</v>
      </c>
      <c r="B23" s="122">
        <v>4820</v>
      </c>
      <c r="C23" s="4" t="s">
        <v>257</v>
      </c>
      <c r="D23" s="85">
        <v>-1038861.1527565103</v>
      </c>
      <c r="E23" s="85">
        <v>-1050503.7232320802</v>
      </c>
      <c r="F23" s="85">
        <v>-785907.6559522734</v>
      </c>
      <c r="G23" s="85">
        <v>-549222.82053652592</v>
      </c>
      <c r="H23" s="85">
        <v>-347104.58630935603</v>
      </c>
      <c r="I23" s="85">
        <v>-247015.31894093612</v>
      </c>
      <c r="J23" s="85">
        <v>-222227.13660663267</v>
      </c>
      <c r="K23" s="85">
        <v>-222972.82117807245</v>
      </c>
      <c r="L23" s="85">
        <v>-224955.60983850414</v>
      </c>
      <c r="M23" s="85">
        <v>-296980.69651942438</v>
      </c>
      <c r="N23" s="85">
        <v>-573686.27476820699</v>
      </c>
      <c r="O23" s="85">
        <v>-853414.26339149673</v>
      </c>
      <c r="P23" s="85">
        <f t="shared" si="2"/>
        <v>-6412852.0600300189</v>
      </c>
      <c r="Q23" s="4"/>
      <c r="R23" s="207"/>
    </row>
    <row r="24" spans="1:18" ht="15.75">
      <c r="A24" s="160">
        <f t="shared" si="1"/>
        <v>13</v>
      </c>
      <c r="B24" s="122">
        <v>4825</v>
      </c>
      <c r="C24" s="4" t="s">
        <v>258</v>
      </c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4"/>
      <c r="R24" s="207"/>
    </row>
    <row r="25" spans="1:18">
      <c r="A25" s="160">
        <f t="shared" si="1"/>
        <v>14</v>
      </c>
      <c r="B25" s="122">
        <v>4870</v>
      </c>
      <c r="C25" s="4" t="s">
        <v>259</v>
      </c>
      <c r="D25" s="85">
        <v>-164747.73437851624</v>
      </c>
      <c r="E25" s="85">
        <v>-191837.44082492081</v>
      </c>
      <c r="F25" s="85">
        <v>-193882.27953630488</v>
      </c>
      <c r="G25" s="85">
        <v>-149224.67845336147</v>
      </c>
      <c r="H25" s="85">
        <v>-111035.39680227943</v>
      </c>
      <c r="I25" s="85">
        <v>-76826.48538212695</v>
      </c>
      <c r="J25" s="85">
        <v>-60067.552651024758</v>
      </c>
      <c r="K25" s="85">
        <v>-56585.604229702934</v>
      </c>
      <c r="L25" s="85">
        <v>-56302.760425728316</v>
      </c>
      <c r="M25" s="85">
        <v>-56496.617066283536</v>
      </c>
      <c r="N25" s="85">
        <v>-68651.583294319717</v>
      </c>
      <c r="O25" s="85">
        <v>-114621.93815149483</v>
      </c>
      <c r="P25" s="85">
        <f t="shared" ref="P25:P58" si="4">SUM(D25:O25)</f>
        <v>-1300280.0711960639</v>
      </c>
      <c r="Q25" s="4"/>
      <c r="R25" s="4"/>
    </row>
    <row r="26" spans="1:18">
      <c r="A26" s="160">
        <f t="shared" si="1"/>
        <v>15</v>
      </c>
      <c r="B26" s="122">
        <v>4880</v>
      </c>
      <c r="C26" s="4" t="s">
        <v>260</v>
      </c>
      <c r="D26" s="85">
        <v>-13265</v>
      </c>
      <c r="E26" s="85">
        <v>-12790</v>
      </c>
      <c r="F26" s="85">
        <v>-11209</v>
      </c>
      <c r="G26" s="85">
        <v>-25716</v>
      </c>
      <c r="H26" s="85">
        <v>-22720</v>
      </c>
      <c r="I26" s="85">
        <v>-22154</v>
      </c>
      <c r="J26" s="85">
        <v>-24641</v>
      </c>
      <c r="K26" s="85">
        <v>-21821</v>
      </c>
      <c r="L26" s="85">
        <v>-25606</v>
      </c>
      <c r="M26" s="85">
        <v>-21842</v>
      </c>
      <c r="N26" s="85">
        <v>-14779</v>
      </c>
      <c r="O26" s="85">
        <v>-17743</v>
      </c>
      <c r="P26" s="85">
        <f t="shared" si="4"/>
        <v>-234286</v>
      </c>
      <c r="Q26" s="4"/>
      <c r="R26" s="4"/>
    </row>
    <row r="27" spans="1:18">
      <c r="A27" s="160">
        <f t="shared" si="1"/>
        <v>16</v>
      </c>
      <c r="B27" s="122">
        <v>4893</v>
      </c>
      <c r="C27" s="4" t="s">
        <v>362</v>
      </c>
      <c r="D27" s="85">
        <v>-1488404.3186487432</v>
      </c>
      <c r="E27" s="85">
        <v>-1606598.7430583681</v>
      </c>
      <c r="F27" s="85">
        <v>-1495291.1014271798</v>
      </c>
      <c r="G27" s="85">
        <v>-1357994.5022640678</v>
      </c>
      <c r="H27" s="85">
        <v>-1081436.5486016322</v>
      </c>
      <c r="I27" s="85">
        <v>-1034624.873093004</v>
      </c>
      <c r="J27" s="85">
        <v>-1090091.8344202503</v>
      </c>
      <c r="K27" s="85">
        <v>-1047844.1722117214</v>
      </c>
      <c r="L27" s="85">
        <v>-1108166.7260969775</v>
      </c>
      <c r="M27" s="85">
        <v>-1183910.3312195495</v>
      </c>
      <c r="N27" s="85">
        <v>-1308191.6369802393</v>
      </c>
      <c r="O27" s="85">
        <v>-1341954.6782184043</v>
      </c>
      <c r="P27" s="85">
        <f t="shared" si="4"/>
        <v>-15144509.466240136</v>
      </c>
      <c r="Q27" s="167"/>
    </row>
    <row r="28" spans="1:18">
      <c r="A28" s="160">
        <f t="shared" si="1"/>
        <v>17</v>
      </c>
      <c r="B28" s="122">
        <v>4950</v>
      </c>
      <c r="C28" s="4" t="s">
        <v>100</v>
      </c>
      <c r="D28" s="85">
        <v>-277652.61830034037</v>
      </c>
      <c r="E28" s="85">
        <v>-287785.20660424954</v>
      </c>
      <c r="F28" s="85">
        <v>-246528.349326519</v>
      </c>
      <c r="G28" s="85">
        <v>-225674.54204125135</v>
      </c>
      <c r="H28" s="85">
        <v>-187767.63651166504</v>
      </c>
      <c r="I28" s="85">
        <v>-158597.09419894399</v>
      </c>
      <c r="J28" s="85">
        <v>-191773.06385539868</v>
      </c>
      <c r="K28" s="85">
        <v>-212032.54771866949</v>
      </c>
      <c r="L28" s="85">
        <v>-247033.27126557243</v>
      </c>
      <c r="M28" s="85">
        <v>-205897.74607028044</v>
      </c>
      <c r="N28" s="85">
        <v>-225331.5533237058</v>
      </c>
      <c r="O28" s="85">
        <v>-247338.02282340368</v>
      </c>
      <c r="P28" s="85">
        <f t="shared" si="4"/>
        <v>-2713411.6520399996</v>
      </c>
      <c r="Q28" s="69"/>
      <c r="R28" s="69"/>
    </row>
    <row r="29" spans="1:18">
      <c r="A29" s="160">
        <f t="shared" si="1"/>
        <v>18</v>
      </c>
      <c r="B29" s="122">
        <v>4960</v>
      </c>
      <c r="C29" t="s">
        <v>101</v>
      </c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>
        <f t="shared" si="4"/>
        <v>0</v>
      </c>
      <c r="Q29" s="69"/>
      <c r="R29" s="69"/>
    </row>
    <row r="30" spans="1:18">
      <c r="A30" s="160">
        <f t="shared" si="1"/>
        <v>19</v>
      </c>
      <c r="B30" s="122">
        <v>7560</v>
      </c>
      <c r="C30" t="s">
        <v>262</v>
      </c>
      <c r="D30" s="112">
        <v>0</v>
      </c>
      <c r="E30" s="112">
        <v>0</v>
      </c>
      <c r="F30" s="112">
        <v>0</v>
      </c>
      <c r="G30" s="112">
        <v>0</v>
      </c>
      <c r="H30" s="112">
        <v>0</v>
      </c>
      <c r="I30" s="112">
        <v>0</v>
      </c>
      <c r="J30" s="112">
        <v>0</v>
      </c>
      <c r="K30" s="112">
        <v>0</v>
      </c>
      <c r="L30" s="112">
        <v>0</v>
      </c>
      <c r="M30" s="112">
        <v>0</v>
      </c>
      <c r="N30" s="112">
        <v>0</v>
      </c>
      <c r="O30" s="112">
        <v>0</v>
      </c>
      <c r="P30" s="85">
        <f t="shared" si="4"/>
        <v>0</v>
      </c>
      <c r="Q30" s="165"/>
      <c r="R30" s="69"/>
    </row>
    <row r="31" spans="1:18">
      <c r="A31" s="160">
        <f t="shared" si="1"/>
        <v>20</v>
      </c>
      <c r="B31" s="122">
        <v>7590</v>
      </c>
      <c r="C31" t="s">
        <v>107</v>
      </c>
      <c r="D31" s="112">
        <v>0</v>
      </c>
      <c r="E31" s="112">
        <v>0</v>
      </c>
      <c r="F31" s="112">
        <v>0</v>
      </c>
      <c r="G31" s="112">
        <v>0</v>
      </c>
      <c r="H31" s="112">
        <v>0</v>
      </c>
      <c r="I31" s="112">
        <v>0</v>
      </c>
      <c r="J31" s="112">
        <v>0</v>
      </c>
      <c r="K31" s="112">
        <v>0</v>
      </c>
      <c r="L31" s="112">
        <v>0</v>
      </c>
      <c r="M31" s="112">
        <v>0</v>
      </c>
      <c r="N31" s="112">
        <v>0</v>
      </c>
      <c r="O31" s="112">
        <v>0</v>
      </c>
      <c r="P31" s="85">
        <f t="shared" si="4"/>
        <v>0</v>
      </c>
      <c r="Q31" s="165"/>
      <c r="R31" s="69"/>
    </row>
    <row r="32" spans="1:18">
      <c r="A32" s="160">
        <f t="shared" si="1"/>
        <v>21</v>
      </c>
      <c r="B32" s="122">
        <v>8001</v>
      </c>
      <c r="C32" s="4" t="s">
        <v>149</v>
      </c>
      <c r="D32" s="85">
        <v>0</v>
      </c>
      <c r="E32" s="85">
        <v>0</v>
      </c>
      <c r="F32" s="85">
        <v>0</v>
      </c>
      <c r="G32" s="85">
        <v>0</v>
      </c>
      <c r="H32" s="85">
        <v>0</v>
      </c>
      <c r="I32" s="85">
        <v>0</v>
      </c>
      <c r="J32" s="85">
        <v>0</v>
      </c>
      <c r="K32" s="85">
        <v>0</v>
      </c>
      <c r="L32" s="85">
        <v>0</v>
      </c>
      <c r="M32" s="85">
        <v>0</v>
      </c>
      <c r="N32" s="85">
        <v>0</v>
      </c>
      <c r="O32" s="85">
        <v>0</v>
      </c>
      <c r="P32" s="85">
        <f t="shared" si="4"/>
        <v>0</v>
      </c>
    </row>
    <row r="33" spans="1:25">
      <c r="A33" s="160">
        <f t="shared" si="1"/>
        <v>22</v>
      </c>
      <c r="B33" s="122">
        <v>8010</v>
      </c>
      <c r="C33" s="4" t="s">
        <v>263</v>
      </c>
      <c r="D33" s="85">
        <v>1466.8771527508725</v>
      </c>
      <c r="E33" s="85">
        <v>3207.1902584440049</v>
      </c>
      <c r="F33" s="85">
        <v>6347.5577383166701</v>
      </c>
      <c r="G33" s="85">
        <v>5715.5439438552357</v>
      </c>
      <c r="H33" s="85">
        <v>9091.1022123504081</v>
      </c>
      <c r="I33" s="85">
        <v>11755.491863964995</v>
      </c>
      <c r="J33" s="85">
        <v>9424.8598253320542</v>
      </c>
      <c r="K33" s="85">
        <v>12204.40100528222</v>
      </c>
      <c r="L33" s="85">
        <v>14402.248453030437</v>
      </c>
      <c r="M33" s="85">
        <v>9762.5977457344015</v>
      </c>
      <c r="N33" s="85">
        <v>7647.1931875692135</v>
      </c>
      <c r="O33" s="85">
        <v>6983.4463206862411</v>
      </c>
      <c r="P33" s="85">
        <f t="shared" si="4"/>
        <v>98008.509707316742</v>
      </c>
    </row>
    <row r="34" spans="1:25">
      <c r="A34" s="160">
        <f t="shared" si="1"/>
        <v>23</v>
      </c>
      <c r="B34" s="122">
        <v>8040</v>
      </c>
      <c r="C34" s="4" t="s">
        <v>264</v>
      </c>
      <c r="D34" s="85">
        <v>3897070.2456179275</v>
      </c>
      <c r="E34" s="85">
        <v>3476229.281266321</v>
      </c>
      <c r="F34" s="85">
        <v>7140447.8177873576</v>
      </c>
      <c r="G34" s="85">
        <v>928307.88648435555</v>
      </c>
      <c r="H34" s="85">
        <v>5478718.6062761564</v>
      </c>
      <c r="I34" s="85">
        <v>4773343.8503860151</v>
      </c>
      <c r="J34" s="85">
        <v>3265458.2350978237</v>
      </c>
      <c r="K34" s="85">
        <v>2595172.8017921532</v>
      </c>
      <c r="L34" s="85">
        <v>4116972.2626333763</v>
      </c>
      <c r="M34" s="85">
        <v>3397433.4021065687</v>
      </c>
      <c r="N34" s="85">
        <v>4847767.8311317069</v>
      </c>
      <c r="O34" s="85">
        <v>1111341.8439516502</v>
      </c>
      <c r="P34" s="85">
        <f t="shared" si="4"/>
        <v>45028264.064531408</v>
      </c>
    </row>
    <row r="35" spans="1:25">
      <c r="A35" s="160">
        <f t="shared" si="1"/>
        <v>24</v>
      </c>
      <c r="B35" s="122">
        <v>8050</v>
      </c>
      <c r="C35" s="4" t="s">
        <v>265</v>
      </c>
      <c r="D35" s="85">
        <v>-3376.9247762966916</v>
      </c>
      <c r="E35" s="85">
        <v>-1075.9104530235036</v>
      </c>
      <c r="F35" s="85">
        <v>-1568.170548512906</v>
      </c>
      <c r="G35" s="85">
        <v>-13766.156893241756</v>
      </c>
      <c r="H35" s="85">
        <v>-1265.5103784368364</v>
      </c>
      <c r="I35" s="85">
        <v>-1859.5532938931367</v>
      </c>
      <c r="J35" s="85">
        <v>-641.86182229599547</v>
      </c>
      <c r="K35" s="85">
        <v>-1632.7929081264872</v>
      </c>
      <c r="L35" s="85">
        <v>-4886.3268641868863</v>
      </c>
      <c r="M35" s="85">
        <v>-424.05497116509815</v>
      </c>
      <c r="N35" s="85">
        <v>-519.51252510643246</v>
      </c>
      <c r="O35" s="85">
        <v>-332.38391022218178</v>
      </c>
      <c r="P35" s="85">
        <f t="shared" si="4"/>
        <v>-31349.159344507909</v>
      </c>
    </row>
    <row r="36" spans="1:25">
      <c r="A36" s="160">
        <f t="shared" si="1"/>
        <v>25</v>
      </c>
      <c r="B36" s="122">
        <v>8051</v>
      </c>
      <c r="C36" s="4" t="s">
        <v>266</v>
      </c>
      <c r="D36" s="85">
        <v>8940901.7279580962</v>
      </c>
      <c r="E36" s="85">
        <v>9214242.2010595407</v>
      </c>
      <c r="F36" s="85">
        <v>8385969.5429152753</v>
      </c>
      <c r="G36" s="85">
        <v>5103843.9704960547</v>
      </c>
      <c r="H36" s="85">
        <v>3902701.289357143</v>
      </c>
      <c r="I36" s="85">
        <v>1307578.9144713746</v>
      </c>
      <c r="J36" s="85">
        <v>847907.42693042802</v>
      </c>
      <c r="K36" s="85">
        <v>652252.9332751719</v>
      </c>
      <c r="L36" s="85">
        <v>727933.76457225939</v>
      </c>
      <c r="M36" s="85">
        <v>726474.80177460762</v>
      </c>
      <c r="N36" s="85">
        <v>3025141.4719619849</v>
      </c>
      <c r="O36" s="85">
        <v>5337841.7524047131</v>
      </c>
      <c r="P36" s="85">
        <f t="shared" si="4"/>
        <v>48172789.797176644</v>
      </c>
    </row>
    <row r="37" spans="1:25">
      <c r="A37" s="160">
        <f t="shared" si="1"/>
        <v>26</v>
      </c>
      <c r="B37" s="122">
        <v>8052</v>
      </c>
      <c r="C37" s="4" t="s">
        <v>267</v>
      </c>
      <c r="D37" s="85">
        <v>4167344.895696789</v>
      </c>
      <c r="E37" s="85">
        <v>4320520.8484506123</v>
      </c>
      <c r="F37" s="85">
        <v>3912995.9183452893</v>
      </c>
      <c r="G37" s="85">
        <v>2341356.964819435</v>
      </c>
      <c r="H37" s="85">
        <v>1579221.5835586053</v>
      </c>
      <c r="I37" s="85">
        <v>791705.55681726232</v>
      </c>
      <c r="J37" s="85">
        <v>675093.74904410704</v>
      </c>
      <c r="K37" s="85">
        <v>571777.01167071424</v>
      </c>
      <c r="L37" s="85">
        <v>885347.43785010441</v>
      </c>
      <c r="M37" s="85">
        <v>716707.81945420895</v>
      </c>
      <c r="N37" s="85">
        <v>1535467.0633088432</v>
      </c>
      <c r="O37" s="85">
        <v>2397584.5364292325</v>
      </c>
      <c r="P37" s="85">
        <f t="shared" si="4"/>
        <v>23895123.3854452</v>
      </c>
    </row>
    <row r="38" spans="1:25">
      <c r="A38" s="160">
        <f t="shared" si="1"/>
        <v>27</v>
      </c>
      <c r="B38" s="122">
        <v>8053</v>
      </c>
      <c r="C38" s="4" t="s">
        <v>268</v>
      </c>
      <c r="D38" s="85">
        <v>593413.72255904332</v>
      </c>
      <c r="E38" s="85">
        <v>676477.23212584632</v>
      </c>
      <c r="F38" s="85">
        <v>506351.56202640297</v>
      </c>
      <c r="G38" s="85">
        <v>601060.34442268917</v>
      </c>
      <c r="H38" s="85">
        <v>330154.65564042324</v>
      </c>
      <c r="I38" s="85">
        <v>157841.5739396993</v>
      </c>
      <c r="J38" s="85">
        <v>121697.08083056651</v>
      </c>
      <c r="K38" s="85">
        <v>134150.04140074484</v>
      </c>
      <c r="L38" s="85">
        <v>466476.38058230991</v>
      </c>
      <c r="M38" s="85">
        <v>101166.04049051805</v>
      </c>
      <c r="N38" s="85">
        <v>262952.97959248186</v>
      </c>
      <c r="O38" s="85">
        <v>382550.57740926021</v>
      </c>
      <c r="P38" s="85">
        <f t="shared" si="4"/>
        <v>4334292.1910199849</v>
      </c>
    </row>
    <row r="39" spans="1:25">
      <c r="A39" s="160">
        <f t="shared" si="1"/>
        <v>28</v>
      </c>
      <c r="B39" s="122">
        <v>8054</v>
      </c>
      <c r="C39" s="4" t="s">
        <v>269</v>
      </c>
      <c r="D39" s="85">
        <v>730801.81346158683</v>
      </c>
      <c r="E39" s="85">
        <v>765695.30909651553</v>
      </c>
      <c r="F39" s="85">
        <v>753504.79480602103</v>
      </c>
      <c r="G39" s="85">
        <v>484098.10548308725</v>
      </c>
      <c r="H39" s="85">
        <v>370628.15979381738</v>
      </c>
      <c r="I39" s="85">
        <v>158192.05635379782</v>
      </c>
      <c r="J39" s="85">
        <v>96313.026753106096</v>
      </c>
      <c r="K39" s="85">
        <v>92090.849263493597</v>
      </c>
      <c r="L39" s="85">
        <v>110178.12133014052</v>
      </c>
      <c r="M39" s="85">
        <v>91598.14006025347</v>
      </c>
      <c r="N39" s="85">
        <v>273126.52799168241</v>
      </c>
      <c r="O39" s="85">
        <v>447194.35964988952</v>
      </c>
      <c r="P39" s="85">
        <f t="shared" si="4"/>
        <v>4373421.2640433908</v>
      </c>
    </row>
    <row r="40" spans="1:25">
      <c r="A40" s="160">
        <f t="shared" si="1"/>
        <v>29</v>
      </c>
      <c r="B40" s="122">
        <v>8058</v>
      </c>
      <c r="C40" s="4" t="s">
        <v>270</v>
      </c>
      <c r="D40" s="85">
        <v>-58954.348870343616</v>
      </c>
      <c r="E40" s="85">
        <v>-632220.95835822611</v>
      </c>
      <c r="F40" s="85">
        <v>-3405341.4495051531</v>
      </c>
      <c r="G40" s="85">
        <v>-1804625.2850492052</v>
      </c>
      <c r="H40" s="85">
        <v>-2584123.2125994223</v>
      </c>
      <c r="I40" s="85">
        <v>-396808.74918818363</v>
      </c>
      <c r="J40" s="85">
        <v>-2003.0076900197009</v>
      </c>
      <c r="K40" s="85">
        <v>300571.9214858216</v>
      </c>
      <c r="L40" s="85">
        <v>-213376.35643659992</v>
      </c>
      <c r="M40" s="85">
        <v>1238160.8441953713</v>
      </c>
      <c r="N40" s="85">
        <v>1913468.258990559</v>
      </c>
      <c r="O40" s="85">
        <v>2754815.5311601078</v>
      </c>
      <c r="P40" s="85">
        <f t="shared" si="4"/>
        <v>-2890436.8118652944</v>
      </c>
    </row>
    <row r="41" spans="1:25">
      <c r="A41" s="160">
        <f t="shared" si="1"/>
        <v>30</v>
      </c>
      <c r="B41" s="122">
        <v>8059</v>
      </c>
      <c r="C41" s="4" t="s">
        <v>271</v>
      </c>
      <c r="D41" s="85">
        <v>-11111740.509213209</v>
      </c>
      <c r="E41" s="85">
        <v>-11807774.806510186</v>
      </c>
      <c r="F41" s="85">
        <v>-16413742.352542737</v>
      </c>
      <c r="G41" s="85">
        <v>-10615150.601506313</v>
      </c>
      <c r="H41" s="85">
        <v>-6360572.3525472041</v>
      </c>
      <c r="I41" s="85">
        <v>-2930143.5034869364</v>
      </c>
      <c r="J41" s="85">
        <v>-2983966.3493831912</v>
      </c>
      <c r="K41" s="85">
        <v>-3788876.0735743688</v>
      </c>
      <c r="L41" s="85">
        <v>-3294948.2616846906</v>
      </c>
      <c r="M41" s="85">
        <v>-2514665.0713341516</v>
      </c>
      <c r="N41" s="85">
        <v>-4760616.985246134</v>
      </c>
      <c r="O41" s="85">
        <v>-5837699.4492856022</v>
      </c>
      <c r="P41" s="85">
        <f t="shared" si="4"/>
        <v>-82419896.316314727</v>
      </c>
    </row>
    <row r="42" spans="1:25">
      <c r="A42" s="160">
        <f t="shared" si="1"/>
        <v>31</v>
      </c>
      <c r="B42" s="122">
        <v>8060</v>
      </c>
      <c r="C42" s="4" t="s">
        <v>272</v>
      </c>
      <c r="D42" s="85">
        <v>2392594.879877226</v>
      </c>
      <c r="E42" s="85">
        <v>3099310.3890679493</v>
      </c>
      <c r="F42" s="85">
        <v>2031099.5958994504</v>
      </c>
      <c r="G42" s="85">
        <v>2155687.5159805473</v>
      </c>
      <c r="H42" s="85">
        <v>-2167673.1583005683</v>
      </c>
      <c r="I42" s="85">
        <v>-2403619.8067214475</v>
      </c>
      <c r="J42" s="85">
        <v>-953059.7164853625</v>
      </c>
      <c r="K42" s="85">
        <v>169415.77039689844</v>
      </c>
      <c r="L42" s="85">
        <v>-1484383.992825072</v>
      </c>
      <c r="M42" s="85">
        <v>-829928.95197898441</v>
      </c>
      <c r="N42" s="85">
        <v>-1057928.9828265961</v>
      </c>
      <c r="O42" s="85">
        <v>1066314.4035714015</v>
      </c>
      <c r="P42" s="85">
        <f t="shared" si="4"/>
        <v>2017827.9456554416</v>
      </c>
    </row>
    <row r="43" spans="1:25">
      <c r="A43" s="160">
        <f t="shared" si="1"/>
        <v>32</v>
      </c>
      <c r="B43" s="122">
        <v>8081</v>
      </c>
      <c r="C43" s="4" t="s">
        <v>273</v>
      </c>
      <c r="D43" s="85">
        <v>2077937.0260370504</v>
      </c>
      <c r="E43" s="85">
        <v>2471395.9973225635</v>
      </c>
      <c r="F43" s="85">
        <v>4591893.7629176155</v>
      </c>
      <c r="G43" s="85">
        <v>3631516.5463728113</v>
      </c>
      <c r="H43" s="85">
        <v>83715.608128871987</v>
      </c>
      <c r="I43" s="85">
        <v>9585.8939929196931</v>
      </c>
      <c r="J43" s="85">
        <v>0</v>
      </c>
      <c r="K43" s="85">
        <v>0</v>
      </c>
      <c r="L43" s="85">
        <v>0</v>
      </c>
      <c r="M43" s="85">
        <v>0</v>
      </c>
      <c r="N43" s="85">
        <v>0</v>
      </c>
      <c r="O43" s="85">
        <v>1330383.8164150291</v>
      </c>
      <c r="P43" s="85">
        <f t="shared" si="4"/>
        <v>14196428.651186859</v>
      </c>
    </row>
    <row r="44" spans="1:25">
      <c r="A44" s="160">
        <f t="shared" si="1"/>
        <v>33</v>
      </c>
      <c r="B44" s="122">
        <v>8082</v>
      </c>
      <c r="C44" s="4" t="s">
        <v>274</v>
      </c>
      <c r="D44" s="85">
        <v>-22873.684067130485</v>
      </c>
      <c r="E44" s="85">
        <v>-2400.5077141248653</v>
      </c>
      <c r="F44" s="85">
        <v>-167996.02474944756</v>
      </c>
      <c r="G44" s="85">
        <v>-54196.115267041874</v>
      </c>
      <c r="H44" s="85">
        <v>-1351813.1619918209</v>
      </c>
      <c r="I44" s="85">
        <v>-2105104.0283159241</v>
      </c>
      <c r="J44" s="85">
        <v>-1524681.2970251064</v>
      </c>
      <c r="K44" s="85">
        <v>-1251707.4214751492</v>
      </c>
      <c r="L44" s="85">
        <v>-1824077.982012009</v>
      </c>
      <c r="M44" s="85">
        <v>-1551787.333141295</v>
      </c>
      <c r="N44" s="85">
        <v>-1683967.9524826272</v>
      </c>
      <c r="O44" s="85">
        <v>-24983.936515512938</v>
      </c>
      <c r="P44" s="85">
        <f t="shared" si="4"/>
        <v>-11565589.444757191</v>
      </c>
    </row>
    <row r="45" spans="1:25">
      <c r="A45" s="160">
        <f t="shared" si="1"/>
        <v>34</v>
      </c>
      <c r="B45" s="122">
        <v>8120</v>
      </c>
      <c r="C45" s="4" t="s">
        <v>275</v>
      </c>
      <c r="D45" s="85">
        <v>-1502.8555125894434</v>
      </c>
      <c r="E45" s="85">
        <v>-1920.0754438308768</v>
      </c>
      <c r="F45" s="85">
        <v>-2349.2934803134285</v>
      </c>
      <c r="G45" s="85">
        <v>274.63969654783921</v>
      </c>
      <c r="H45" s="85">
        <v>-2102.5074004151597</v>
      </c>
      <c r="I45" s="85">
        <v>-272.03491487332377</v>
      </c>
      <c r="J45" s="85">
        <v>-445.33164275126137</v>
      </c>
      <c r="K45" s="85">
        <v>1863.3562723974603</v>
      </c>
      <c r="L45" s="85">
        <v>-4205.9385157520846</v>
      </c>
      <c r="M45" s="85">
        <v>-123.36010067966201</v>
      </c>
      <c r="N45" s="85">
        <v>-150.55537386300497</v>
      </c>
      <c r="O45" s="85">
        <v>-599.53293021883394</v>
      </c>
      <c r="P45" s="85">
        <f t="shared" si="4"/>
        <v>-11533.489346341779</v>
      </c>
    </row>
    <row r="46" spans="1:25">
      <c r="A46" s="160">
        <f t="shared" si="1"/>
        <v>35</v>
      </c>
      <c r="B46" s="122">
        <v>8580</v>
      </c>
      <c r="C46" s="4" t="s">
        <v>276</v>
      </c>
      <c r="D46" s="85">
        <v>2768922.0893716831</v>
      </c>
      <c r="E46" s="85">
        <v>2761108.3667620569</v>
      </c>
      <c r="F46" s="85">
        <v>2813517.8134979559</v>
      </c>
      <c r="G46" s="85">
        <v>3961885.3808850283</v>
      </c>
      <c r="H46" s="85">
        <v>4309798.8666006513</v>
      </c>
      <c r="I46" s="85">
        <v>2646041.6555753006</v>
      </c>
      <c r="J46" s="85">
        <v>2187466.1297928002</v>
      </c>
      <c r="K46" s="85">
        <v>2265423.3147633108</v>
      </c>
      <c r="L46" s="85">
        <v>2476922.0522995517</v>
      </c>
      <c r="M46" s="85">
        <v>1489609.4115732932</v>
      </c>
      <c r="N46" s="85">
        <v>2647618.4087611884</v>
      </c>
      <c r="O46" s="85">
        <v>2347992.2594525702</v>
      </c>
      <c r="P46" s="85">
        <f t="shared" si="4"/>
        <v>32676305.74933539</v>
      </c>
    </row>
    <row r="47" spans="1:25">
      <c r="A47" s="160">
        <f t="shared" si="1"/>
        <v>36</v>
      </c>
      <c r="B47" s="122">
        <v>8140</v>
      </c>
      <c r="C47" s="4" t="s">
        <v>277</v>
      </c>
      <c r="D47" s="112">
        <v>52.931881058853229</v>
      </c>
      <c r="E47" s="112">
        <v>45.225143000865316</v>
      </c>
      <c r="F47" s="112">
        <v>72.030051215446093</v>
      </c>
      <c r="G47" s="112">
        <v>50.548171223843973</v>
      </c>
      <c r="H47" s="112">
        <v>43.272618483439217</v>
      </c>
      <c r="I47" s="112">
        <v>56.937706724150104</v>
      </c>
      <c r="J47" s="112">
        <v>58.052935086613921</v>
      </c>
      <c r="K47" s="112">
        <v>53.695480691846605</v>
      </c>
      <c r="L47" s="112">
        <v>95.722306888415446</v>
      </c>
      <c r="M47" s="112">
        <v>51.928976133221646</v>
      </c>
      <c r="N47" s="112">
        <v>31.504689515517015</v>
      </c>
      <c r="O47" s="112">
        <v>40.949259076096737</v>
      </c>
      <c r="P47">
        <f t="shared" si="4"/>
        <v>652.79921909830932</v>
      </c>
      <c r="Y47" s="208"/>
    </row>
    <row r="48" spans="1:25">
      <c r="A48" s="160">
        <f t="shared" si="1"/>
        <v>37</v>
      </c>
      <c r="B48" s="122">
        <v>8160</v>
      </c>
      <c r="C48" s="4" t="s">
        <v>278</v>
      </c>
      <c r="D48" s="112">
        <v>25866.054806498869</v>
      </c>
      <c r="E48" s="112">
        <v>29890.542173700611</v>
      </c>
      <c r="F48" s="112">
        <v>38169.038144740982</v>
      </c>
      <c r="G48" s="112">
        <v>30925.500206603254</v>
      </c>
      <c r="H48" s="112">
        <v>32494.571129577438</v>
      </c>
      <c r="I48" s="112">
        <v>36121.170141632814</v>
      </c>
      <c r="J48" s="112">
        <v>33782.894265837029</v>
      </c>
      <c r="K48" s="112">
        <v>30358.728157589048</v>
      </c>
      <c r="L48" s="112">
        <v>25902.137304280353</v>
      </c>
      <c r="M48" s="112">
        <v>32824.525057099607</v>
      </c>
      <c r="N48" s="112">
        <v>29880.143161674554</v>
      </c>
      <c r="O48" s="112">
        <v>24099.882312602367</v>
      </c>
      <c r="P48">
        <f t="shared" si="4"/>
        <v>370315.18686183688</v>
      </c>
      <c r="Q48" s="4"/>
      <c r="R48" s="4"/>
      <c r="S48" s="4"/>
      <c r="Y48" s="208"/>
    </row>
    <row r="49" spans="1:25">
      <c r="A49" s="160">
        <f t="shared" si="1"/>
        <v>38</v>
      </c>
      <c r="B49" s="122">
        <v>8170</v>
      </c>
      <c r="C49" s="4" t="s">
        <v>279</v>
      </c>
      <c r="D49" s="112">
        <v>3130.1231793384859</v>
      </c>
      <c r="E49" s="112">
        <v>3053.1480803341269</v>
      </c>
      <c r="F49" s="112">
        <v>3655.659257622433</v>
      </c>
      <c r="G49" s="112">
        <v>3572.6068733348284</v>
      </c>
      <c r="H49" s="112">
        <v>3390.9195491807559</v>
      </c>
      <c r="I49" s="112">
        <v>3625.4836121238727</v>
      </c>
      <c r="J49" s="112">
        <v>3625.4852687882394</v>
      </c>
      <c r="K49" s="112">
        <v>3589.9016654122702</v>
      </c>
      <c r="L49" s="112">
        <v>4197.0865721863902</v>
      </c>
      <c r="M49" s="112">
        <v>3264.5152500768436</v>
      </c>
      <c r="N49" s="112">
        <v>2836.4140025002653</v>
      </c>
      <c r="O49" s="112">
        <v>3323.243056930587</v>
      </c>
      <c r="P49">
        <f t="shared" si="4"/>
        <v>41264.586367829099</v>
      </c>
      <c r="Q49" s="4"/>
      <c r="R49" s="4"/>
      <c r="S49" s="4"/>
      <c r="Y49" s="208"/>
    </row>
    <row r="50" spans="1:25">
      <c r="A50" s="160">
        <f t="shared" si="1"/>
        <v>39</v>
      </c>
      <c r="B50" s="122">
        <v>8180</v>
      </c>
      <c r="C50" s="4" t="s">
        <v>280</v>
      </c>
      <c r="D50" s="112">
        <v>3932.8258425825879</v>
      </c>
      <c r="E50" s="112">
        <v>3817.1758106839761</v>
      </c>
      <c r="F50" s="112">
        <v>4571.4153348941063</v>
      </c>
      <c r="G50" s="112">
        <v>4547.3819034940898</v>
      </c>
      <c r="H50" s="112">
        <v>4313.8748142813965</v>
      </c>
      <c r="I50" s="112">
        <v>4614.4135003206129</v>
      </c>
      <c r="J50" s="112">
        <v>4600.1791546793802</v>
      </c>
      <c r="K50" s="112">
        <v>4576.9616799223577</v>
      </c>
      <c r="L50" s="112">
        <v>5299.349616131678</v>
      </c>
      <c r="M50" s="112">
        <v>4105.8270950399274</v>
      </c>
      <c r="N50" s="112">
        <v>3584.2499512329573</v>
      </c>
      <c r="O50" s="112">
        <v>4216.1906022404355</v>
      </c>
      <c r="P50">
        <f t="shared" si="4"/>
        <v>52179.845305503506</v>
      </c>
      <c r="Q50" s="4"/>
      <c r="R50" s="4"/>
      <c r="S50" s="4"/>
      <c r="Y50" s="208"/>
    </row>
    <row r="51" spans="1:25">
      <c r="A51" s="160">
        <f t="shared" si="1"/>
        <v>40</v>
      </c>
      <c r="B51" s="122">
        <v>8190</v>
      </c>
      <c r="C51" s="4" t="s">
        <v>281</v>
      </c>
      <c r="D51" s="112">
        <v>81.208692420613957</v>
      </c>
      <c r="E51" s="112">
        <v>92.435356384398887</v>
      </c>
      <c r="F51" s="112">
        <v>92.991454602545346</v>
      </c>
      <c r="G51" s="112">
        <v>80.541856816184506</v>
      </c>
      <c r="H51" s="112">
        <v>81.838851588369849</v>
      </c>
      <c r="I51" s="112">
        <v>76.366522468679591</v>
      </c>
      <c r="J51" s="112">
        <v>80.559960603866827</v>
      </c>
      <c r="K51" s="112">
        <v>75.315048356187972</v>
      </c>
      <c r="L51" s="112">
        <v>75.290208275414571</v>
      </c>
      <c r="M51" s="112">
        <v>86.33475311078648</v>
      </c>
      <c r="N51" s="112">
        <v>81.966410570184337</v>
      </c>
      <c r="O51" s="112">
        <v>85.913332911471201</v>
      </c>
      <c r="P51">
        <f t="shared" si="4"/>
        <v>990.76244810870355</v>
      </c>
      <c r="Q51" s="4"/>
      <c r="R51" s="4"/>
      <c r="S51" s="4"/>
      <c r="Y51" s="208"/>
    </row>
    <row r="52" spans="1:25">
      <c r="A52" s="160">
        <f t="shared" si="1"/>
        <v>41</v>
      </c>
      <c r="B52" s="122">
        <v>8200</v>
      </c>
      <c r="C52" s="4" t="s">
        <v>282</v>
      </c>
      <c r="D52" s="112">
        <v>627.7684916814394</v>
      </c>
      <c r="E52" s="112">
        <v>608.36920797573907</v>
      </c>
      <c r="F52" s="112">
        <v>769.62071092823635</v>
      </c>
      <c r="G52" s="112">
        <v>659.44968926612523</v>
      </c>
      <c r="H52" s="112">
        <v>616.23179959722097</v>
      </c>
      <c r="I52" s="112">
        <v>682.5405541531004</v>
      </c>
      <c r="J52" s="112">
        <v>693.41086297588095</v>
      </c>
      <c r="K52" s="112">
        <v>665.02643959084162</v>
      </c>
      <c r="L52" s="112">
        <v>884.47679891167365</v>
      </c>
      <c r="M52" s="112">
        <v>644.6667731839832</v>
      </c>
      <c r="N52" s="112">
        <v>518.55277813812063</v>
      </c>
      <c r="O52" s="112">
        <v>607.25239994757192</v>
      </c>
      <c r="P52">
        <f t="shared" si="4"/>
        <v>7977.3665063499329</v>
      </c>
      <c r="Q52" s="4"/>
      <c r="R52" s="4"/>
      <c r="S52" s="4"/>
      <c r="Y52" s="208"/>
    </row>
    <row r="53" spans="1:25">
      <c r="A53" s="160">
        <f t="shared" si="1"/>
        <v>42</v>
      </c>
      <c r="B53" s="122">
        <v>8210</v>
      </c>
      <c r="C53" s="4" t="s">
        <v>283</v>
      </c>
      <c r="D53" s="112">
        <v>2938.2559368447892</v>
      </c>
      <c r="E53" s="112">
        <v>3011.0248534184243</v>
      </c>
      <c r="F53" s="112">
        <v>3195.9811787758417</v>
      </c>
      <c r="G53" s="112">
        <v>3584.4425702399449</v>
      </c>
      <c r="H53" s="112">
        <v>3509.6704054484139</v>
      </c>
      <c r="I53" s="112">
        <v>3508.325228296007</v>
      </c>
      <c r="J53" s="112">
        <v>3481.5919333485108</v>
      </c>
      <c r="K53" s="112">
        <v>3535.9867813709584</v>
      </c>
      <c r="L53" s="112">
        <v>3375.4771773000675</v>
      </c>
      <c r="M53" s="112">
        <v>3139.7466692226903</v>
      </c>
      <c r="N53" s="112">
        <v>3041.1036859642859</v>
      </c>
      <c r="O53" s="112">
        <v>3472.0598518148299</v>
      </c>
      <c r="P53">
        <f t="shared" si="4"/>
        <v>39793.666272044764</v>
      </c>
      <c r="Q53" s="4"/>
      <c r="R53" s="4"/>
      <c r="S53" s="4"/>
      <c r="Y53" s="208"/>
    </row>
    <row r="54" spans="1:25">
      <c r="A54" s="160">
        <f t="shared" si="1"/>
        <v>43</v>
      </c>
      <c r="B54" s="122">
        <v>8240</v>
      </c>
      <c r="C54" s="4" t="s">
        <v>284</v>
      </c>
      <c r="D54" s="112">
        <v>0</v>
      </c>
      <c r="E54" s="112">
        <v>0</v>
      </c>
      <c r="F54" s="112">
        <v>0</v>
      </c>
      <c r="G54" s="112">
        <v>0</v>
      </c>
      <c r="H54" s="112">
        <v>0</v>
      </c>
      <c r="I54" s="112">
        <v>0</v>
      </c>
      <c r="J54" s="112">
        <v>0</v>
      </c>
      <c r="K54" s="112">
        <v>0</v>
      </c>
      <c r="L54" s="112">
        <v>0</v>
      </c>
      <c r="M54" s="112">
        <v>0</v>
      </c>
      <c r="N54" s="112">
        <v>0</v>
      </c>
      <c r="O54" s="112">
        <v>0</v>
      </c>
      <c r="P54">
        <f t="shared" si="4"/>
        <v>0</v>
      </c>
      <c r="Q54" s="4"/>
      <c r="R54" s="4"/>
      <c r="S54" s="4"/>
      <c r="Y54" s="208"/>
    </row>
    <row r="55" spans="1:25">
      <c r="A55" s="160">
        <f t="shared" si="1"/>
        <v>44</v>
      </c>
      <c r="B55" s="122">
        <v>8250</v>
      </c>
      <c r="C55" s="4" t="s">
        <v>285</v>
      </c>
      <c r="D55" s="112">
        <v>754.85027068284614</v>
      </c>
      <c r="E55" s="112">
        <v>859.20425151085487</v>
      </c>
      <c r="F55" s="112">
        <v>864.37329041521161</v>
      </c>
      <c r="G55" s="112">
        <v>748.65190667154775</v>
      </c>
      <c r="H55" s="112">
        <v>760.70772022642552</v>
      </c>
      <c r="I55" s="112">
        <v>709.84137828523637</v>
      </c>
      <c r="J55" s="112">
        <v>748.82018482780234</v>
      </c>
      <c r="K55" s="112">
        <v>700.06772604713149</v>
      </c>
      <c r="L55" s="112">
        <v>699.83683276296836</v>
      </c>
      <c r="M55" s="112">
        <v>802.49798158886756</v>
      </c>
      <c r="N55" s="112">
        <v>761.89340526925298</v>
      </c>
      <c r="O55" s="112">
        <v>798.58080053296851</v>
      </c>
      <c r="P55">
        <f t="shared" si="4"/>
        <v>9209.3257488211148</v>
      </c>
      <c r="Q55" s="4"/>
      <c r="R55" s="4"/>
      <c r="Y55" s="208"/>
    </row>
    <row r="56" spans="1:25">
      <c r="A56" s="160">
        <f t="shared" si="1"/>
        <v>45</v>
      </c>
      <c r="B56" s="122">
        <v>8310</v>
      </c>
      <c r="C56" s="4" t="s">
        <v>286</v>
      </c>
      <c r="D56" s="112">
        <v>44.937382677115849</v>
      </c>
      <c r="E56" s="112">
        <v>38.394621861209217</v>
      </c>
      <c r="F56" s="112">
        <v>61.151085337810237</v>
      </c>
      <c r="G56" s="112">
        <v>42.91369338241811</v>
      </c>
      <c r="H56" s="112">
        <v>36.736994365816201</v>
      </c>
      <c r="I56" s="112">
        <v>48.338193629953693</v>
      </c>
      <c r="J56" s="112">
        <v>49.284984915165865</v>
      </c>
      <c r="K56" s="112">
        <v>45.585653024466168</v>
      </c>
      <c r="L56" s="112">
        <v>81.265011734578991</v>
      </c>
      <c r="M56" s="112">
        <v>44.085950203333908</v>
      </c>
      <c r="N56" s="112">
        <v>26.746419370745478</v>
      </c>
      <c r="O56" s="112">
        <v>34.764540549785359</v>
      </c>
      <c r="P56">
        <f t="shared" si="4"/>
        <v>554.20453105239903</v>
      </c>
      <c r="Q56" s="4"/>
      <c r="R56" s="172"/>
      <c r="S56" s="4"/>
      <c r="Y56" s="208"/>
    </row>
    <row r="57" spans="1:25">
      <c r="A57" s="160">
        <f t="shared" si="1"/>
        <v>46</v>
      </c>
      <c r="B57" s="122">
        <v>8340</v>
      </c>
      <c r="C57" s="4" t="s">
        <v>287</v>
      </c>
      <c r="D57" s="112">
        <v>0</v>
      </c>
      <c r="E57" s="112">
        <v>0</v>
      </c>
      <c r="F57" s="112">
        <v>0</v>
      </c>
      <c r="G57" s="112">
        <v>0</v>
      </c>
      <c r="H57" s="112">
        <v>0</v>
      </c>
      <c r="I57" s="112">
        <v>0</v>
      </c>
      <c r="J57" s="112">
        <v>0</v>
      </c>
      <c r="K57" s="112">
        <v>0</v>
      </c>
      <c r="L57" s="112">
        <v>0</v>
      </c>
      <c r="M57" s="112">
        <v>0</v>
      </c>
      <c r="N57" s="112">
        <v>0</v>
      </c>
      <c r="O57" s="112">
        <v>0</v>
      </c>
      <c r="P57">
        <f t="shared" si="4"/>
        <v>0</v>
      </c>
      <c r="Q57" s="4"/>
      <c r="R57" s="172"/>
      <c r="S57" s="4"/>
      <c r="Y57" s="208"/>
    </row>
    <row r="58" spans="1:25">
      <c r="A58" s="160">
        <f t="shared" si="1"/>
        <v>47</v>
      </c>
      <c r="B58" s="122">
        <v>8350</v>
      </c>
      <c r="C58" s="4" t="s">
        <v>288</v>
      </c>
      <c r="D58" s="112">
        <v>0</v>
      </c>
      <c r="E58" s="112">
        <v>0</v>
      </c>
      <c r="F58" s="112">
        <v>0</v>
      </c>
      <c r="G58" s="112">
        <v>0</v>
      </c>
      <c r="H58" s="112">
        <v>0</v>
      </c>
      <c r="I58" s="112">
        <v>0</v>
      </c>
      <c r="J58" s="112">
        <v>0</v>
      </c>
      <c r="K58" s="112">
        <v>0</v>
      </c>
      <c r="L58" s="112">
        <v>0</v>
      </c>
      <c r="M58" s="112">
        <v>0</v>
      </c>
      <c r="N58" s="112">
        <v>0</v>
      </c>
      <c r="O58" s="112">
        <v>0</v>
      </c>
      <c r="P58">
        <f t="shared" si="4"/>
        <v>0</v>
      </c>
      <c r="Q58" s="4"/>
      <c r="R58" s="172"/>
      <c r="S58" s="4"/>
      <c r="Y58" s="208"/>
    </row>
    <row r="59" spans="1:25">
      <c r="A59" s="160">
        <f t="shared" si="1"/>
        <v>48</v>
      </c>
      <c r="B59" s="122">
        <v>8360</v>
      </c>
      <c r="C59" s="4" t="s">
        <v>289</v>
      </c>
      <c r="D59" s="112">
        <v>0</v>
      </c>
      <c r="E59" s="112">
        <v>0</v>
      </c>
      <c r="F59" s="112">
        <v>0</v>
      </c>
      <c r="G59" s="112">
        <v>0</v>
      </c>
      <c r="H59" s="112">
        <v>0</v>
      </c>
      <c r="I59" s="112">
        <v>0</v>
      </c>
      <c r="J59" s="112">
        <v>0</v>
      </c>
      <c r="K59" s="112">
        <v>0</v>
      </c>
      <c r="L59" s="112">
        <v>0</v>
      </c>
      <c r="M59" s="112">
        <v>0</v>
      </c>
      <c r="N59" s="112">
        <v>0</v>
      </c>
      <c r="O59" s="112">
        <v>0</v>
      </c>
      <c r="P59">
        <f t="shared" ref="P59:P110" si="5">SUM(D59:O59)</f>
        <v>0</v>
      </c>
      <c r="Q59" s="4"/>
      <c r="R59" s="172"/>
      <c r="S59" s="4"/>
      <c r="Y59" s="208"/>
    </row>
    <row r="60" spans="1:25">
      <c r="A60" s="160">
        <f t="shared" si="1"/>
        <v>49</v>
      </c>
      <c r="B60" s="122">
        <v>8370</v>
      </c>
      <c r="C60" s="4" t="s">
        <v>129</v>
      </c>
      <c r="D60" s="112">
        <v>0</v>
      </c>
      <c r="E60" s="112">
        <v>0</v>
      </c>
      <c r="F60" s="112">
        <v>0</v>
      </c>
      <c r="G60" s="112">
        <v>0</v>
      </c>
      <c r="H60" s="112">
        <v>0</v>
      </c>
      <c r="I60" s="112">
        <v>0</v>
      </c>
      <c r="J60" s="112">
        <v>0</v>
      </c>
      <c r="K60" s="112">
        <v>0</v>
      </c>
      <c r="L60" s="112">
        <v>0</v>
      </c>
      <c r="M60" s="112">
        <v>0</v>
      </c>
      <c r="N60" s="112">
        <v>0</v>
      </c>
      <c r="O60" s="112">
        <v>0</v>
      </c>
      <c r="P60">
        <f t="shared" si="5"/>
        <v>0</v>
      </c>
      <c r="Q60" s="4"/>
      <c r="R60" s="172"/>
      <c r="S60" s="4"/>
      <c r="Y60" s="208"/>
    </row>
    <row r="61" spans="1:25">
      <c r="A61" s="160">
        <f t="shared" si="1"/>
        <v>50</v>
      </c>
      <c r="B61" s="122">
        <v>8410</v>
      </c>
      <c r="C61" s="4" t="s">
        <v>290</v>
      </c>
      <c r="D61" s="112">
        <v>16447.114532073039</v>
      </c>
      <c r="E61" s="112">
        <v>16738.357264831247</v>
      </c>
      <c r="F61" s="112">
        <v>17850.108591525455</v>
      </c>
      <c r="G61" s="112">
        <v>21661.801297616272</v>
      </c>
      <c r="H61" s="112">
        <v>21205.178467003199</v>
      </c>
      <c r="I61" s="112">
        <v>21121.2162807329</v>
      </c>
      <c r="J61" s="112">
        <v>20853.542935541926</v>
      </c>
      <c r="K61" s="112">
        <v>21528.403640890909</v>
      </c>
      <c r="L61" s="112">
        <v>20872.725646163293</v>
      </c>
      <c r="M61" s="112">
        <v>17616.174384847647</v>
      </c>
      <c r="N61" s="112">
        <v>17185.373106536626</v>
      </c>
      <c r="O61" s="112">
        <v>19639.80920594624</v>
      </c>
      <c r="P61">
        <f t="shared" si="5"/>
        <v>232719.80535370877</v>
      </c>
      <c r="Q61" s="4"/>
      <c r="R61" s="172"/>
      <c r="S61" s="4"/>
      <c r="Y61" s="208"/>
    </row>
    <row r="62" spans="1:25">
      <c r="A62" s="160">
        <f t="shared" si="1"/>
        <v>51</v>
      </c>
      <c r="B62" s="122">
        <v>8500</v>
      </c>
      <c r="C62" t="s">
        <v>153</v>
      </c>
      <c r="D62" s="112">
        <v>1345.6897837346971</v>
      </c>
      <c r="E62" s="112">
        <v>2332.5669520148826</v>
      </c>
      <c r="F62" s="112">
        <v>1914.0818116435009</v>
      </c>
      <c r="G62" s="112">
        <v>946.58671748546442</v>
      </c>
      <c r="H62" s="112">
        <v>1055.2888041657197</v>
      </c>
      <c r="I62" s="112">
        <v>1185.4629079680008</v>
      </c>
      <c r="J62" s="112">
        <v>1074.5241528375345</v>
      </c>
      <c r="K62" s="112">
        <v>951.86525502796235</v>
      </c>
      <c r="L62" s="112">
        <v>1132.24451353106</v>
      </c>
      <c r="M62" s="112">
        <v>650.5385974133942</v>
      </c>
      <c r="N62" s="112">
        <v>696.69448755194867</v>
      </c>
      <c r="O62" s="112">
        <v>1116.4983676415745</v>
      </c>
      <c r="P62">
        <f t="shared" si="5"/>
        <v>14402.042351015738</v>
      </c>
      <c r="Q62" s="4"/>
      <c r="R62" s="172"/>
      <c r="S62" s="4"/>
      <c r="Y62" s="208"/>
    </row>
    <row r="63" spans="1:25">
      <c r="A63" s="160">
        <f t="shared" si="1"/>
        <v>52</v>
      </c>
      <c r="B63" s="122">
        <v>8520</v>
      </c>
      <c r="C63" s="4" t="s">
        <v>134</v>
      </c>
      <c r="D63" s="112">
        <v>0</v>
      </c>
      <c r="E63" s="112">
        <v>0</v>
      </c>
      <c r="F63" s="112">
        <v>0</v>
      </c>
      <c r="G63" s="112">
        <v>0</v>
      </c>
      <c r="H63" s="112">
        <v>0</v>
      </c>
      <c r="I63" s="112">
        <v>0</v>
      </c>
      <c r="J63" s="112">
        <v>0</v>
      </c>
      <c r="K63" s="112">
        <v>0</v>
      </c>
      <c r="L63" s="112">
        <v>0</v>
      </c>
      <c r="M63" s="112">
        <v>0</v>
      </c>
      <c r="N63" s="112">
        <v>0</v>
      </c>
      <c r="O63" s="112">
        <v>0</v>
      </c>
      <c r="P63">
        <f t="shared" si="5"/>
        <v>0</v>
      </c>
      <c r="Q63" s="4"/>
      <c r="R63" s="172"/>
      <c r="S63" s="4"/>
      <c r="Y63" s="208"/>
    </row>
    <row r="64" spans="1:25">
      <c r="A64" s="160">
        <f t="shared" si="1"/>
        <v>53</v>
      </c>
      <c r="B64" s="122">
        <v>8550</v>
      </c>
      <c r="C64" t="s">
        <v>291</v>
      </c>
      <c r="D64" s="112">
        <v>16.885670325722362</v>
      </c>
      <c r="E64" s="112">
        <v>19.220023224403189</v>
      </c>
      <c r="F64" s="112">
        <v>19.335652363359241</v>
      </c>
      <c r="G64" s="112">
        <v>16.74701563442984</v>
      </c>
      <c r="H64" s="112">
        <v>17.016698909514169</v>
      </c>
      <c r="I64" s="112">
        <v>15.878841093132381</v>
      </c>
      <c r="J64" s="112">
        <v>16.750779943167473</v>
      </c>
      <c r="K64" s="112">
        <v>15.660208768311715</v>
      </c>
      <c r="L64" s="112">
        <v>15.655043786555433</v>
      </c>
      <c r="M64" s="112">
        <v>17.95152877392373</v>
      </c>
      <c r="N64" s="112">
        <v>17.043222165212562</v>
      </c>
      <c r="O64" s="112">
        <v>17.863903147378959</v>
      </c>
      <c r="P64">
        <f t="shared" si="5"/>
        <v>206.00858813511107</v>
      </c>
      <c r="Q64" s="4"/>
      <c r="R64" s="172"/>
      <c r="S64" s="4"/>
      <c r="Y64" s="208"/>
    </row>
    <row r="65" spans="1:25">
      <c r="A65" s="160">
        <f t="shared" si="1"/>
        <v>54</v>
      </c>
      <c r="B65" s="122">
        <v>8560</v>
      </c>
      <c r="C65" s="4" t="s">
        <v>292</v>
      </c>
      <c r="D65" s="112">
        <v>12818.35848938864</v>
      </c>
      <c r="E65" s="112">
        <v>13029.947465601006</v>
      </c>
      <c r="F65" s="112">
        <v>14326.451022339517</v>
      </c>
      <c r="G65" s="112">
        <v>15353.342750797099</v>
      </c>
      <c r="H65" s="112">
        <v>15050.009865758377</v>
      </c>
      <c r="I65" s="112">
        <v>15302.372779323701</v>
      </c>
      <c r="J65" s="112">
        <v>15246.096441722235</v>
      </c>
      <c r="K65" s="112">
        <v>15284.976542074395</v>
      </c>
      <c r="L65" s="112">
        <v>16787.429837986128</v>
      </c>
      <c r="M65" s="112">
        <v>13832.70150827914</v>
      </c>
      <c r="N65" s="112">
        <v>13851.550770669048</v>
      </c>
      <c r="O65" s="112">
        <v>14776.200174075691</v>
      </c>
      <c r="P65">
        <f t="shared" si="5"/>
        <v>175659.43764801498</v>
      </c>
      <c r="Q65" s="4"/>
      <c r="R65" s="172"/>
      <c r="S65" s="4"/>
      <c r="Y65" s="208"/>
    </row>
    <row r="66" spans="1:25">
      <c r="A66" s="160">
        <f t="shared" si="1"/>
        <v>55</v>
      </c>
      <c r="B66" s="122">
        <v>8570</v>
      </c>
      <c r="C66" s="4" t="s">
        <v>293</v>
      </c>
      <c r="D66" s="112">
        <v>963.67963287460543</v>
      </c>
      <c r="E66" s="112">
        <v>1027.3562036469796</v>
      </c>
      <c r="F66" s="112">
        <v>1139.3576535854379</v>
      </c>
      <c r="G66" s="112">
        <v>975.48851735098663</v>
      </c>
      <c r="H66" s="112">
        <v>955.64557660258583</v>
      </c>
      <c r="I66" s="112">
        <v>962.98995355907743</v>
      </c>
      <c r="J66" s="112">
        <v>999.52009655162306</v>
      </c>
      <c r="K66" s="112">
        <v>943.60927201699906</v>
      </c>
      <c r="L66" s="112">
        <v>1093.9155274288096</v>
      </c>
      <c r="M66" s="112">
        <v>1008.9293820216667</v>
      </c>
      <c r="N66" s="112">
        <v>893.83471090460739</v>
      </c>
      <c r="O66" s="112">
        <v>977.94579402252259</v>
      </c>
      <c r="P66">
        <f t="shared" si="5"/>
        <v>11942.272320565902</v>
      </c>
      <c r="Q66" s="4"/>
      <c r="R66" s="172"/>
      <c r="S66" s="4"/>
      <c r="Y66" s="208"/>
    </row>
    <row r="67" spans="1:25">
      <c r="A67" s="160">
        <f>A66+1</f>
        <v>56</v>
      </c>
      <c r="B67" s="122">
        <v>8630</v>
      </c>
      <c r="C67" s="4" t="s">
        <v>294</v>
      </c>
      <c r="D67" s="112">
        <v>303.33973040789363</v>
      </c>
      <c r="E67" s="112">
        <v>308.49871141546691</v>
      </c>
      <c r="F67" s="112">
        <v>328.2543448124494</v>
      </c>
      <c r="G67" s="112">
        <v>375.63175979478484</v>
      </c>
      <c r="H67" s="112">
        <v>367.12308093332422</v>
      </c>
      <c r="I67" s="112">
        <v>368.15112541068828</v>
      </c>
      <c r="J67" s="112">
        <v>363.96185853911754</v>
      </c>
      <c r="K67" s="112">
        <v>371.61641837791348</v>
      </c>
      <c r="L67" s="112">
        <v>352.61824382824767</v>
      </c>
      <c r="M67" s="112">
        <v>324.38817804991686</v>
      </c>
      <c r="N67" s="112">
        <v>315.15896232032435</v>
      </c>
      <c r="O67" s="112">
        <v>361.84544739487501</v>
      </c>
      <c r="P67">
        <f t="shared" si="5"/>
        <v>4140.587861285002</v>
      </c>
      <c r="Q67" s="4"/>
      <c r="R67" s="172"/>
      <c r="S67" s="4"/>
      <c r="Y67" s="208"/>
    </row>
    <row r="68" spans="1:25">
      <c r="A68" s="160">
        <f t="shared" si="1"/>
        <v>57</v>
      </c>
      <c r="B68" s="122">
        <v>8640</v>
      </c>
      <c r="C68" s="4" t="s">
        <v>295</v>
      </c>
      <c r="D68" s="112">
        <v>0</v>
      </c>
      <c r="E68" s="112">
        <v>0</v>
      </c>
      <c r="F68" s="112">
        <v>0</v>
      </c>
      <c r="G68" s="112">
        <v>0</v>
      </c>
      <c r="H68" s="112">
        <v>0</v>
      </c>
      <c r="I68" s="112">
        <v>0</v>
      </c>
      <c r="J68" s="112">
        <v>0</v>
      </c>
      <c r="K68" s="112">
        <v>0</v>
      </c>
      <c r="L68" s="112">
        <v>0</v>
      </c>
      <c r="M68" s="112">
        <v>0</v>
      </c>
      <c r="N68" s="112">
        <v>0</v>
      </c>
      <c r="O68" s="112">
        <v>0</v>
      </c>
      <c r="P68">
        <f t="shared" si="5"/>
        <v>0</v>
      </c>
      <c r="Q68" s="4"/>
      <c r="R68" s="172"/>
      <c r="S68" s="4"/>
      <c r="Y68" s="208"/>
    </row>
    <row r="69" spans="1:25">
      <c r="A69" s="160">
        <f t="shared" si="1"/>
        <v>58</v>
      </c>
      <c r="B69" s="122">
        <v>8650</v>
      </c>
      <c r="C69" s="4" t="s">
        <v>296</v>
      </c>
      <c r="D69" s="112">
        <v>0</v>
      </c>
      <c r="E69" s="112">
        <v>0</v>
      </c>
      <c r="F69" s="112">
        <v>0</v>
      </c>
      <c r="G69" s="112">
        <v>0</v>
      </c>
      <c r="H69" s="112">
        <v>0</v>
      </c>
      <c r="I69" s="112">
        <v>0</v>
      </c>
      <c r="J69" s="112">
        <v>0</v>
      </c>
      <c r="K69" s="112">
        <v>0</v>
      </c>
      <c r="L69" s="112">
        <v>0</v>
      </c>
      <c r="M69" s="112">
        <v>0</v>
      </c>
      <c r="N69" s="112">
        <v>0</v>
      </c>
      <c r="O69" s="112">
        <v>0</v>
      </c>
      <c r="P69">
        <f t="shared" si="5"/>
        <v>0</v>
      </c>
      <c r="Q69" s="4"/>
      <c r="R69" s="172"/>
      <c r="S69" s="4"/>
      <c r="Y69" s="208"/>
    </row>
    <row r="70" spans="1:25">
      <c r="A70" s="160">
        <f t="shared" si="1"/>
        <v>59</v>
      </c>
      <c r="B70" s="122">
        <v>8700</v>
      </c>
      <c r="C70" s="4" t="s">
        <v>297</v>
      </c>
      <c r="D70" s="112">
        <v>87253.98094407162</v>
      </c>
      <c r="E70" s="112">
        <v>69811.326992280563</v>
      </c>
      <c r="F70" s="112">
        <v>82668.754845316682</v>
      </c>
      <c r="G70" s="112">
        <v>94477.425212630696</v>
      </c>
      <c r="H70" s="112">
        <v>99526.394251358943</v>
      </c>
      <c r="I70" s="112">
        <v>96840.52387156256</v>
      </c>
      <c r="J70" s="112">
        <v>98298.853052950144</v>
      </c>
      <c r="K70" s="112">
        <v>98800.290980057762</v>
      </c>
      <c r="L70" s="112">
        <v>116594.6079256575</v>
      </c>
      <c r="M70" s="112">
        <v>72645.412480969419</v>
      </c>
      <c r="N70" s="112">
        <v>73314.393508421548</v>
      </c>
      <c r="O70" s="112">
        <v>75947.460757411347</v>
      </c>
      <c r="P70">
        <f t="shared" si="5"/>
        <v>1066179.4248226888</v>
      </c>
      <c r="Q70" s="4"/>
      <c r="R70" s="172"/>
      <c r="S70" s="4"/>
      <c r="Y70" s="208"/>
    </row>
    <row r="71" spans="1:25">
      <c r="A71" s="160">
        <f t="shared" si="1"/>
        <v>60</v>
      </c>
      <c r="B71" s="122">
        <v>8710</v>
      </c>
      <c r="C71" s="4" t="s">
        <v>298</v>
      </c>
      <c r="D71" s="112">
        <v>32.647188453398016</v>
      </c>
      <c r="E71" s="112">
        <v>37.160486269231605</v>
      </c>
      <c r="F71" s="112">
        <v>37.384046614624111</v>
      </c>
      <c r="G71" s="112">
        <v>32.379109914065225</v>
      </c>
      <c r="H71" s="112">
        <v>32.900522480731034</v>
      </c>
      <c r="I71" s="112">
        <v>30.70055897036924</v>
      </c>
      <c r="J71" s="112">
        <v>32.38638792520625</v>
      </c>
      <c r="K71" s="112">
        <v>30.277849621392331</v>
      </c>
      <c r="L71" s="112">
        <v>30.267863513082567</v>
      </c>
      <c r="M71" s="112">
        <v>34.707946537136564</v>
      </c>
      <c r="N71" s="112">
        <v>32.951803224135347</v>
      </c>
      <c r="O71" s="112">
        <v>34.538528901474422</v>
      </c>
      <c r="P71">
        <f t="shared" si="5"/>
        <v>398.30229242484671</v>
      </c>
      <c r="Q71" s="4"/>
      <c r="R71" s="172"/>
      <c r="S71" s="4"/>
      <c r="Y71" s="208"/>
    </row>
    <row r="72" spans="1:25">
      <c r="A72" s="160">
        <f t="shared" si="1"/>
        <v>61</v>
      </c>
      <c r="B72" s="122">
        <v>8711</v>
      </c>
      <c r="C72" t="s">
        <v>299</v>
      </c>
      <c r="D72" s="112">
        <v>8760.6684198618314</v>
      </c>
      <c r="E72" s="112">
        <v>7498.59443946996</v>
      </c>
      <c r="F72" s="112">
        <v>11927.870783678705</v>
      </c>
      <c r="G72" s="112">
        <v>8376.3304357184188</v>
      </c>
      <c r="H72" s="112">
        <v>7180.9870015487395</v>
      </c>
      <c r="I72" s="112">
        <v>9438.0623159543757</v>
      </c>
      <c r="J72" s="112">
        <v>9617.5342908122111</v>
      </c>
      <c r="K72" s="112">
        <v>8893.7159447132144</v>
      </c>
      <c r="L72" s="112">
        <v>15806.480344670883</v>
      </c>
      <c r="M72" s="112">
        <v>8607.7550847578768</v>
      </c>
      <c r="N72" s="112">
        <v>5238.7210998959226</v>
      </c>
      <c r="O72" s="112">
        <v>6783.3401723357092</v>
      </c>
      <c r="P72">
        <f t="shared" si="5"/>
        <v>108130.06033341786</v>
      </c>
      <c r="Q72" s="4"/>
      <c r="R72" s="172"/>
      <c r="S72" s="4"/>
      <c r="Y72" s="208"/>
    </row>
    <row r="73" spans="1:25">
      <c r="A73" s="160">
        <f t="shared" si="1"/>
        <v>62</v>
      </c>
      <c r="B73" s="122">
        <v>8720</v>
      </c>
      <c r="C73" t="s">
        <v>300</v>
      </c>
      <c r="D73" s="112">
        <v>0</v>
      </c>
      <c r="E73" s="112">
        <v>0</v>
      </c>
      <c r="F73" s="112">
        <v>0</v>
      </c>
      <c r="G73" s="112">
        <v>0</v>
      </c>
      <c r="H73" s="112">
        <v>0</v>
      </c>
      <c r="I73" s="112">
        <v>0</v>
      </c>
      <c r="J73" s="112">
        <v>0</v>
      </c>
      <c r="K73" s="112">
        <v>0</v>
      </c>
      <c r="L73" s="112">
        <v>0</v>
      </c>
      <c r="M73" s="112">
        <v>0</v>
      </c>
      <c r="N73" s="112">
        <v>0</v>
      </c>
      <c r="O73" s="112">
        <v>0</v>
      </c>
      <c r="P73">
        <f t="shared" si="5"/>
        <v>0</v>
      </c>
      <c r="Q73" s="4"/>
      <c r="R73" s="172"/>
      <c r="S73" s="4"/>
      <c r="Y73" s="208"/>
    </row>
    <row r="74" spans="1:25">
      <c r="A74" s="160">
        <f t="shared" si="1"/>
        <v>63</v>
      </c>
      <c r="B74" s="122">
        <v>8740</v>
      </c>
      <c r="C74" s="4" t="s">
        <v>301</v>
      </c>
      <c r="D74" s="112">
        <v>419485.90128369501</v>
      </c>
      <c r="E74" s="112">
        <v>454086.21571165969</v>
      </c>
      <c r="F74" s="112">
        <v>529567.10468305321</v>
      </c>
      <c r="G74" s="112">
        <v>526870.95880209026</v>
      </c>
      <c r="H74" s="112">
        <v>537244.22509616707</v>
      </c>
      <c r="I74" s="112">
        <v>565425.11913903011</v>
      </c>
      <c r="J74" s="112">
        <v>554265.18814281339</v>
      </c>
      <c r="K74" s="112">
        <v>530611.7855009021</v>
      </c>
      <c r="L74" s="112">
        <v>490214.58757438947</v>
      </c>
      <c r="M74" s="112">
        <v>443768.95420325035</v>
      </c>
      <c r="N74" s="112">
        <v>463993.57937842328</v>
      </c>
      <c r="O74" s="112">
        <v>438819.34304659499</v>
      </c>
      <c r="P74">
        <f t="shared" si="5"/>
        <v>5954352.9625620693</v>
      </c>
      <c r="Q74" s="4"/>
      <c r="R74" s="172"/>
      <c r="S74" s="4"/>
      <c r="Y74" s="208"/>
    </row>
    <row r="75" spans="1:25">
      <c r="A75" s="160">
        <f t="shared" si="1"/>
        <v>64</v>
      </c>
      <c r="B75" s="122">
        <v>8750</v>
      </c>
      <c r="C75" s="4" t="s">
        <v>302</v>
      </c>
      <c r="D75" s="112">
        <v>36901.176740244387</v>
      </c>
      <c r="E75" s="112">
        <v>37202.688095394202</v>
      </c>
      <c r="F75" s="112">
        <v>43560.669890249374</v>
      </c>
      <c r="G75" s="112">
        <v>43982.578759406213</v>
      </c>
      <c r="H75" s="112">
        <v>42785.877031568169</v>
      </c>
      <c r="I75" s="112">
        <v>45050.904002320945</v>
      </c>
      <c r="J75" s="112">
        <v>44613.447556044623</v>
      </c>
      <c r="K75" s="112">
        <v>44043.867456821768</v>
      </c>
      <c r="L75" s="112">
        <v>47638.287743660265</v>
      </c>
      <c r="M75" s="112">
        <v>39206.332050213299</v>
      </c>
      <c r="N75" s="112">
        <v>36214.812594692165</v>
      </c>
      <c r="O75" s="112">
        <v>39919.696241205987</v>
      </c>
      <c r="P75">
        <f t="shared" si="5"/>
        <v>501120.33816182142</v>
      </c>
      <c r="Q75" s="4"/>
      <c r="R75" s="172"/>
      <c r="S75" s="4"/>
      <c r="Y75" s="208"/>
    </row>
    <row r="76" spans="1:25">
      <c r="A76" s="160">
        <f t="shared" si="1"/>
        <v>65</v>
      </c>
      <c r="B76" s="122">
        <v>8760</v>
      </c>
      <c r="C76" s="4" t="s">
        <v>303</v>
      </c>
      <c r="D76" s="112">
        <v>2009.3558081342946</v>
      </c>
      <c r="E76" s="112">
        <v>2020.3668258913051</v>
      </c>
      <c r="F76" s="112">
        <v>2213.9403255644875</v>
      </c>
      <c r="G76" s="112">
        <v>2448.6107115116388</v>
      </c>
      <c r="H76" s="112">
        <v>2376.8369841243234</v>
      </c>
      <c r="I76" s="112">
        <v>2419.9290131067473</v>
      </c>
      <c r="J76" s="112">
        <v>2397.5340017684307</v>
      </c>
      <c r="K76" s="112">
        <v>2432.8601470734739</v>
      </c>
      <c r="L76" s="112">
        <v>2429.3095925950488</v>
      </c>
      <c r="M76" s="112">
        <v>2134.2271421389628</v>
      </c>
      <c r="N76" s="112">
        <v>2024.6346334103423</v>
      </c>
      <c r="O76" s="112">
        <v>2336.8289619267939</v>
      </c>
      <c r="P76">
        <f t="shared" si="5"/>
        <v>27244.434147245847</v>
      </c>
      <c r="Q76" s="4"/>
      <c r="R76" s="172"/>
      <c r="S76" s="4"/>
      <c r="Y76" s="208"/>
    </row>
    <row r="77" spans="1:25">
      <c r="A77" s="160">
        <f t="shared" si="1"/>
        <v>66</v>
      </c>
      <c r="B77" s="122">
        <v>8770</v>
      </c>
      <c r="C77" s="4" t="s">
        <v>304</v>
      </c>
      <c r="D77" s="112">
        <v>289.22986039730381</v>
      </c>
      <c r="E77" s="112">
        <v>329.21432947550215</v>
      </c>
      <c r="F77" s="112">
        <v>331.1949082190759</v>
      </c>
      <c r="G77" s="112">
        <v>286.85488349485433</v>
      </c>
      <c r="H77" s="112">
        <v>291.47421186616026</v>
      </c>
      <c r="I77" s="112">
        <v>271.98416788000264</v>
      </c>
      <c r="J77" s="112">
        <v>286.91936127214575</v>
      </c>
      <c r="K77" s="112">
        <v>268.23927676425632</v>
      </c>
      <c r="L77" s="112">
        <v>268.15080725587984</v>
      </c>
      <c r="M77" s="112">
        <v>307.48664761569228</v>
      </c>
      <c r="N77" s="112">
        <v>291.92852119442205</v>
      </c>
      <c r="O77" s="112">
        <v>305.98573309800423</v>
      </c>
      <c r="P77">
        <f t="shared" si="5"/>
        <v>3528.6627085332993</v>
      </c>
      <c r="Q77" s="4"/>
      <c r="R77" s="172"/>
      <c r="S77" s="4"/>
      <c r="Y77" s="208"/>
    </row>
    <row r="78" spans="1:25">
      <c r="A78" s="160">
        <f t="shared" ref="A78:A113" si="6">A77+1</f>
        <v>67</v>
      </c>
      <c r="B78" s="122">
        <v>8780</v>
      </c>
      <c r="C78" s="4" t="s">
        <v>305</v>
      </c>
      <c r="D78" s="112">
        <v>78917.662080823982</v>
      </c>
      <c r="E78" s="112">
        <v>80111.054160627085</v>
      </c>
      <c r="F78" s="112">
        <v>86083.975860410908</v>
      </c>
      <c r="G78" s="112">
        <v>98722.867141173294</v>
      </c>
      <c r="H78" s="112">
        <v>96445.451375671721</v>
      </c>
      <c r="I78" s="112">
        <v>96779.438535530979</v>
      </c>
      <c r="J78" s="112">
        <v>95801.75785544308</v>
      </c>
      <c r="K78" s="112">
        <v>97880.544825914782</v>
      </c>
      <c r="L78" s="112">
        <v>95174.729049057059</v>
      </c>
      <c r="M78" s="112">
        <v>84320.211388579759</v>
      </c>
      <c r="N78" s="112">
        <v>81677.547586277797</v>
      </c>
      <c r="O78" s="112">
        <v>93331.647738526386</v>
      </c>
      <c r="P78">
        <f t="shared" si="5"/>
        <v>1085246.8875980368</v>
      </c>
      <c r="Q78" s="4"/>
      <c r="R78" s="172"/>
      <c r="S78" s="4"/>
      <c r="Y78" s="208"/>
    </row>
    <row r="79" spans="1:25">
      <c r="A79" s="160">
        <f t="shared" si="6"/>
        <v>68</v>
      </c>
      <c r="B79" s="122">
        <v>8790</v>
      </c>
      <c r="C79" s="4" t="s">
        <v>306</v>
      </c>
      <c r="D79" s="112">
        <v>0</v>
      </c>
      <c r="E79" s="112">
        <v>0</v>
      </c>
      <c r="F79" s="112">
        <v>0</v>
      </c>
      <c r="G79" s="112">
        <v>0</v>
      </c>
      <c r="H79" s="112">
        <v>0</v>
      </c>
      <c r="I79" s="112">
        <v>0</v>
      </c>
      <c r="J79" s="112">
        <v>0</v>
      </c>
      <c r="K79" s="112">
        <v>0</v>
      </c>
      <c r="L79" s="112">
        <v>0</v>
      </c>
      <c r="M79" s="112">
        <v>0</v>
      </c>
      <c r="N79" s="112">
        <v>0</v>
      </c>
      <c r="O79" s="112">
        <v>0</v>
      </c>
      <c r="P79">
        <f t="shared" si="5"/>
        <v>0</v>
      </c>
      <c r="Q79" s="4"/>
      <c r="R79" s="172"/>
      <c r="S79" s="4"/>
      <c r="Y79" s="208"/>
    </row>
    <row r="80" spans="1:25">
      <c r="A80" s="160">
        <f t="shared" si="6"/>
        <v>69</v>
      </c>
      <c r="B80" s="122">
        <v>8800</v>
      </c>
      <c r="C80" s="4" t="s">
        <v>307</v>
      </c>
      <c r="D80" s="112">
        <v>162.4039699702202</v>
      </c>
      <c r="E80" s="112">
        <v>161.59099207109858</v>
      </c>
      <c r="F80" s="112">
        <v>184.13801585986772</v>
      </c>
      <c r="G80" s="112">
        <v>117.80498651480819</v>
      </c>
      <c r="H80" s="112">
        <v>113.47537053521938</v>
      </c>
      <c r="I80" s="112">
        <v>118.90895765227725</v>
      </c>
      <c r="J80" s="112">
        <v>123.80517292802701</v>
      </c>
      <c r="K80" s="112">
        <v>119.0382073254508</v>
      </c>
      <c r="L80" s="112">
        <v>151.49020811283282</v>
      </c>
      <c r="M80" s="112">
        <v>172.0481522876035</v>
      </c>
      <c r="N80" s="112">
        <v>177.96551048589893</v>
      </c>
      <c r="O80" s="112">
        <v>160.50335932531118</v>
      </c>
      <c r="P80">
        <f t="shared" si="5"/>
        <v>1763.1729030686151</v>
      </c>
      <c r="Q80" s="4"/>
      <c r="R80" s="4"/>
      <c r="S80" s="4"/>
      <c r="Y80" s="208"/>
    </row>
    <row r="81" spans="1:25">
      <c r="A81" s="160">
        <f t="shared" si="6"/>
        <v>70</v>
      </c>
      <c r="B81" s="122">
        <v>8810</v>
      </c>
      <c r="C81" s="4" t="s">
        <v>308</v>
      </c>
      <c r="D81" s="112">
        <v>33454.476671779033</v>
      </c>
      <c r="E81" s="112">
        <v>39600.737967937108</v>
      </c>
      <c r="F81" s="112">
        <v>40687.929974051956</v>
      </c>
      <c r="G81" s="112">
        <v>24983.550526013558</v>
      </c>
      <c r="H81" s="112">
        <v>25109.639620637874</v>
      </c>
      <c r="I81" s="112">
        <v>22395.986080873747</v>
      </c>
      <c r="J81" s="112">
        <v>23354.210256546106</v>
      </c>
      <c r="K81" s="112">
        <v>19802.794648471794</v>
      </c>
      <c r="L81" s="112">
        <v>21482.139115648471</v>
      </c>
      <c r="M81" s="112">
        <v>44862.580843232579</v>
      </c>
      <c r="N81" s="112">
        <v>31264.557825005144</v>
      </c>
      <c r="O81" s="112">
        <v>33993.546717994133</v>
      </c>
      <c r="P81">
        <f t="shared" si="5"/>
        <v>360992.15024819149</v>
      </c>
      <c r="Q81" s="4"/>
      <c r="R81" s="4"/>
      <c r="S81" s="4"/>
      <c r="Y81" s="208"/>
    </row>
    <row r="82" spans="1:25">
      <c r="A82" s="160">
        <f t="shared" si="6"/>
        <v>71</v>
      </c>
      <c r="B82" s="122">
        <v>8850</v>
      </c>
      <c r="C82" s="4" t="s">
        <v>309</v>
      </c>
      <c r="D82" s="112">
        <v>13.524446594209275</v>
      </c>
      <c r="E82" s="112">
        <v>2.2896329754466245</v>
      </c>
      <c r="F82" s="112">
        <v>28.69074602217724</v>
      </c>
      <c r="G82" s="112">
        <v>14.124793219220276</v>
      </c>
      <c r="H82" s="112">
        <v>14.728684414327203</v>
      </c>
      <c r="I82" s="112">
        <v>14.539268960661797</v>
      </c>
      <c r="J82" s="112">
        <v>14.76978549678782</v>
      </c>
      <c r="K82" s="112">
        <v>16.657926212267888</v>
      </c>
      <c r="L82" s="112">
        <v>14.480962773915339</v>
      </c>
      <c r="M82" s="112">
        <v>13.865840469066267</v>
      </c>
      <c r="N82" s="112">
        <v>16.350106186746455</v>
      </c>
      <c r="O82" s="112">
        <v>15.78922775235413</v>
      </c>
      <c r="P82">
        <f t="shared" si="5"/>
        <v>179.81142107718028</v>
      </c>
      <c r="Q82" s="4"/>
      <c r="R82" s="4"/>
      <c r="S82" s="4"/>
      <c r="Y82" s="208"/>
    </row>
    <row r="83" spans="1:25">
      <c r="A83" s="160">
        <f t="shared" si="6"/>
        <v>72</v>
      </c>
      <c r="B83" s="122">
        <v>8860</v>
      </c>
      <c r="C83" s="4" t="s">
        <v>310</v>
      </c>
      <c r="D83" s="112">
        <v>0</v>
      </c>
      <c r="E83" s="112">
        <v>0</v>
      </c>
      <c r="F83" s="112">
        <v>0</v>
      </c>
      <c r="G83" s="112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0</v>
      </c>
      <c r="M83" s="112">
        <v>0</v>
      </c>
      <c r="N83" s="112">
        <v>0</v>
      </c>
      <c r="O83" s="112">
        <v>0</v>
      </c>
      <c r="P83">
        <f t="shared" si="5"/>
        <v>0</v>
      </c>
      <c r="Q83" s="4"/>
      <c r="R83" s="4"/>
      <c r="S83" s="4"/>
      <c r="Y83" s="208"/>
    </row>
    <row r="84" spans="1:25">
      <c r="A84" s="160">
        <f t="shared" si="6"/>
        <v>73</v>
      </c>
      <c r="B84" s="122">
        <v>8870</v>
      </c>
      <c r="C84" s="4" t="s">
        <v>311</v>
      </c>
      <c r="D84" s="112">
        <v>1290.3704435117647</v>
      </c>
      <c r="E84" s="112">
        <v>1416.896921223401</v>
      </c>
      <c r="F84" s="112">
        <v>1752.6484695815352</v>
      </c>
      <c r="G84" s="112">
        <v>1538.2076717526868</v>
      </c>
      <c r="H84" s="112">
        <v>1568.1494763017754</v>
      </c>
      <c r="I84" s="112">
        <v>1709.1473189608582</v>
      </c>
      <c r="J84" s="112">
        <v>1628.3705243946617</v>
      </c>
      <c r="K84" s="112">
        <v>1519.8893892741191</v>
      </c>
      <c r="L84" s="112">
        <v>1396.3395619371245</v>
      </c>
      <c r="M84" s="112">
        <v>1541.9085817494195</v>
      </c>
      <c r="N84" s="112">
        <v>1401.8591277546871</v>
      </c>
      <c r="O84" s="112">
        <v>1283.5574065758678</v>
      </c>
      <c r="P84">
        <f t="shared" si="5"/>
        <v>18047.3448930179</v>
      </c>
      <c r="Q84" s="4"/>
      <c r="R84" s="98"/>
      <c r="S84" s="4"/>
      <c r="Y84" s="208"/>
    </row>
    <row r="85" spans="1:25">
      <c r="A85" s="160">
        <f t="shared" si="6"/>
        <v>74</v>
      </c>
      <c r="B85" s="122">
        <v>8890</v>
      </c>
      <c r="C85" s="173" t="s">
        <v>312</v>
      </c>
      <c r="D85" s="112">
        <v>4464.0213651576287</v>
      </c>
      <c r="E85" s="112">
        <v>4588.4204240283798</v>
      </c>
      <c r="F85" s="112">
        <v>6445.5419299204896</v>
      </c>
      <c r="G85" s="112">
        <v>4853.9923769279358</v>
      </c>
      <c r="H85" s="112">
        <v>4753.0621437031577</v>
      </c>
      <c r="I85" s="112">
        <v>5636.1421208271677</v>
      </c>
      <c r="J85" s="112">
        <v>5434.1657090158751</v>
      </c>
      <c r="K85" s="112">
        <v>4916.4143004307152</v>
      </c>
      <c r="L85" s="112">
        <v>5959.7283589779036</v>
      </c>
      <c r="M85" s="112">
        <v>5137.5602220660039</v>
      </c>
      <c r="N85" s="112">
        <v>4077.6902561885609</v>
      </c>
      <c r="O85" s="112">
        <v>3798.2558026389388</v>
      </c>
      <c r="P85">
        <f t="shared" si="5"/>
        <v>60064.995009882754</v>
      </c>
      <c r="Q85" s="4"/>
      <c r="R85" s="4"/>
      <c r="S85" s="4"/>
      <c r="Y85" s="208"/>
    </row>
    <row r="86" spans="1:25">
      <c r="A86" s="160">
        <f t="shared" si="6"/>
        <v>75</v>
      </c>
      <c r="B86" s="122">
        <v>8900</v>
      </c>
      <c r="C86" s="4" t="s">
        <v>313</v>
      </c>
      <c r="D86" s="112">
        <v>0</v>
      </c>
      <c r="E86" s="112">
        <v>0</v>
      </c>
      <c r="F86" s="112">
        <v>0</v>
      </c>
      <c r="G86" s="112">
        <v>0</v>
      </c>
      <c r="H86" s="112">
        <v>0</v>
      </c>
      <c r="I86" s="112">
        <v>0</v>
      </c>
      <c r="J86" s="112">
        <v>0</v>
      </c>
      <c r="K86" s="112">
        <v>0</v>
      </c>
      <c r="L86" s="112">
        <v>0</v>
      </c>
      <c r="M86" s="112">
        <v>0</v>
      </c>
      <c r="N86" s="112">
        <v>0</v>
      </c>
      <c r="O86" s="112">
        <v>0</v>
      </c>
      <c r="P86">
        <f t="shared" si="5"/>
        <v>0</v>
      </c>
      <c r="Q86" s="4"/>
      <c r="R86" s="4"/>
      <c r="S86" s="4"/>
      <c r="Y86" s="208"/>
    </row>
    <row r="87" spans="1:25">
      <c r="A87" s="160">
        <f t="shared" si="6"/>
        <v>76</v>
      </c>
      <c r="B87" s="122">
        <v>8910</v>
      </c>
      <c r="C87" s="4" t="s">
        <v>314</v>
      </c>
      <c r="D87" s="112">
        <v>158.56951985332327</v>
      </c>
      <c r="E87" s="112">
        <v>161.26635465370791</v>
      </c>
      <c r="F87" s="112">
        <v>171.59352576955683</v>
      </c>
      <c r="G87" s="112">
        <v>196.35986262737146</v>
      </c>
      <c r="H87" s="112">
        <v>191.91198789683858</v>
      </c>
      <c r="I87" s="112">
        <v>192.44939365949378</v>
      </c>
      <c r="J87" s="112">
        <v>190.25947269045636</v>
      </c>
      <c r="K87" s="112">
        <v>194.26086043051359</v>
      </c>
      <c r="L87" s="112">
        <v>184.3296476204433</v>
      </c>
      <c r="M87" s="112">
        <v>169.57250397203859</v>
      </c>
      <c r="N87" s="112">
        <v>164.74797173916446</v>
      </c>
      <c r="O87" s="112">
        <v>189.15312800391135</v>
      </c>
      <c r="P87">
        <f t="shared" si="5"/>
        <v>2164.4742289168194</v>
      </c>
      <c r="Q87" s="4"/>
      <c r="R87" s="4"/>
      <c r="S87" s="4"/>
      <c r="Y87" s="208"/>
    </row>
    <row r="88" spans="1:25">
      <c r="A88" s="160">
        <f t="shared" si="6"/>
        <v>77</v>
      </c>
      <c r="B88" s="122">
        <v>8920</v>
      </c>
      <c r="C88" s="4" t="s">
        <v>315</v>
      </c>
      <c r="D88" s="112">
        <v>94.710443940642307</v>
      </c>
      <c r="E88" s="112">
        <v>95.561815018486001</v>
      </c>
      <c r="F88" s="112">
        <v>103.79087934541884</v>
      </c>
      <c r="G88" s="112">
        <v>115.95855154821014</v>
      </c>
      <c r="H88" s="112">
        <v>112.79099854609878</v>
      </c>
      <c r="I88" s="112">
        <v>114.30182756291599</v>
      </c>
      <c r="J88" s="112">
        <v>113.15672557355964</v>
      </c>
      <c r="K88" s="112">
        <v>115.04436693258053</v>
      </c>
      <c r="L88" s="112">
        <v>113.11318360557829</v>
      </c>
      <c r="M88" s="112">
        <v>100.86976221595762</v>
      </c>
      <c r="N88" s="112">
        <v>96.328215696762769</v>
      </c>
      <c r="O88" s="112">
        <v>111.01944934399435</v>
      </c>
      <c r="P88">
        <f t="shared" si="5"/>
        <v>1286.6462193302052</v>
      </c>
      <c r="Q88" s="4"/>
      <c r="R88" s="4"/>
      <c r="S88" s="4"/>
      <c r="Y88" s="208"/>
    </row>
    <row r="89" spans="1:25">
      <c r="A89" s="160">
        <f t="shared" si="6"/>
        <v>78</v>
      </c>
      <c r="B89" s="122">
        <v>8930</v>
      </c>
      <c r="C89" s="4" t="s">
        <v>316</v>
      </c>
      <c r="D89" s="112">
        <v>554.167524125917</v>
      </c>
      <c r="E89" s="112">
        <v>668.64559230377927</v>
      </c>
      <c r="F89" s="112">
        <v>845.42945620467106</v>
      </c>
      <c r="G89" s="112">
        <v>676.95094756594835</v>
      </c>
      <c r="H89" s="112">
        <v>728.72702475333051</v>
      </c>
      <c r="I89" s="112">
        <v>804.91463643210193</v>
      </c>
      <c r="J89" s="112">
        <v>742.50772970814705</v>
      </c>
      <c r="K89" s="112">
        <v>658.83916391104663</v>
      </c>
      <c r="L89" s="112">
        <v>474.76894913250931</v>
      </c>
      <c r="M89" s="112">
        <v>733.32328359018902</v>
      </c>
      <c r="N89" s="112">
        <v>684.20389007743904</v>
      </c>
      <c r="O89" s="112">
        <v>514.23025369800416</v>
      </c>
      <c r="P89">
        <f t="shared" si="5"/>
        <v>8086.7084515030829</v>
      </c>
      <c r="Q89" s="4"/>
      <c r="R89" s="4"/>
      <c r="S89" s="4"/>
      <c r="Y89" s="208"/>
    </row>
    <row r="90" spans="1:25">
      <c r="A90" s="160">
        <f t="shared" si="6"/>
        <v>79</v>
      </c>
      <c r="B90" s="122">
        <v>8940</v>
      </c>
      <c r="C90" s="4" t="s">
        <v>317</v>
      </c>
      <c r="D90" s="112">
        <v>74.031319134456808</v>
      </c>
      <c r="E90" s="112">
        <v>63.252560223126935</v>
      </c>
      <c r="F90" s="112">
        <v>100.74230505567992</v>
      </c>
      <c r="G90" s="112">
        <v>70.697426969859379</v>
      </c>
      <c r="H90" s="112">
        <v>60.521730281400416</v>
      </c>
      <c r="I90" s="112">
        <v>79.633926717868761</v>
      </c>
      <c r="J90" s="112">
        <v>81.193701756234745</v>
      </c>
      <c r="K90" s="112">
        <v>75.099300981885051</v>
      </c>
      <c r="L90" s="112">
        <v>133.87864757089409</v>
      </c>
      <c r="M90" s="112">
        <v>72.628641331859953</v>
      </c>
      <c r="N90" s="112">
        <v>44.06292912889247</v>
      </c>
      <c r="O90" s="112">
        <v>57.272245125983957</v>
      </c>
      <c r="P90">
        <f t="shared" si="5"/>
        <v>913.01473427814267</v>
      </c>
      <c r="Q90" s="4"/>
      <c r="R90" s="4"/>
      <c r="S90" s="4"/>
      <c r="Y90" s="208"/>
    </row>
    <row r="91" spans="1:25">
      <c r="A91" s="160">
        <f t="shared" si="6"/>
        <v>80</v>
      </c>
      <c r="B91" s="122">
        <v>9010</v>
      </c>
      <c r="C91" t="s">
        <v>318</v>
      </c>
      <c r="D91" s="112">
        <v>0</v>
      </c>
      <c r="E91" s="112">
        <v>0</v>
      </c>
      <c r="F91" s="112">
        <v>0</v>
      </c>
      <c r="G91" s="112">
        <v>0</v>
      </c>
      <c r="H91" s="112">
        <v>0</v>
      </c>
      <c r="I91" s="112">
        <v>0</v>
      </c>
      <c r="J91" s="112">
        <v>0</v>
      </c>
      <c r="K91" s="112">
        <v>0</v>
      </c>
      <c r="L91" s="112">
        <v>0</v>
      </c>
      <c r="M91" s="112">
        <v>0</v>
      </c>
      <c r="N91" s="112">
        <v>0</v>
      </c>
      <c r="O91" s="112">
        <v>0</v>
      </c>
      <c r="P91">
        <f t="shared" si="5"/>
        <v>0</v>
      </c>
      <c r="Q91" s="4"/>
      <c r="R91" s="4"/>
      <c r="S91" s="4"/>
      <c r="Y91" s="208"/>
    </row>
    <row r="92" spans="1:25">
      <c r="A92" s="160">
        <f t="shared" si="6"/>
        <v>81</v>
      </c>
      <c r="B92" s="122">
        <v>9020</v>
      </c>
      <c r="C92" s="4" t="s">
        <v>319</v>
      </c>
      <c r="D92" s="112">
        <v>69178.451489313229</v>
      </c>
      <c r="E92" s="112">
        <v>75527.776690507919</v>
      </c>
      <c r="F92" s="112">
        <v>76161.939612698159</v>
      </c>
      <c r="G92" s="112">
        <v>83606.200794561999</v>
      </c>
      <c r="H92" s="112">
        <v>82101.101553903558</v>
      </c>
      <c r="I92" s="112">
        <v>79960.420028460634</v>
      </c>
      <c r="J92" s="112">
        <v>81026.83421703834</v>
      </c>
      <c r="K92" s="112">
        <v>78704.560444879928</v>
      </c>
      <c r="L92" s="112">
        <v>77881.339275235427</v>
      </c>
      <c r="M92" s="112">
        <v>73719.728277497838</v>
      </c>
      <c r="N92" s="112">
        <v>71019.507827315814</v>
      </c>
      <c r="O92" s="112">
        <v>79216.879106886452</v>
      </c>
      <c r="P92">
        <f t="shared" si="5"/>
        <v>928104.73931829922</v>
      </c>
      <c r="Q92" s="4"/>
      <c r="R92" s="4"/>
      <c r="S92" s="4"/>
      <c r="Y92" s="208"/>
    </row>
    <row r="93" spans="1:25">
      <c r="A93" s="160">
        <f t="shared" si="6"/>
        <v>82</v>
      </c>
      <c r="B93" s="122">
        <v>9030</v>
      </c>
      <c r="C93" s="4" t="s">
        <v>320</v>
      </c>
      <c r="D93" s="112">
        <v>73652.947532830352</v>
      </c>
      <c r="E93" s="112">
        <v>86732.443691817767</v>
      </c>
      <c r="F93" s="112">
        <v>107819.03881674456</v>
      </c>
      <c r="G93" s="112">
        <v>96759.594338387586</v>
      </c>
      <c r="H93" s="112">
        <v>102289.41517758268</v>
      </c>
      <c r="I93" s="112">
        <v>110287.83102543374</v>
      </c>
      <c r="J93" s="112">
        <v>102987.99166466488</v>
      </c>
      <c r="K93" s="112">
        <v>95069.824567669915</v>
      </c>
      <c r="L93" s="112">
        <v>77196.675056548789</v>
      </c>
      <c r="M93" s="112">
        <v>94696.073752283992</v>
      </c>
      <c r="N93" s="112">
        <v>89299.941146869533</v>
      </c>
      <c r="O93" s="112">
        <v>71158.377946410561</v>
      </c>
      <c r="P93">
        <f t="shared" si="5"/>
        <v>1107950.1547172442</v>
      </c>
      <c r="Q93" s="4"/>
      <c r="R93" s="4"/>
      <c r="S93" s="4"/>
      <c r="Y93" s="208"/>
    </row>
    <row r="94" spans="1:25">
      <c r="A94" s="160">
        <f t="shared" si="6"/>
        <v>83</v>
      </c>
      <c r="B94" s="122">
        <v>9040</v>
      </c>
      <c r="C94" s="4" t="s">
        <v>321</v>
      </c>
      <c r="D94" s="85">
        <f t="shared" ref="D94:O94" si="7">-0.005*SUM(D17,D19,D23,D36,D37,D39)</f>
        <v>41107.817545294769</v>
      </c>
      <c r="E94" s="85">
        <f t="shared" si="7"/>
        <v>40000.662845096675</v>
      </c>
      <c r="F94" s="85">
        <f t="shared" si="7"/>
        <v>20551.671420996903</v>
      </c>
      <c r="G94" s="85">
        <f t="shared" si="7"/>
        <v>24203.898315526527</v>
      </c>
      <c r="H94" s="85">
        <f t="shared" si="7"/>
        <v>14923.04904227185</v>
      </c>
      <c r="I94" s="85">
        <f t="shared" si="7"/>
        <v>23241.875915875236</v>
      </c>
      <c r="J94" s="85">
        <f t="shared" si="7"/>
        <v>24428.463923156731</v>
      </c>
      <c r="K94" s="85">
        <f t="shared" si="7"/>
        <v>25781.872778714853</v>
      </c>
      <c r="L94" s="85">
        <f t="shared" si="7"/>
        <v>23856.596280470407</v>
      </c>
      <c r="M94" s="85">
        <f t="shared" si="7"/>
        <v>31795.068249348788</v>
      </c>
      <c r="N94" s="85">
        <f t="shared" si="7"/>
        <v>41736.503270258632</v>
      </c>
      <c r="O94" s="85">
        <f t="shared" si="7"/>
        <v>51830.402322597605</v>
      </c>
      <c r="P94">
        <f t="shared" si="5"/>
        <v>363457.88190960902</v>
      </c>
      <c r="Q94" s="4"/>
      <c r="R94" s="4"/>
      <c r="S94" s="4"/>
      <c r="Y94" s="208"/>
    </row>
    <row r="95" spans="1:25">
      <c r="A95" s="160">
        <f t="shared" si="6"/>
        <v>84</v>
      </c>
      <c r="B95" s="122">
        <v>9090</v>
      </c>
      <c r="C95" s="4" t="s">
        <v>322</v>
      </c>
      <c r="D95" s="112">
        <v>13744.811555106466</v>
      </c>
      <c r="E95" s="112">
        <v>16716.159675325966</v>
      </c>
      <c r="F95" s="112">
        <v>16285.361396234084</v>
      </c>
      <c r="G95" s="112">
        <v>14742.212428280913</v>
      </c>
      <c r="H95" s="112">
        <v>14765.131771461156</v>
      </c>
      <c r="I95" s="112">
        <v>15274.033763798541</v>
      </c>
      <c r="J95" s="112">
        <v>14955.901875524996</v>
      </c>
      <c r="K95" s="112">
        <v>14654.965734615875</v>
      </c>
      <c r="L95" s="112">
        <v>14847.755187310235</v>
      </c>
      <c r="M95" s="112">
        <v>12259.416659812179</v>
      </c>
      <c r="N95" s="112">
        <v>12032.440985213281</v>
      </c>
      <c r="O95" s="112">
        <v>14736.917382264184</v>
      </c>
      <c r="P95">
        <f t="shared" si="5"/>
        <v>175015.1084149479</v>
      </c>
      <c r="Q95" s="4"/>
      <c r="R95" s="98"/>
      <c r="S95" s="4"/>
      <c r="Y95" s="208"/>
    </row>
    <row r="96" spans="1:25">
      <c r="A96" s="160">
        <f t="shared" si="6"/>
        <v>85</v>
      </c>
      <c r="B96" s="122">
        <v>9100</v>
      </c>
      <c r="C96" s="4" t="s">
        <v>323</v>
      </c>
      <c r="D96" s="112">
        <v>10.857631071075017</v>
      </c>
      <c r="E96" s="112">
        <v>18.820200405528674</v>
      </c>
      <c r="F96" s="112">
        <v>15.443673870364529</v>
      </c>
      <c r="G96" s="112">
        <v>7.6374878366939694</v>
      </c>
      <c r="H96" s="112">
        <v>8.5145452150703491</v>
      </c>
      <c r="I96" s="112">
        <v>9.5648484953482349</v>
      </c>
      <c r="J96" s="112">
        <v>8.6697446688571151</v>
      </c>
      <c r="K96" s="112">
        <v>7.6800774542447563</v>
      </c>
      <c r="L96" s="112">
        <v>9.1354585274853495</v>
      </c>
      <c r="M96" s="112">
        <v>5.2488383084892041</v>
      </c>
      <c r="N96" s="112">
        <v>5.6212448117849849</v>
      </c>
      <c r="O96" s="112">
        <v>9.0084115327575773</v>
      </c>
      <c r="P96">
        <f t="shared" si="5"/>
        <v>116.20216219769976</v>
      </c>
      <c r="Q96" s="4"/>
      <c r="R96" s="98"/>
      <c r="S96" s="4"/>
      <c r="Y96" s="208"/>
    </row>
    <row r="97" spans="1:25">
      <c r="A97" s="160">
        <f t="shared" si="6"/>
        <v>86</v>
      </c>
      <c r="B97" s="122">
        <v>9110</v>
      </c>
      <c r="C97" s="4" t="s">
        <v>324</v>
      </c>
      <c r="D97" s="112">
        <v>9186.8045645794464</v>
      </c>
      <c r="E97" s="112">
        <v>9471.4882460235822</v>
      </c>
      <c r="F97" s="112">
        <v>10578.029342049927</v>
      </c>
      <c r="G97" s="112">
        <v>26478.463654995365</v>
      </c>
      <c r="H97" s="112">
        <v>26275.576036910461</v>
      </c>
      <c r="I97" s="112">
        <v>24682.1571692945</v>
      </c>
      <c r="J97" s="112">
        <v>24082.752018288847</v>
      </c>
      <c r="K97" s="112">
        <v>27342.361135453364</v>
      </c>
      <c r="L97" s="112">
        <v>31146.468901610016</v>
      </c>
      <c r="M97" s="112">
        <v>10128.819475841719</v>
      </c>
      <c r="N97" s="112">
        <v>10638.146301201277</v>
      </c>
      <c r="O97" s="112">
        <v>11183.047972114713</v>
      </c>
      <c r="P97">
        <f t="shared" si="5"/>
        <v>221194.11481836322</v>
      </c>
      <c r="Q97" s="4"/>
      <c r="R97" s="98"/>
      <c r="S97" s="4"/>
      <c r="Y97" s="208"/>
    </row>
    <row r="98" spans="1:25">
      <c r="A98" s="160">
        <f t="shared" si="6"/>
        <v>87</v>
      </c>
      <c r="B98" s="122">
        <v>9120</v>
      </c>
      <c r="C98" s="4" t="s">
        <v>325</v>
      </c>
      <c r="D98" s="112">
        <v>6076.9915167685549</v>
      </c>
      <c r="E98" s="112">
        <v>8543.4152628582688</v>
      </c>
      <c r="F98" s="112">
        <v>7654.7306298541662</v>
      </c>
      <c r="G98" s="112">
        <v>3458.5518110491594</v>
      </c>
      <c r="H98" s="112">
        <v>5102.7482203514292</v>
      </c>
      <c r="I98" s="112">
        <v>5204.8078731311098</v>
      </c>
      <c r="J98" s="112">
        <v>3955.5992295734218</v>
      </c>
      <c r="K98" s="112">
        <v>3387.7251327353074</v>
      </c>
      <c r="L98" s="112">
        <v>4350.2422630157207</v>
      </c>
      <c r="M98" s="112">
        <v>3865.1193243315897</v>
      </c>
      <c r="N98" s="112">
        <v>2879.8531456824853</v>
      </c>
      <c r="O98" s="112">
        <v>4475.1901205049262</v>
      </c>
      <c r="P98">
        <f t="shared" si="5"/>
        <v>58954.974529856147</v>
      </c>
      <c r="Q98" s="4"/>
      <c r="R98" s="98"/>
      <c r="S98" s="4"/>
      <c r="Y98" s="208"/>
    </row>
    <row r="99" spans="1:25">
      <c r="A99" s="160">
        <f t="shared" si="6"/>
        <v>88</v>
      </c>
      <c r="B99" s="122">
        <v>9130</v>
      </c>
      <c r="C99" s="4" t="s">
        <v>326</v>
      </c>
      <c r="D99" s="112">
        <v>4440.5740003056235</v>
      </c>
      <c r="E99" s="112">
        <v>7697.1203068384821</v>
      </c>
      <c r="F99" s="112">
        <v>6316.1822508995992</v>
      </c>
      <c r="G99" s="112">
        <v>3123.5938754286449</v>
      </c>
      <c r="H99" s="112">
        <v>3482.2944212198681</v>
      </c>
      <c r="I99" s="112">
        <v>3911.8493958093591</v>
      </c>
      <c r="J99" s="112">
        <v>3545.7681803516489</v>
      </c>
      <c r="K99" s="112">
        <v>3141.0122558415519</v>
      </c>
      <c r="L99" s="112">
        <v>3736.2366940328557</v>
      </c>
      <c r="M99" s="112">
        <v>2146.6795815689457</v>
      </c>
      <c r="N99" s="112">
        <v>2298.9870808065525</v>
      </c>
      <c r="O99" s="112">
        <v>3684.2767795807936</v>
      </c>
      <c r="P99">
        <f t="shared" si="5"/>
        <v>47524.574822683928</v>
      </c>
      <c r="Q99" s="4"/>
      <c r="R99" s="98"/>
      <c r="S99" s="4"/>
      <c r="Y99" s="208"/>
    </row>
    <row r="100" spans="1:25">
      <c r="A100" s="160">
        <f t="shared" si="6"/>
        <v>89</v>
      </c>
      <c r="B100" s="122">
        <v>9200</v>
      </c>
      <c r="C100" t="s">
        <v>363</v>
      </c>
      <c r="D100" s="112">
        <v>13699.585353492703</v>
      </c>
      <c r="E100" s="112">
        <v>13932.577914524065</v>
      </c>
      <c r="F100" s="112">
        <v>14824.792019054139</v>
      </c>
      <c r="G100" s="112">
        <v>16964.47526959829</v>
      </c>
      <c r="H100" s="112">
        <v>16580.201926468144</v>
      </c>
      <c r="I100" s="112">
        <v>16626.631001373356</v>
      </c>
      <c r="J100" s="112">
        <v>16437.433170286509</v>
      </c>
      <c r="K100" s="112">
        <v>16783.1323495994</v>
      </c>
      <c r="L100" s="112">
        <v>15925.126992194604</v>
      </c>
      <c r="M100" s="112">
        <v>14650.186201731987</v>
      </c>
      <c r="N100" s="112">
        <v>14233.371600943181</v>
      </c>
      <c r="O100" s="112">
        <v>16341.850718641792</v>
      </c>
      <c r="P100">
        <f t="shared" si="5"/>
        <v>186999.36451790819</v>
      </c>
      <c r="Q100" s="4"/>
      <c r="R100" s="98"/>
      <c r="S100" s="4"/>
      <c r="Y100" s="208"/>
    </row>
    <row r="101" spans="1:25">
      <c r="A101" s="160">
        <f t="shared" si="6"/>
        <v>90</v>
      </c>
      <c r="B101" s="122">
        <v>9210</v>
      </c>
      <c r="C101" s="4" t="s">
        <v>328</v>
      </c>
      <c r="D101" s="112">
        <v>1015.7139659157854</v>
      </c>
      <c r="E101" s="112">
        <v>1402.1070603753685</v>
      </c>
      <c r="F101" s="112">
        <v>1105.0005990404186</v>
      </c>
      <c r="G101" s="112">
        <v>553.17704885727164</v>
      </c>
      <c r="H101" s="112">
        <v>546.68886997812899</v>
      </c>
      <c r="I101" s="112">
        <v>524.953862569286</v>
      </c>
      <c r="J101" s="112">
        <v>614.07167490114693</v>
      </c>
      <c r="K101" s="112">
        <v>365.05482034625277</v>
      </c>
      <c r="L101" s="112">
        <v>127.5635894923505</v>
      </c>
      <c r="M101" s="112">
        <v>692.50710878742962</v>
      </c>
      <c r="N101" s="112">
        <v>698.31145978470238</v>
      </c>
      <c r="O101" s="112">
        <v>828.31980609629386</v>
      </c>
      <c r="P101">
        <f t="shared" si="5"/>
        <v>8473.4698661444345</v>
      </c>
      <c r="Q101" s="4"/>
      <c r="R101" s="98"/>
      <c r="S101" s="4"/>
      <c r="Y101" s="208"/>
    </row>
    <row r="102" spans="1:25">
      <c r="A102" s="160">
        <f t="shared" si="6"/>
        <v>91</v>
      </c>
      <c r="B102" s="122">
        <v>9220</v>
      </c>
      <c r="C102" s="4" t="s">
        <v>329</v>
      </c>
      <c r="D102" s="85">
        <f>-('C.2.2-F 02'!D44+'C.2.2-F 12'!D34+'C.2.2-F 91'!D63)</f>
        <v>1090878.6181110744</v>
      </c>
      <c r="E102" s="85">
        <f>-('C.2.2-F 02'!E44+'C.2.2-F 12'!E34+'C.2.2-F 91'!E63)</f>
        <v>1023854.7360053363</v>
      </c>
      <c r="F102" s="85">
        <f>-('C.2.2-F 02'!F44+'C.2.2-F 12'!F34+'C.2.2-F 91'!F63)</f>
        <v>1199348.3631700487</v>
      </c>
      <c r="G102" s="85">
        <f>-('C.2.2-F 02'!G44+'C.2.2-F 12'!G34+'C.2.2-F 91'!G63)</f>
        <v>1227443.4440062188</v>
      </c>
      <c r="H102" s="85">
        <f>-('C.2.2-F 02'!H44+'C.2.2-F 12'!H34+'C.2.2-F 91'!H63)</f>
        <v>1362182.5005613882</v>
      </c>
      <c r="I102" s="85">
        <f>-('C.2.2-F 02'!I44+'C.2.2-F 12'!I34+'C.2.2-F 91'!I63)</f>
        <v>1200161.734564479</v>
      </c>
      <c r="J102" s="85">
        <f>-('C.2.2-F 02'!J44+'C.2.2-F 12'!J34+'C.2.2-F 91'!J63)</f>
        <v>1310187.7858706554</v>
      </c>
      <c r="K102" s="85">
        <f>-('C.2.2-F 02'!K44+'C.2.2-F 12'!K34+'C.2.2-F 91'!K63)</f>
        <v>1155444.5284203952</v>
      </c>
      <c r="L102" s="85">
        <f>-('C.2.2-F 02'!L44+'C.2.2-F 12'!L34+'C.2.2-F 91'!L63)</f>
        <v>2791199.9127810965</v>
      </c>
      <c r="M102" s="85">
        <f>-('C.2.2-F 02'!M44+'C.2.2-F 12'!M34+'C.2.2-F 91'!M63)</f>
        <v>1148673.0479170671</v>
      </c>
      <c r="N102" s="85">
        <f>-('C.2.2-F 02'!N44+'C.2.2-F 12'!N34+'C.2.2-F 91'!N63)</f>
        <v>844701.17138431198</v>
      </c>
      <c r="O102" s="85">
        <f>-('C.2.2-F 02'!O44+'C.2.2-F 12'!O34+'C.2.2-F 91'!O63)</f>
        <v>1109596.9540405683</v>
      </c>
      <c r="P102">
        <f>SUM(D102:O102)</f>
        <v>15463672.796832643</v>
      </c>
      <c r="Q102" s="69"/>
      <c r="R102" s="98"/>
      <c r="S102" s="4"/>
      <c r="Y102" s="208"/>
    </row>
    <row r="103" spans="1:25">
      <c r="A103" s="160">
        <f t="shared" si="6"/>
        <v>92</v>
      </c>
      <c r="B103" s="122">
        <v>9230</v>
      </c>
      <c r="C103" s="4" t="s">
        <v>330</v>
      </c>
      <c r="D103" s="112">
        <v>17632.428855441482</v>
      </c>
      <c r="E103" s="112">
        <v>21274.876860380667</v>
      </c>
      <c r="F103" s="112">
        <v>26899.762418117276</v>
      </c>
      <c r="G103" s="112">
        <v>21539.135553652792</v>
      </c>
      <c r="H103" s="112">
        <v>23186.539917270689</v>
      </c>
      <c r="I103" s="112">
        <v>25610.667250807288</v>
      </c>
      <c r="J103" s="112">
        <v>23625.012561579635</v>
      </c>
      <c r="K103" s="112">
        <v>20962.857221132461</v>
      </c>
      <c r="L103" s="112">
        <v>15106.135516612419</v>
      </c>
      <c r="M103" s="112">
        <v>23332.783071937556</v>
      </c>
      <c r="N103" s="112">
        <v>21769.908717468519</v>
      </c>
      <c r="O103" s="112">
        <v>16361.710076654479</v>
      </c>
      <c r="P103">
        <f t="shared" si="5"/>
        <v>257301.81802105525</v>
      </c>
      <c r="Q103" s="4"/>
      <c r="R103" s="98"/>
      <c r="S103" s="4"/>
      <c r="Y103" s="208"/>
    </row>
    <row r="104" spans="1:25">
      <c r="A104" s="160">
        <f t="shared" si="6"/>
        <v>93</v>
      </c>
      <c r="B104" s="122">
        <v>9240</v>
      </c>
      <c r="C104" s="4" t="s">
        <v>331</v>
      </c>
      <c r="D104" s="112">
        <v>12997.23497401812</v>
      </c>
      <c r="E104" s="112">
        <v>12623.850895398566</v>
      </c>
      <c r="F104" s="112">
        <v>11920.036737376609</v>
      </c>
      <c r="G104" s="112">
        <v>343.99892592498952</v>
      </c>
      <c r="H104" s="112">
        <v>0</v>
      </c>
      <c r="I104" s="112">
        <v>0</v>
      </c>
      <c r="J104" s="112">
        <v>573.33154320831591</v>
      </c>
      <c r="K104" s="112">
        <v>0</v>
      </c>
      <c r="L104" s="112">
        <v>0</v>
      </c>
      <c r="M104" s="112">
        <v>11506.61118377938</v>
      </c>
      <c r="N104" s="112">
        <v>11009.043492900899</v>
      </c>
      <c r="O104" s="112">
        <v>11599.322716526451</v>
      </c>
      <c r="P104">
        <f t="shared" si="5"/>
        <v>72573.430469133338</v>
      </c>
      <c r="Q104" s="4"/>
      <c r="R104" s="98"/>
      <c r="S104" s="4"/>
      <c r="Y104" s="208"/>
    </row>
    <row r="105" spans="1:25">
      <c r="A105" s="160">
        <f t="shared" si="6"/>
        <v>94</v>
      </c>
      <c r="B105" s="122">
        <v>9250</v>
      </c>
      <c r="C105" s="4" t="s">
        <v>332</v>
      </c>
      <c r="D105" s="112">
        <v>6515.7784610850231</v>
      </c>
      <c r="E105" s="112">
        <v>7096.9196709750104</v>
      </c>
      <c r="F105" s="112">
        <v>7965.7269100864542</v>
      </c>
      <c r="G105" s="112">
        <v>4093.6557435737195</v>
      </c>
      <c r="H105" s="112">
        <v>4315.5896013951615</v>
      </c>
      <c r="I105" s="112">
        <v>4762.1204043717316</v>
      </c>
      <c r="J105" s="112">
        <v>4535.7948540068737</v>
      </c>
      <c r="K105" s="112">
        <v>3904.8303007151735</v>
      </c>
      <c r="L105" s="112">
        <v>2816.123316729997</v>
      </c>
      <c r="M105" s="112">
        <v>7214.1280627347023</v>
      </c>
      <c r="N105" s="112">
        <v>6830.3119966913737</v>
      </c>
      <c r="O105" s="112">
        <v>5943.0648984274239</v>
      </c>
      <c r="P105">
        <f t="shared" si="5"/>
        <v>65994.044220792639</v>
      </c>
      <c r="Q105" s="4"/>
      <c r="R105" s="98"/>
      <c r="S105" s="4"/>
      <c r="Y105" s="208"/>
    </row>
    <row r="106" spans="1:25">
      <c r="A106" s="160">
        <f t="shared" si="6"/>
        <v>95</v>
      </c>
      <c r="B106" s="122">
        <v>9260</v>
      </c>
      <c r="C106" s="4" t="s">
        <v>333</v>
      </c>
      <c r="D106" s="112">
        <v>128588.0717670876</v>
      </c>
      <c r="E106" s="112">
        <v>130552.88573341547</v>
      </c>
      <c r="F106" s="112">
        <v>139155.89445690415</v>
      </c>
      <c r="G106" s="112">
        <v>163239.97701350515</v>
      </c>
      <c r="H106" s="112">
        <v>160232.19338835438</v>
      </c>
      <c r="I106" s="112">
        <v>159525.26899953571</v>
      </c>
      <c r="J106" s="112">
        <v>157448.03524540618</v>
      </c>
      <c r="K106" s="112">
        <v>162662.32873031052</v>
      </c>
      <c r="L106" s="112">
        <v>155682.79554705959</v>
      </c>
      <c r="M106" s="112">
        <v>139965.3376553565</v>
      </c>
      <c r="N106" s="112">
        <v>142606.72319733014</v>
      </c>
      <c r="O106" s="112">
        <v>154757.72575934418</v>
      </c>
      <c r="P106">
        <f t="shared" si="5"/>
        <v>1794417.2374936095</v>
      </c>
      <c r="Q106" s="4"/>
      <c r="R106" s="98"/>
      <c r="S106" s="4"/>
      <c r="Y106" s="208"/>
    </row>
    <row r="107" spans="1:25">
      <c r="A107" s="160">
        <f t="shared" si="6"/>
        <v>96</v>
      </c>
      <c r="B107" s="122">
        <v>9270</v>
      </c>
      <c r="C107" s="4" t="s">
        <v>334</v>
      </c>
      <c r="D107" s="112">
        <v>47.542891246695653</v>
      </c>
      <c r="E107" s="112">
        <v>41.608171702885713</v>
      </c>
      <c r="F107" s="112">
        <v>53.453790028460809</v>
      </c>
      <c r="G107" s="112">
        <v>57.901821074445429</v>
      </c>
      <c r="H107" s="112">
        <v>55.110325522324104</v>
      </c>
      <c r="I107" s="112">
        <v>66.896640075725244</v>
      </c>
      <c r="J107" s="112">
        <v>85.010344547268062</v>
      </c>
      <c r="K107" s="112">
        <v>54.489993177408252</v>
      </c>
      <c r="L107" s="112">
        <v>480.23648814005435</v>
      </c>
      <c r="M107" s="112">
        <v>48.531452871553547</v>
      </c>
      <c r="N107" s="112">
        <v>55.514410011802283</v>
      </c>
      <c r="O107" s="112">
        <v>44.849284138602052</v>
      </c>
      <c r="P107">
        <f t="shared" si="5"/>
        <v>1091.1456125372256</v>
      </c>
      <c r="Q107" s="4"/>
      <c r="R107" s="98"/>
      <c r="S107" s="4"/>
      <c r="Y107" s="208"/>
    </row>
    <row r="108" spans="1:25">
      <c r="A108" s="160">
        <f t="shared" si="6"/>
        <v>97</v>
      </c>
      <c r="B108" s="122">
        <v>9280</v>
      </c>
      <c r="C108" s="4" t="s">
        <v>335</v>
      </c>
      <c r="D108" s="112">
        <v>7921.3437568983518</v>
      </c>
      <c r="E108" s="112">
        <v>7847.3331851078001</v>
      </c>
      <c r="F108" s="112">
        <v>10013.803045644308</v>
      </c>
      <c r="G108" s="112">
        <v>9657.4454873552022</v>
      </c>
      <c r="H108" s="112">
        <v>9612.3194078757642</v>
      </c>
      <c r="I108" s="112">
        <v>11271.270854412345</v>
      </c>
      <c r="J108" s="112">
        <v>12926.732220531212</v>
      </c>
      <c r="K108" s="112">
        <v>9196.8608409912886</v>
      </c>
      <c r="L108" s="112">
        <v>54496.514683375353</v>
      </c>
      <c r="M108" s="112">
        <v>8921.0502710063247</v>
      </c>
      <c r="N108" s="112">
        <v>9434.4099156895027</v>
      </c>
      <c r="O108" s="112">
        <v>7430.0098256537185</v>
      </c>
      <c r="P108">
        <f t="shared" si="5"/>
        <v>158729.09349454119</v>
      </c>
      <c r="Q108" s="4"/>
      <c r="R108" s="98"/>
      <c r="S108" s="4"/>
      <c r="Y108" s="208"/>
    </row>
    <row r="109" spans="1:25">
      <c r="A109" s="160">
        <f t="shared" si="6"/>
        <v>98</v>
      </c>
      <c r="B109" s="122">
        <v>9302</v>
      </c>
      <c r="C109" s="4" t="s">
        <v>336</v>
      </c>
      <c r="D109" s="112">
        <v>15864.723697994592</v>
      </c>
      <c r="E109" s="112">
        <v>4434.7812043234917</v>
      </c>
      <c r="F109" s="112">
        <v>11073.378806716773</v>
      </c>
      <c r="G109" s="112">
        <v>1498.4950235676317</v>
      </c>
      <c r="H109" s="112">
        <v>16294.86956373161</v>
      </c>
      <c r="I109" s="112">
        <v>12115.206254272283</v>
      </c>
      <c r="J109" s="112">
        <v>1952.0695506477005</v>
      </c>
      <c r="K109" s="112">
        <v>471.83068938081772</v>
      </c>
      <c r="L109" s="112">
        <v>2261.7843762973466</v>
      </c>
      <c r="M109" s="112">
        <v>18384.31644790955</v>
      </c>
      <c r="N109" s="112">
        <v>4947.7303922957772</v>
      </c>
      <c r="O109" s="112">
        <v>6510.2394507598146</v>
      </c>
      <c r="P109">
        <f t="shared" si="5"/>
        <v>95809.425457897392</v>
      </c>
      <c r="Q109" s="4"/>
      <c r="R109" s="4"/>
      <c r="S109" s="4"/>
      <c r="Y109" s="208"/>
    </row>
    <row r="110" spans="1:25">
      <c r="A110" s="160">
        <f t="shared" si="6"/>
        <v>99</v>
      </c>
      <c r="B110" s="122">
        <v>9310</v>
      </c>
      <c r="C110" t="s">
        <v>212</v>
      </c>
      <c r="D110" s="112">
        <v>265.97382066579428</v>
      </c>
      <c r="E110" s="112">
        <v>72.704003193683576</v>
      </c>
      <c r="F110" s="112">
        <v>184.46853112732592</v>
      </c>
      <c r="G110" s="112">
        <v>22.01867417773736</v>
      </c>
      <c r="H110" s="112">
        <v>272.82042183237593</v>
      </c>
      <c r="I110" s="112">
        <v>201.33513717314639</v>
      </c>
      <c r="J110" s="112">
        <v>28.126594069506968</v>
      </c>
      <c r="K110" s="112">
        <v>4.8260107786821607</v>
      </c>
      <c r="L110" s="112">
        <v>10.40608574153341</v>
      </c>
      <c r="M110" s="112">
        <v>308.59639379893099</v>
      </c>
      <c r="N110" s="112">
        <v>80.58487879527155</v>
      </c>
      <c r="O110" s="112">
        <v>107.67237241899353</v>
      </c>
      <c r="P110">
        <f t="shared" si="5"/>
        <v>1559.532923772982</v>
      </c>
      <c r="Q110" s="4"/>
      <c r="R110" s="4"/>
      <c r="S110" s="4"/>
      <c r="Y110" s="208"/>
    </row>
    <row r="111" spans="1:25">
      <c r="A111" s="160">
        <f t="shared" si="6"/>
        <v>100</v>
      </c>
      <c r="B111" s="122">
        <v>9320</v>
      </c>
      <c r="C111" t="s">
        <v>337</v>
      </c>
      <c r="D111" s="112">
        <v>0</v>
      </c>
      <c r="E111" s="112">
        <v>0</v>
      </c>
      <c r="F111" s="112">
        <v>0</v>
      </c>
      <c r="G111" s="112">
        <v>0</v>
      </c>
      <c r="H111" s="112">
        <v>0</v>
      </c>
      <c r="I111" s="112">
        <v>0</v>
      </c>
      <c r="J111" s="112">
        <v>0</v>
      </c>
      <c r="K111" s="112">
        <v>0</v>
      </c>
      <c r="L111" s="112">
        <v>0</v>
      </c>
      <c r="M111" s="112">
        <v>0</v>
      </c>
      <c r="N111" s="112">
        <v>0</v>
      </c>
      <c r="O111" s="112">
        <v>0</v>
      </c>
      <c r="P111">
        <f>SUM(D111:O111)</f>
        <v>0</v>
      </c>
      <c r="Q111" s="4"/>
      <c r="R111" s="4"/>
      <c r="S111" s="4"/>
      <c r="Y111" s="208"/>
    </row>
    <row r="112" spans="1:25">
      <c r="A112" s="160">
        <f t="shared" si="6"/>
        <v>101</v>
      </c>
      <c r="B112" s="122"/>
      <c r="D112" s="209"/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69"/>
      <c r="Q112" s="4"/>
      <c r="R112" s="4"/>
      <c r="S112" s="4"/>
      <c r="Y112" s="208"/>
    </row>
    <row r="113" spans="1:25" ht="15.75" thickBot="1">
      <c r="A113" s="160">
        <f t="shared" si="6"/>
        <v>102</v>
      </c>
      <c r="B113" s="4"/>
      <c r="C113" s="4" t="s">
        <v>338</v>
      </c>
      <c r="D113" s="177">
        <f t="shared" ref="D113:O113" si="8">SUM(D14:D111)</f>
        <v>-5596644.1741795829</v>
      </c>
      <c r="E113" s="177">
        <f t="shared" si="8"/>
        <v>-6112640.7937715957</v>
      </c>
      <c r="F113" s="177">
        <f t="shared" si="8"/>
        <v>-4265418.9767042566</v>
      </c>
      <c r="G113" s="177">
        <f t="shared" si="8"/>
        <v>-3114155.4096672637</v>
      </c>
      <c r="H113" s="177">
        <f t="shared" si="8"/>
        <v>-1595987.1174081801</v>
      </c>
      <c r="I113" s="177">
        <f t="shared" si="8"/>
        <v>-1129627.2934251719</v>
      </c>
      <c r="J113" s="177">
        <f t="shared" si="8"/>
        <v>-1012753.8863547235</v>
      </c>
      <c r="K113" s="177">
        <f t="shared" si="8"/>
        <v>-1178971.4296174264</v>
      </c>
      <c r="L113" s="177">
        <f t="shared" si="8"/>
        <v>345560.17366752506</v>
      </c>
      <c r="M113" s="177">
        <f t="shared" si="8"/>
        <v>-1770961.5749097925</v>
      </c>
      <c r="N113" s="177">
        <f t="shared" si="8"/>
        <v>-3427144.8229907439</v>
      </c>
      <c r="O113" s="177">
        <f t="shared" si="8"/>
        <v>-4633040.9468000317</v>
      </c>
      <c r="P113" s="177">
        <f>SUM(P12:P111)</f>
        <v>-27201349.522450708</v>
      </c>
      <c r="Q113" s="178"/>
      <c r="R113" s="4"/>
      <c r="S113" s="4"/>
      <c r="Y113" s="208"/>
    </row>
    <row r="114" spans="1:25" ht="15.75" thickTop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25">
      <c r="A115" s="4"/>
      <c r="B115" s="4"/>
      <c r="C115" s="4" t="s">
        <v>339</v>
      </c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25">
      <c r="A116" s="4"/>
      <c r="B116" s="4"/>
      <c r="C116" s="4" t="s">
        <v>340</v>
      </c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Q117">
        <f>SUM(P30:P111)</f>
        <v>109044302.73419572</v>
      </c>
      <c r="R117" s="4"/>
      <c r="S117" s="4"/>
    </row>
    <row r="118" spans="1:25">
      <c r="A118" s="4"/>
      <c r="B118" s="4"/>
      <c r="C118" s="4"/>
      <c r="D118">
        <f t="shared" ref="D118:P118" si="9">SUM(D47:D111)+D31+D30</f>
        <v>2256067.1938425289</v>
      </c>
      <c r="E118">
        <f t="shared" si="9"/>
        <v>2240569.0170447137</v>
      </c>
      <c r="F118">
        <f t="shared" si="9"/>
        <v>2561668.3278572136</v>
      </c>
      <c r="G118">
        <f t="shared" si="9"/>
        <v>2589101.1644023634</v>
      </c>
      <c r="H118">
        <f t="shared" si="9"/>
        <v>2744661.9046407104</v>
      </c>
      <c r="I118">
        <f t="shared" si="9"/>
        <v>2629160.7988510933</v>
      </c>
      <c r="J118">
        <f t="shared" si="9"/>
        <v>2706076.1200264446</v>
      </c>
      <c r="K118">
        <f t="shared" si="9"/>
        <v>2511017.761619193</v>
      </c>
      <c r="L118">
        <f t="shared" si="9"/>
        <v>4150062.9686708655</v>
      </c>
      <c r="M118">
        <f t="shared" si="9"/>
        <v>2384557.5067859967</v>
      </c>
      <c r="N118">
        <f t="shared" si="9"/>
        <v>2060716.6471705693</v>
      </c>
      <c r="O118">
        <f t="shared" si="9"/>
        <v>2336986.9868104151</v>
      </c>
      <c r="P118">
        <f t="shared" si="9"/>
        <v>31170646.397722118</v>
      </c>
      <c r="Q118" s="4"/>
      <c r="R118" s="4"/>
      <c r="S118" s="4"/>
    </row>
    <row r="119" spans="1:25">
      <c r="A119" s="4"/>
      <c r="B119" s="4" t="s">
        <v>341</v>
      </c>
      <c r="C119" s="4"/>
      <c r="D119">
        <f>D118-D102</f>
        <v>1165188.5757314544</v>
      </c>
      <c r="E119">
        <f t="shared" ref="E119:P119" si="10">E118-E102</f>
        <v>1216714.2810393774</v>
      </c>
      <c r="F119">
        <f t="shared" si="10"/>
        <v>1362319.9646871649</v>
      </c>
      <c r="G119">
        <f t="shared" si="10"/>
        <v>1361657.7203961445</v>
      </c>
      <c r="H119">
        <f t="shared" si="10"/>
        <v>1382479.4040793222</v>
      </c>
      <c r="I119">
        <f t="shared" si="10"/>
        <v>1428999.0642866143</v>
      </c>
      <c r="J119">
        <f t="shared" si="10"/>
        <v>1395888.3341557891</v>
      </c>
      <c r="K119">
        <f t="shared" si="10"/>
        <v>1355573.2331987978</v>
      </c>
      <c r="L119">
        <f t="shared" si="10"/>
        <v>1358863.055889769</v>
      </c>
      <c r="M119">
        <f t="shared" si="10"/>
        <v>1235884.4588689297</v>
      </c>
      <c r="N119">
        <f t="shared" si="10"/>
        <v>1216015.4757862573</v>
      </c>
      <c r="O119">
        <f t="shared" si="10"/>
        <v>1227390.0327698467</v>
      </c>
      <c r="P119">
        <f t="shared" si="10"/>
        <v>15706973.600889474</v>
      </c>
      <c r="Q119" s="4"/>
      <c r="R119" s="4"/>
      <c r="S119" s="4"/>
    </row>
    <row r="120" spans="1:25">
      <c r="A120" s="4"/>
      <c r="B120" s="4" t="s">
        <v>343</v>
      </c>
      <c r="C120" s="4"/>
      <c r="D120" s="194"/>
      <c r="E120" s="194"/>
      <c r="F120" s="194"/>
      <c r="G120" s="4"/>
      <c r="H120" s="4"/>
      <c r="I120" s="4"/>
      <c r="J120" s="4"/>
      <c r="K120" s="4"/>
      <c r="L120" s="4"/>
      <c r="M120" s="4"/>
      <c r="N120" s="4"/>
      <c r="O120" s="4"/>
      <c r="P120">
        <f>-'C.2.1 F'!D177</f>
        <v>-27201349.522450656</v>
      </c>
      <c r="Q120">
        <f>P113-P120</f>
        <v>-5.2154064178466797E-8</v>
      </c>
      <c r="R120" s="4"/>
      <c r="S120" s="4"/>
    </row>
    <row r="121" spans="1:25">
      <c r="A121" s="4"/>
      <c r="B121" s="4" t="s">
        <v>364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25">
      <c r="A122" s="4"/>
      <c r="B122" s="4" t="s">
        <v>346</v>
      </c>
      <c r="C122" s="4"/>
      <c r="D122">
        <f t="shared" ref="D122:P122" si="11">SUM(D47:D111)+D31+D30-D102</f>
        <v>1165188.5757314544</v>
      </c>
      <c r="E122">
        <f t="shared" si="11"/>
        <v>1216714.2810393774</v>
      </c>
      <c r="F122">
        <f t="shared" si="11"/>
        <v>1362319.9646871649</v>
      </c>
      <c r="G122">
        <f t="shared" si="11"/>
        <v>1361657.7203961445</v>
      </c>
      <c r="H122">
        <f t="shared" si="11"/>
        <v>1382479.4040793222</v>
      </c>
      <c r="I122">
        <f t="shared" si="11"/>
        <v>1428999.0642866143</v>
      </c>
      <c r="J122">
        <f t="shared" si="11"/>
        <v>1395888.3341557891</v>
      </c>
      <c r="K122">
        <f t="shared" si="11"/>
        <v>1355573.2331987978</v>
      </c>
      <c r="L122">
        <f t="shared" si="11"/>
        <v>1358863.055889769</v>
      </c>
      <c r="M122">
        <f t="shared" si="11"/>
        <v>1235884.4588689297</v>
      </c>
      <c r="N122">
        <f t="shared" si="11"/>
        <v>1216015.4757862573</v>
      </c>
      <c r="O122">
        <f t="shared" si="11"/>
        <v>1227390.0327698467</v>
      </c>
      <c r="P122">
        <f t="shared" si="11"/>
        <v>15706973.600889474</v>
      </c>
      <c r="Q122" s="4" t="s">
        <v>365</v>
      </c>
      <c r="R122" s="4"/>
      <c r="S122" s="4"/>
    </row>
    <row r="123" spans="1:25">
      <c r="A123" s="4"/>
      <c r="B123" s="4"/>
      <c r="C123" s="4"/>
      <c r="D123">
        <v>1165188.5757314549</v>
      </c>
      <c r="E123">
        <v>1216714.2810393774</v>
      </c>
      <c r="F123">
        <v>1362319.9646871646</v>
      </c>
      <c r="G123">
        <v>1361657.7203961443</v>
      </c>
      <c r="H123">
        <v>1382479.4040793225</v>
      </c>
      <c r="I123">
        <v>1428999.0642866145</v>
      </c>
      <c r="J123">
        <v>1395888.3341557893</v>
      </c>
      <c r="K123">
        <v>1355573.2331987978</v>
      </c>
      <c r="L123">
        <v>1358863.055889769</v>
      </c>
      <c r="M123">
        <v>1235884.4588689299</v>
      </c>
      <c r="N123">
        <v>1216015.4757862568</v>
      </c>
      <c r="O123">
        <v>1227390.032769847</v>
      </c>
      <c r="P123">
        <v>15706973.600889469</v>
      </c>
      <c r="Q123" s="4"/>
      <c r="R123" s="4"/>
      <c r="S123" s="4"/>
    </row>
    <row r="124" spans="1:25">
      <c r="A124" s="4"/>
      <c r="B124" s="4"/>
      <c r="C124" s="4"/>
      <c r="D124">
        <f>D122-D123</f>
        <v>0</v>
      </c>
      <c r="E124">
        <f t="shared" ref="E124:O124" si="12">E122-E123</f>
        <v>0</v>
      </c>
      <c r="F124">
        <f t="shared" si="12"/>
        <v>0</v>
      </c>
      <c r="G124">
        <f t="shared" si="12"/>
        <v>0</v>
      </c>
      <c r="H124">
        <f t="shared" si="12"/>
        <v>0</v>
      </c>
      <c r="I124">
        <f t="shared" si="12"/>
        <v>0</v>
      </c>
      <c r="J124">
        <f t="shared" si="12"/>
        <v>0</v>
      </c>
      <c r="K124">
        <f t="shared" si="12"/>
        <v>0</v>
      </c>
      <c r="L124">
        <f t="shared" si="12"/>
        <v>0</v>
      </c>
      <c r="M124">
        <f t="shared" si="12"/>
        <v>0</v>
      </c>
      <c r="N124">
        <f t="shared" si="12"/>
        <v>0</v>
      </c>
      <c r="O124">
        <f t="shared" si="12"/>
        <v>0</v>
      </c>
      <c r="P124" s="4"/>
      <c r="R124" s="4"/>
      <c r="S124" s="4"/>
    </row>
    <row r="125" spans="1: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8"/>
      <c r="P125">
        <f>P102</f>
        <v>15463672.796832643</v>
      </c>
      <c r="Q125" t="s">
        <v>366</v>
      </c>
      <c r="R125" s="4"/>
      <c r="S125" s="4"/>
    </row>
    <row r="126" spans="1:25">
      <c r="A126" s="4"/>
      <c r="B126" s="4"/>
      <c r="C126" s="4"/>
      <c r="D126">
        <f>D122-D102</f>
        <v>74309.957620379981</v>
      </c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8"/>
      <c r="P126" s="31">
        <f>P119+P125</f>
        <v>31170646.397722118</v>
      </c>
      <c r="Q126" s="4" t="s">
        <v>367</v>
      </c>
      <c r="R126" s="4"/>
      <c r="S126" s="4"/>
    </row>
    <row r="127" spans="1: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25">
      <c r="P128" s="69"/>
    </row>
    <row r="129" spans="3:16">
      <c r="P129" s="210"/>
    </row>
    <row r="130" spans="3:16">
      <c r="C130" s="211"/>
    </row>
    <row r="131" spans="3:16">
      <c r="P131" s="4"/>
    </row>
  </sheetData>
  <mergeCells count="4">
    <mergeCell ref="A1:P1"/>
    <mergeCell ref="A2:P2"/>
    <mergeCell ref="A3:P3"/>
    <mergeCell ref="A4:P4"/>
  </mergeCells>
  <printOptions horizontalCentered="1"/>
  <pageMargins left="0.5" right="0.5" top="0.75" bottom="0.75" header="0.5" footer="0.25"/>
  <pageSetup scale="49" fitToHeight="2" orientation="landscape" verticalDpi="300" r:id="rId1"/>
  <headerFooter alignWithMargins="0">
    <oddHeader>&amp;RCASE NO. 2021-00214
FR_16(8)(c) 
ATTACHMENT 1</oddHeader>
    <oddFooter>&amp;RSchedule &amp;A
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419B9-99B3-40A0-856B-C0DC3D3FE910}">
  <dimension ref="A1:R56"/>
  <sheetViews>
    <sheetView view="pageBreakPreview" zoomScale="80" zoomScaleNormal="100" zoomScaleSheetLayoutView="80" workbookViewId="0">
      <selection activeCell="A12" sqref="A12"/>
    </sheetView>
  </sheetViews>
  <sheetFormatPr defaultColWidth="7.109375" defaultRowHeight="15"/>
  <cols>
    <col min="1" max="1" width="4.6640625" customWidth="1"/>
    <col min="2" max="2" width="6.6640625" customWidth="1"/>
    <col min="3" max="3" width="38.88671875" customWidth="1"/>
    <col min="4" max="4" width="14.5546875" bestFit="1" customWidth="1"/>
    <col min="5" max="5" width="11.88671875" bestFit="1" customWidth="1"/>
    <col min="6" max="6" width="11.5546875" bestFit="1" customWidth="1"/>
    <col min="7" max="8" width="11.88671875" bestFit="1" customWidth="1"/>
    <col min="9" max="9" width="12.6640625" customWidth="1"/>
    <col min="10" max="10" width="13.109375" bestFit="1" customWidth="1"/>
    <col min="11" max="14" width="11.77734375" bestFit="1" customWidth="1"/>
    <col min="15" max="15" width="12.44140625" customWidth="1"/>
    <col min="16" max="16" width="12.44140625" bestFit="1" customWidth="1"/>
    <col min="17" max="17" width="9.6640625" customWidth="1"/>
    <col min="18" max="18" width="12.5546875" customWidth="1"/>
  </cols>
  <sheetData>
    <row r="1" spans="1:18">
      <c r="A1" s="237" t="s">
        <v>404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4"/>
    </row>
    <row r="2" spans="1:18">
      <c r="A2" s="237" t="s">
        <v>405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4"/>
    </row>
    <row r="3" spans="1:18" ht="15.75">
      <c r="A3" s="242" t="s">
        <v>347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4"/>
    </row>
    <row r="4" spans="1:18">
      <c r="A4" s="237" t="s">
        <v>407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4"/>
    </row>
    <row r="5" spans="1:18">
      <c r="A5" s="4"/>
      <c r="B5" s="130"/>
      <c r="C5" s="130"/>
      <c r="D5" s="130"/>
      <c r="E5" s="130"/>
      <c r="F5" s="130"/>
      <c r="G5" s="182"/>
      <c r="H5" s="130"/>
      <c r="I5" s="130"/>
      <c r="J5" s="130"/>
      <c r="K5" s="130"/>
      <c r="L5" s="130"/>
      <c r="M5" s="130"/>
      <c r="N5" s="130"/>
      <c r="O5" s="130"/>
      <c r="P5" s="4"/>
      <c r="Q5" s="4"/>
    </row>
    <row r="6" spans="1:18" ht="15.75">
      <c r="A6" s="50" t="str">
        <f>'C.2.1 F'!A6</f>
        <v>Data:________Base Period___X____Forecasted Period</v>
      </c>
      <c r="B6" s="4"/>
      <c r="C6" s="7"/>
      <c r="D6" s="4"/>
      <c r="E6" s="4"/>
      <c r="F6" s="168"/>
      <c r="G6" s="4"/>
      <c r="H6" s="4"/>
      <c r="I6" s="4"/>
      <c r="J6" s="4"/>
      <c r="K6" s="4"/>
      <c r="L6" s="4"/>
      <c r="M6" s="4"/>
      <c r="N6" s="4"/>
      <c r="O6" s="4"/>
      <c r="P6" s="8" t="s">
        <v>240</v>
      </c>
      <c r="Q6" s="4"/>
    </row>
    <row r="7" spans="1:18">
      <c r="A7" s="50" t="str">
        <f>'C.2.1 F'!A7</f>
        <v>Type of Filing:___X____Original________Updated ________Revised</v>
      </c>
      <c r="B7" s="4"/>
      <c r="C7" s="7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2" t="s">
        <v>241</v>
      </c>
      <c r="Q7" s="4"/>
    </row>
    <row r="8" spans="1:18">
      <c r="A8" s="53" t="str">
        <f>'C.2.1 F'!A8</f>
        <v>Workpaper Reference No(s).____________________</v>
      </c>
      <c r="B8" s="2"/>
      <c r="C8" s="10"/>
      <c r="D8" s="11"/>
      <c r="E8" s="11"/>
      <c r="F8" s="11"/>
      <c r="G8" s="11"/>
      <c r="H8" s="11"/>
      <c r="I8" s="11"/>
      <c r="J8" s="11"/>
      <c r="K8" s="11"/>
      <c r="L8" s="11"/>
      <c r="M8" s="2"/>
      <c r="N8" s="2"/>
      <c r="O8" s="2"/>
      <c r="P8" s="55" t="str">
        <f>'C.1'!J9</f>
        <v>Witness: Christian, Densman</v>
      </c>
      <c r="Q8" s="4"/>
    </row>
    <row r="9" spans="1:18">
      <c r="A9" s="212" t="s">
        <v>22</v>
      </c>
      <c r="B9" s="213" t="s">
        <v>242</v>
      </c>
      <c r="C9" s="214"/>
      <c r="D9" s="205" t="s">
        <v>21</v>
      </c>
      <c r="E9" s="160" t="s">
        <v>21</v>
      </c>
      <c r="F9" s="160" t="s">
        <v>21</v>
      </c>
      <c r="G9" s="160" t="s">
        <v>21</v>
      </c>
      <c r="H9" s="160" t="s">
        <v>21</v>
      </c>
      <c r="I9" s="160" t="s">
        <v>21</v>
      </c>
      <c r="J9" s="160" t="s">
        <v>21</v>
      </c>
      <c r="K9" s="160" t="s">
        <v>21</v>
      </c>
      <c r="L9" s="160" t="s">
        <v>21</v>
      </c>
      <c r="M9" s="160" t="s">
        <v>21</v>
      </c>
      <c r="N9" s="160" t="s">
        <v>21</v>
      </c>
      <c r="O9" s="160" t="s">
        <v>21</v>
      </c>
      <c r="P9" s="185"/>
      <c r="Q9" s="4"/>
    </row>
    <row r="10" spans="1:18">
      <c r="A10" s="215" t="s">
        <v>25</v>
      </c>
      <c r="B10" s="2" t="s">
        <v>25</v>
      </c>
      <c r="C10" s="216" t="s">
        <v>245</v>
      </c>
      <c r="D10" s="163">
        <f>'C.2.2-F 09'!D10</f>
        <v>44562</v>
      </c>
      <c r="E10" s="163">
        <f>'C.2.2-F 09'!F10</f>
        <v>44621</v>
      </c>
      <c r="F10" s="163">
        <f>'C.2.2-F 09'!F10</f>
        <v>44621</v>
      </c>
      <c r="G10" s="163">
        <f>'C.2.2-F 09'!G10</f>
        <v>44652</v>
      </c>
      <c r="H10" s="163">
        <f>'C.2.2-F 09'!H10</f>
        <v>44682</v>
      </c>
      <c r="I10" s="163">
        <f>'C.2.2-F 09'!I10</f>
        <v>44713</v>
      </c>
      <c r="J10" s="163">
        <f>'C.2.2-F 09'!J10</f>
        <v>44743</v>
      </c>
      <c r="K10" s="163">
        <f>'C.2.2-F 09'!K10</f>
        <v>44774</v>
      </c>
      <c r="L10" s="163">
        <f>'C.2.2-F 09'!L10</f>
        <v>44805</v>
      </c>
      <c r="M10" s="163">
        <f>'C.2.2-F 09'!M10</f>
        <v>44835</v>
      </c>
      <c r="N10" s="163">
        <f>'C.2.2-F 09'!N10</f>
        <v>44866</v>
      </c>
      <c r="O10" s="163">
        <f>'C.2.2-F 09'!O10</f>
        <v>44896</v>
      </c>
      <c r="P10" s="186" t="str">
        <f>'C.2.2 B 09'!P10</f>
        <v>Total</v>
      </c>
      <c r="Q10" s="4"/>
    </row>
    <row r="11" spans="1:18">
      <c r="A11" s="4"/>
      <c r="B11" s="4"/>
      <c r="C11" s="4"/>
      <c r="D11" s="13" t="s">
        <v>247</v>
      </c>
      <c r="E11" s="13" t="s">
        <v>247</v>
      </c>
      <c r="F11" s="13" t="s">
        <v>247</v>
      </c>
      <c r="G11" s="13" t="s">
        <v>247</v>
      </c>
      <c r="H11" s="13" t="s">
        <v>247</v>
      </c>
      <c r="I11" s="13" t="s">
        <v>247</v>
      </c>
      <c r="J11" s="13" t="s">
        <v>247</v>
      </c>
      <c r="K11" s="13" t="s">
        <v>247</v>
      </c>
      <c r="L11" s="13" t="s">
        <v>247</v>
      </c>
      <c r="M11" s="13" t="s">
        <v>247</v>
      </c>
      <c r="N11" s="13" t="s">
        <v>247</v>
      </c>
      <c r="O11" s="13" t="s">
        <v>247</v>
      </c>
      <c r="P11" s="13" t="s">
        <v>247</v>
      </c>
      <c r="Q11" s="4"/>
    </row>
    <row r="12" spans="1:18">
      <c r="A12" s="3">
        <v>1</v>
      </c>
      <c r="B12" s="122">
        <v>4030</v>
      </c>
      <c r="C12" s="4" t="s">
        <v>71</v>
      </c>
      <c r="D12" s="85">
        <v>0</v>
      </c>
      <c r="E12" s="85">
        <v>0</v>
      </c>
      <c r="F12" s="85">
        <v>0</v>
      </c>
      <c r="G12" s="85">
        <v>0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>
        <f t="shared" ref="P12:P39" si="0">SUM(D12:O12)</f>
        <v>0</v>
      </c>
      <c r="Q12" s="4"/>
    </row>
    <row r="13" spans="1:18">
      <c r="A13" s="160">
        <f>A12+1</f>
        <v>2</v>
      </c>
      <c r="B13" s="122">
        <v>4081</v>
      </c>
      <c r="C13" s="4" t="s">
        <v>250</v>
      </c>
      <c r="D13" s="85">
        <v>0</v>
      </c>
      <c r="E13" s="85">
        <v>0</v>
      </c>
      <c r="F13" s="85">
        <v>0</v>
      </c>
      <c r="G13" s="85">
        <v>0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>
        <f t="shared" si="0"/>
        <v>0</v>
      </c>
      <c r="Q13" s="4"/>
    </row>
    <row r="14" spans="1:18">
      <c r="A14" s="160">
        <f>A13+1</f>
        <v>3</v>
      </c>
      <c r="B14" s="122">
        <v>8210</v>
      </c>
      <c r="C14" t="s">
        <v>283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89">
        <v>0</v>
      </c>
      <c r="L14" s="89">
        <v>0</v>
      </c>
      <c r="M14" s="89">
        <v>0</v>
      </c>
      <c r="N14" s="89">
        <v>0</v>
      </c>
      <c r="O14" s="89">
        <v>0</v>
      </c>
      <c r="P14">
        <f t="shared" si="0"/>
        <v>0</v>
      </c>
      <c r="Q14" s="4"/>
    </row>
    <row r="15" spans="1:18">
      <c r="A15" s="160">
        <f t="shared" ref="A15:A44" si="1">A14+1</f>
        <v>4</v>
      </c>
      <c r="B15" s="122">
        <v>8560</v>
      </c>
      <c r="C15" s="4" t="s">
        <v>292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89">
        <v>0</v>
      </c>
      <c r="P15">
        <f t="shared" si="0"/>
        <v>0</v>
      </c>
      <c r="Q15" s="4"/>
      <c r="R15" s="165"/>
    </row>
    <row r="16" spans="1:18">
      <c r="A16" s="160">
        <f t="shared" si="1"/>
        <v>5</v>
      </c>
      <c r="B16" s="122">
        <v>8700</v>
      </c>
      <c r="C16" s="4" t="s">
        <v>297</v>
      </c>
      <c r="D16" s="89">
        <v>355.18442603664073</v>
      </c>
      <c r="E16" s="89">
        <v>374.57459439020806</v>
      </c>
      <c r="F16" s="89">
        <v>421.03263291622085</v>
      </c>
      <c r="G16" s="89">
        <v>652.46580751012812</v>
      </c>
      <c r="H16" s="89">
        <v>641.18408042767794</v>
      </c>
      <c r="I16" s="89">
        <v>661.41295064132908</v>
      </c>
      <c r="J16" s="89">
        <v>657.8721596456262</v>
      </c>
      <c r="K16" s="89">
        <v>651.52021415754621</v>
      </c>
      <c r="L16" s="89">
        <v>674.6400300393467</v>
      </c>
      <c r="M16" s="89">
        <v>398.82856701352949</v>
      </c>
      <c r="N16" s="89">
        <v>380.87293539751687</v>
      </c>
      <c r="O16" s="89">
        <v>476.78450246678</v>
      </c>
      <c r="P16">
        <f t="shared" si="0"/>
        <v>6346.372900642551</v>
      </c>
      <c r="Q16" s="4"/>
      <c r="R16" s="165"/>
    </row>
    <row r="17" spans="1:17">
      <c r="A17" s="160">
        <f t="shared" si="1"/>
        <v>6</v>
      </c>
      <c r="B17" s="122">
        <v>8740</v>
      </c>
      <c r="C17" s="4" t="s">
        <v>301</v>
      </c>
      <c r="D17" s="89">
        <v>73651.003488617149</v>
      </c>
      <c r="E17" s="89">
        <v>33326.211124212066</v>
      </c>
      <c r="F17" s="89">
        <v>-225346.01229743237</v>
      </c>
      <c r="G17" s="89">
        <v>68496.723513510748</v>
      </c>
      <c r="H17" s="89">
        <v>68738.418682313728</v>
      </c>
      <c r="I17" s="89">
        <v>69346.016145623871</v>
      </c>
      <c r="J17" s="89">
        <v>68603.694266142556</v>
      </c>
      <c r="K17" s="89">
        <v>68463.082012093015</v>
      </c>
      <c r="L17" s="89">
        <v>69328.478311868617</v>
      </c>
      <c r="M17" s="89">
        <v>72651.329303600884</v>
      </c>
      <c r="N17" s="89">
        <v>70562.007466117881</v>
      </c>
      <c r="O17" s="89">
        <v>-34482.229085115665</v>
      </c>
      <c r="P17">
        <f t="shared" si="0"/>
        <v>403338.7229315525</v>
      </c>
      <c r="Q17" s="4"/>
    </row>
    <row r="18" spans="1:17">
      <c r="A18" s="160">
        <f t="shared" si="1"/>
        <v>7</v>
      </c>
      <c r="B18" s="122">
        <v>8780</v>
      </c>
      <c r="C18" s="4" t="s">
        <v>305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9">
        <v>0</v>
      </c>
      <c r="O18" s="89">
        <v>0</v>
      </c>
      <c r="P18">
        <f t="shared" si="0"/>
        <v>0</v>
      </c>
      <c r="Q18" s="4"/>
    </row>
    <row r="19" spans="1:17">
      <c r="A19" s="160">
        <f t="shared" si="1"/>
        <v>8</v>
      </c>
      <c r="B19" s="122">
        <v>8800</v>
      </c>
      <c r="C19" s="4" t="s">
        <v>307</v>
      </c>
      <c r="D19" s="89">
        <v>1405.4280910728485</v>
      </c>
      <c r="E19" s="89">
        <v>2124.6741187703237</v>
      </c>
      <c r="F19" s="89">
        <v>2064.2493280648137</v>
      </c>
      <c r="G19" s="89">
        <v>2270.1507539182526</v>
      </c>
      <c r="H19" s="89">
        <v>2258.4849773053293</v>
      </c>
      <c r="I19" s="89">
        <v>2339.3280175560758</v>
      </c>
      <c r="J19" s="89">
        <v>2324.7005232851293</v>
      </c>
      <c r="K19" s="89">
        <v>2266.2034626409609</v>
      </c>
      <c r="L19" s="89">
        <v>20173.946705467268</v>
      </c>
      <c r="M19" s="89">
        <v>1671.1039879799048</v>
      </c>
      <c r="N19" s="89">
        <v>1677.8434087337382</v>
      </c>
      <c r="O19" s="89">
        <v>1964.1410653783742</v>
      </c>
      <c r="P19">
        <f t="shared" si="0"/>
        <v>42540.254440173019</v>
      </c>
      <c r="Q19" s="4"/>
    </row>
    <row r="20" spans="1:17">
      <c r="A20" s="160">
        <f t="shared" si="1"/>
        <v>9</v>
      </c>
      <c r="B20" s="122">
        <v>8810</v>
      </c>
      <c r="C20" s="4" t="s">
        <v>308</v>
      </c>
      <c r="D20" s="89">
        <v>-2638.9371927608681</v>
      </c>
      <c r="E20" s="89">
        <v>-2555.3526818348346</v>
      </c>
      <c r="F20" s="89">
        <v>-1458.9090903516833</v>
      </c>
      <c r="G20" s="89">
        <v>-3040.132100437555</v>
      </c>
      <c r="H20" s="89">
        <v>-3040.132100437555</v>
      </c>
      <c r="I20" s="89">
        <v>-3045.7770193076108</v>
      </c>
      <c r="J20" s="89">
        <v>-3040.132100437555</v>
      </c>
      <c r="K20" s="89">
        <v>-3040.132100437555</v>
      </c>
      <c r="L20" s="89">
        <v>-3043.1187272246243</v>
      </c>
      <c r="M20" s="89">
        <v>-2799.9415675025948</v>
      </c>
      <c r="N20" s="89">
        <v>-2709.1563783731863</v>
      </c>
      <c r="O20" s="89">
        <v>-2386.2230891768349</v>
      </c>
      <c r="P20">
        <f t="shared" ref="P20" si="2">SUM(D20:O20)</f>
        <v>-32797.944148282462</v>
      </c>
      <c r="Q20" s="4"/>
    </row>
    <row r="21" spans="1:17">
      <c r="A21" s="160">
        <f t="shared" si="1"/>
        <v>10</v>
      </c>
      <c r="B21" s="122">
        <v>8850</v>
      </c>
      <c r="C21" t="s">
        <v>368</v>
      </c>
      <c r="D21" s="89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0</v>
      </c>
      <c r="K21" s="89">
        <v>0</v>
      </c>
      <c r="L21" s="89">
        <v>0</v>
      </c>
      <c r="M21" s="89">
        <v>0</v>
      </c>
      <c r="N21" s="89">
        <v>0</v>
      </c>
      <c r="O21" s="89">
        <v>0</v>
      </c>
      <c r="P21">
        <f t="shared" si="0"/>
        <v>0</v>
      </c>
      <c r="Q21" s="4"/>
    </row>
    <row r="22" spans="1:17">
      <c r="A22" s="160">
        <f t="shared" si="1"/>
        <v>11</v>
      </c>
      <c r="B22" s="122">
        <v>8900</v>
      </c>
      <c r="C22" t="s">
        <v>313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89">
        <v>0</v>
      </c>
      <c r="L22" s="89">
        <v>0</v>
      </c>
      <c r="M22" s="89">
        <v>0</v>
      </c>
      <c r="N22" s="89">
        <v>0</v>
      </c>
      <c r="O22" s="89">
        <v>0</v>
      </c>
      <c r="P22">
        <f t="shared" si="0"/>
        <v>0</v>
      </c>
      <c r="Q22" s="4"/>
    </row>
    <row r="23" spans="1:17">
      <c r="A23" s="160">
        <f t="shared" si="1"/>
        <v>12</v>
      </c>
      <c r="B23" s="122">
        <v>9010</v>
      </c>
      <c r="C23" s="4" t="s">
        <v>318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89">
        <v>0</v>
      </c>
      <c r="L23" s="89">
        <v>0</v>
      </c>
      <c r="M23" s="89">
        <v>0</v>
      </c>
      <c r="N23" s="89">
        <v>0</v>
      </c>
      <c r="O23" s="89">
        <v>0</v>
      </c>
      <c r="P23">
        <f t="shared" si="0"/>
        <v>0</v>
      </c>
      <c r="Q23" s="4"/>
    </row>
    <row r="24" spans="1:17">
      <c r="A24" s="160">
        <f t="shared" si="1"/>
        <v>13</v>
      </c>
      <c r="B24" s="122">
        <v>9030</v>
      </c>
      <c r="C24" s="4" t="s">
        <v>320</v>
      </c>
      <c r="D24" s="89">
        <v>8820.7730061416241</v>
      </c>
      <c r="E24" s="89">
        <v>7932.5964810165397</v>
      </c>
      <c r="F24" s="89">
        <v>10341.843311022589</v>
      </c>
      <c r="G24" s="89">
        <v>9282.1481375359563</v>
      </c>
      <c r="H24" s="89">
        <v>8880.6150885258758</v>
      </c>
      <c r="I24" s="89">
        <v>9730.9453772400793</v>
      </c>
      <c r="J24" s="89">
        <v>9322.7446418930958</v>
      </c>
      <c r="K24" s="89">
        <v>9317.9709148966431</v>
      </c>
      <c r="L24" s="89">
        <v>9445.574707128686</v>
      </c>
      <c r="M24" s="89">
        <v>9580.1805168136198</v>
      </c>
      <c r="N24" s="89">
        <v>8547.5250502072813</v>
      </c>
      <c r="O24" s="89">
        <v>10298.702721201458</v>
      </c>
      <c r="P24">
        <f t="shared" si="0"/>
        <v>111501.61995362345</v>
      </c>
      <c r="Q24" s="4"/>
    </row>
    <row r="25" spans="1:17">
      <c r="A25" s="160">
        <f t="shared" si="1"/>
        <v>14</v>
      </c>
      <c r="B25" s="122">
        <v>9040</v>
      </c>
      <c r="C25" s="4" t="s">
        <v>321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  <c r="L25" s="89">
        <v>20493544</v>
      </c>
      <c r="M25" s="89">
        <v>0</v>
      </c>
      <c r="N25" s="89">
        <v>0</v>
      </c>
      <c r="O25" s="89">
        <v>0</v>
      </c>
      <c r="P25">
        <f t="shared" ref="P25" si="3">SUM(D25:O25)</f>
        <v>20493544</v>
      </c>
      <c r="Q25" s="4"/>
    </row>
    <row r="26" spans="1:17">
      <c r="A26" s="160">
        <f t="shared" si="1"/>
        <v>15</v>
      </c>
      <c r="B26" s="122">
        <v>9100</v>
      </c>
      <c r="C26" s="4" t="s">
        <v>323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89">
        <v>0</v>
      </c>
      <c r="M26" s="89">
        <v>0</v>
      </c>
      <c r="N26" s="89">
        <v>0</v>
      </c>
      <c r="O26" s="89">
        <v>0</v>
      </c>
      <c r="P26">
        <f t="shared" si="0"/>
        <v>0</v>
      </c>
      <c r="Q26" s="4"/>
    </row>
    <row r="27" spans="1:17">
      <c r="A27" s="160">
        <f t="shared" si="1"/>
        <v>16</v>
      </c>
      <c r="B27" s="122">
        <v>9120</v>
      </c>
      <c r="C27" t="s">
        <v>369</v>
      </c>
      <c r="D27" s="89">
        <v>9248.4787300402731</v>
      </c>
      <c r="E27" s="89">
        <v>8991.4775044534927</v>
      </c>
      <c r="F27" s="89">
        <v>11319.705071654045</v>
      </c>
      <c r="G27" s="89">
        <v>15148.158187377789</v>
      </c>
      <c r="H27" s="89">
        <v>16138.248265882978</v>
      </c>
      <c r="I27" s="89">
        <v>15141.919408882181</v>
      </c>
      <c r="J27" s="89">
        <v>17524.905820454333</v>
      </c>
      <c r="K27" s="89">
        <v>16532.988900916334</v>
      </c>
      <c r="L27" s="89">
        <v>17511.066391107463</v>
      </c>
      <c r="M27" s="89">
        <v>21053.75605267207</v>
      </c>
      <c r="N27" s="89">
        <v>11706.989754638369</v>
      </c>
      <c r="O27" s="89">
        <v>18315.712886541769</v>
      </c>
      <c r="P27">
        <f t="shared" si="0"/>
        <v>178633.40697462109</v>
      </c>
      <c r="Q27" s="4"/>
    </row>
    <row r="28" spans="1:17">
      <c r="A28" s="160">
        <f t="shared" si="1"/>
        <v>17</v>
      </c>
      <c r="B28" s="122">
        <v>9160</v>
      </c>
      <c r="C28" t="s">
        <v>199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0</v>
      </c>
      <c r="N28" s="89">
        <v>0</v>
      </c>
      <c r="O28" s="89">
        <v>0</v>
      </c>
      <c r="P28">
        <f t="shared" ref="P28" si="4">SUM(D28:O28)</f>
        <v>0</v>
      </c>
      <c r="Q28" s="4"/>
    </row>
    <row r="29" spans="1:17">
      <c r="A29" s="160">
        <f t="shared" si="1"/>
        <v>18</v>
      </c>
      <c r="B29" s="122">
        <v>9200</v>
      </c>
      <c r="C29" s="4" t="s">
        <v>327</v>
      </c>
      <c r="D29" s="89">
        <v>-2802652.4099780433</v>
      </c>
      <c r="E29" s="89">
        <v>-3070148.2988499645</v>
      </c>
      <c r="F29" s="89">
        <v>-2141142.0949446713</v>
      </c>
      <c r="G29" s="89">
        <v>-3401814.4629443302</v>
      </c>
      <c r="H29" s="89">
        <v>-4787911.0084594553</v>
      </c>
      <c r="I29" s="89">
        <v>-3418494.9592910646</v>
      </c>
      <c r="J29" s="89">
        <v>-3817267.7754949541</v>
      </c>
      <c r="K29" s="89">
        <v>-2888087.1331804697</v>
      </c>
      <c r="L29" s="89">
        <v>-2994804.4953003977</v>
      </c>
      <c r="M29" s="89">
        <v>-380081.40531521384</v>
      </c>
      <c r="N29" s="89">
        <v>-2982050.8724863692</v>
      </c>
      <c r="O29" s="89">
        <v>-1068384.4755263692</v>
      </c>
      <c r="P29">
        <f t="shared" si="0"/>
        <v>-33752839.391771302</v>
      </c>
      <c r="Q29" s="4"/>
    </row>
    <row r="30" spans="1:17">
      <c r="A30" s="160">
        <f t="shared" si="1"/>
        <v>19</v>
      </c>
      <c r="B30" s="122">
        <v>9210</v>
      </c>
      <c r="C30" s="4" t="s">
        <v>328</v>
      </c>
      <c r="D30" s="89">
        <v>2413386.2920247815</v>
      </c>
      <c r="E30" s="89">
        <v>2547301.1645046766</v>
      </c>
      <c r="F30" s="89">
        <v>2877164.1549470103</v>
      </c>
      <c r="G30" s="89">
        <v>3592791.722185717</v>
      </c>
      <c r="H30" s="89">
        <v>3360712.1266616024</v>
      </c>
      <c r="I30" s="89">
        <v>3416733.722998878</v>
      </c>
      <c r="J30" s="89">
        <v>3385039.199422481</v>
      </c>
      <c r="K30" s="89">
        <v>3321938.7189634759</v>
      </c>
      <c r="L30" s="89">
        <v>5023503.1415613638</v>
      </c>
      <c r="M30" s="89">
        <v>2538982.5969090243</v>
      </c>
      <c r="N30" s="89">
        <v>2428634.8498993553</v>
      </c>
      <c r="O30" s="89">
        <v>2592654.8117151489</v>
      </c>
      <c r="P30">
        <f t="shared" si="0"/>
        <v>37498842.501793519</v>
      </c>
      <c r="Q30" s="4"/>
    </row>
    <row r="31" spans="1:17">
      <c r="A31" s="160">
        <f t="shared" si="1"/>
        <v>20</v>
      </c>
      <c r="B31" s="122">
        <v>9220</v>
      </c>
      <c r="C31" s="4" t="s">
        <v>329</v>
      </c>
      <c r="D31" s="85">
        <f t="shared" ref="D31:O31" si="5">-(SUM(D12:D30,D32:D39))</f>
        <v>-8335433.9149289047</v>
      </c>
      <c r="E31" s="85">
        <f t="shared" si="5"/>
        <v>-8082379.5849139094</v>
      </c>
      <c r="F31" s="85">
        <f t="shared" si="5"/>
        <v>-10131158.143594239</v>
      </c>
      <c r="G31" s="85">
        <f t="shared" si="5"/>
        <v>-9219942.9612175617</v>
      </c>
      <c r="H31" s="85">
        <f t="shared" si="5"/>
        <v>-12160424.005015522</v>
      </c>
      <c r="I31" s="85">
        <f t="shared" si="5"/>
        <v>-9826740.7398184855</v>
      </c>
      <c r="J31" s="85">
        <f t="shared" si="5"/>
        <v>-10691452.615331609</v>
      </c>
      <c r="K31" s="85">
        <f t="shared" si="5"/>
        <v>-8849211.6153316125</v>
      </c>
      <c r="L31" s="85">
        <f t="shared" si="5"/>
        <v>-41966639.222245768</v>
      </c>
      <c r="M31" s="85">
        <f t="shared" si="5"/>
        <v>-10037893.10574875</v>
      </c>
      <c r="N31" s="85">
        <f t="shared" si="5"/>
        <v>-6278069.1447830508</v>
      </c>
      <c r="O31" s="85">
        <f t="shared" si="5"/>
        <v>-9337623.2866969164</v>
      </c>
      <c r="P31">
        <f t="shared" si="0"/>
        <v>-144916968.33962634</v>
      </c>
      <c r="Q31" s="4"/>
    </row>
    <row r="32" spans="1:17">
      <c r="A32" s="160">
        <f t="shared" si="1"/>
        <v>21</v>
      </c>
      <c r="B32" s="122">
        <v>9230</v>
      </c>
      <c r="C32" s="4" t="s">
        <v>330</v>
      </c>
      <c r="D32" s="89">
        <v>723475.43906114635</v>
      </c>
      <c r="E32" s="89">
        <v>1112346.2948580468</v>
      </c>
      <c r="F32" s="89">
        <v>1108099.1956573313</v>
      </c>
      <c r="G32" s="89">
        <v>1213656.911136491</v>
      </c>
      <c r="H32" s="89">
        <v>1261804.2058908818</v>
      </c>
      <c r="I32" s="89">
        <v>1262220.6781484687</v>
      </c>
      <c r="J32" s="89">
        <v>1270704.4520515266</v>
      </c>
      <c r="K32" s="89">
        <v>1210441.9884677809</v>
      </c>
      <c r="L32" s="89">
        <v>11006399.541510385</v>
      </c>
      <c r="M32" s="89">
        <v>854280.62617498485</v>
      </c>
      <c r="N32" s="89">
        <v>865578.16542500095</v>
      </c>
      <c r="O32" s="89">
        <v>1014345.316011723</v>
      </c>
      <c r="P32">
        <f t="shared" si="0"/>
        <v>22903352.81439377</v>
      </c>
      <c r="Q32" s="4"/>
    </row>
    <row r="33" spans="1:18">
      <c r="A33" s="160">
        <f t="shared" si="1"/>
        <v>22</v>
      </c>
      <c r="B33" s="122">
        <v>9240</v>
      </c>
      <c r="C33" s="4" t="s">
        <v>331</v>
      </c>
      <c r="D33" s="89">
        <v>11272.559386967303</v>
      </c>
      <c r="E33" s="89">
        <v>11272.260321448917</v>
      </c>
      <c r="F33" s="89">
        <v>457.78927530713037</v>
      </c>
      <c r="G33" s="89">
        <v>10825.165236247549</v>
      </c>
      <c r="H33" s="89">
        <v>10825.165236247549</v>
      </c>
      <c r="I33" s="89">
        <v>10825.165236247549</v>
      </c>
      <c r="J33" s="89">
        <v>10825.165236247549</v>
      </c>
      <c r="K33" s="89">
        <v>10900.039603801652</v>
      </c>
      <c r="L33" s="89">
        <v>10825.165236247549</v>
      </c>
      <c r="M33" s="89">
        <v>11247.030218694039</v>
      </c>
      <c r="N33" s="89">
        <v>9323.1554309850635</v>
      </c>
      <c r="O33" s="89">
        <v>11272.295366597551</v>
      </c>
      <c r="P33">
        <f t="shared" si="0"/>
        <v>119870.95578503939</v>
      </c>
      <c r="Q33" s="4"/>
    </row>
    <row r="34" spans="1:18">
      <c r="A34" s="160">
        <f t="shared" si="1"/>
        <v>23</v>
      </c>
      <c r="B34" s="122">
        <v>9250</v>
      </c>
      <c r="C34" s="4" t="s">
        <v>332</v>
      </c>
      <c r="D34" s="89">
        <v>2761972.5185352028</v>
      </c>
      <c r="E34" s="89">
        <v>2761291.9310293584</v>
      </c>
      <c r="F34" s="89">
        <v>119245.38714102328</v>
      </c>
      <c r="G34" s="89">
        <v>2653293.5670903698</v>
      </c>
      <c r="H34" s="89">
        <v>2652955.4711463749</v>
      </c>
      <c r="I34" s="89">
        <v>2653303.6611810625</v>
      </c>
      <c r="J34" s="89">
        <v>2653320.7250094293</v>
      </c>
      <c r="K34" s="89">
        <v>2671619.9209085791</v>
      </c>
      <c r="L34" s="89">
        <v>2653320.7296552951</v>
      </c>
      <c r="M34" s="89">
        <v>2756430.0284919469</v>
      </c>
      <c r="N34" s="89">
        <v>2285660.412565744</v>
      </c>
      <c r="O34" s="89">
        <v>2763322.5541674243</v>
      </c>
      <c r="P34">
        <f t="shared" si="0"/>
        <v>29385736.906921811</v>
      </c>
      <c r="Q34" s="4"/>
      <c r="R34" s="165"/>
    </row>
    <row r="35" spans="1:18">
      <c r="A35" s="160">
        <f t="shared" si="1"/>
        <v>24</v>
      </c>
      <c r="B35" s="122">
        <v>9260</v>
      </c>
      <c r="C35" s="4" t="s">
        <v>333</v>
      </c>
      <c r="D35" s="89">
        <v>4013605.0587421623</v>
      </c>
      <c r="E35" s="89">
        <v>3713777.5616447059</v>
      </c>
      <c r="F35" s="89">
        <v>5821103.1131768515</v>
      </c>
      <c r="G35" s="89">
        <v>4344285.4391976427</v>
      </c>
      <c r="H35" s="89">
        <v>8852871.7899919339</v>
      </c>
      <c r="I35" s="89">
        <v>4514052.5818975801</v>
      </c>
      <c r="J35" s="89">
        <v>6376622.39552812</v>
      </c>
      <c r="K35" s="89">
        <v>3712582.1401156024</v>
      </c>
      <c r="L35" s="89">
        <v>3803190.4614692079</v>
      </c>
      <c r="M35" s="89">
        <v>3091240.5232376903</v>
      </c>
      <c r="N35" s="89">
        <v>3002993.2003841484</v>
      </c>
      <c r="O35" s="89">
        <v>3152463.1127172895</v>
      </c>
      <c r="P35">
        <f t="shared" si="0"/>
        <v>54398787.378102943</v>
      </c>
      <c r="Q35" s="4"/>
    </row>
    <row r="36" spans="1:18">
      <c r="A36" s="160">
        <f t="shared" si="1"/>
        <v>25</v>
      </c>
      <c r="B36" s="122">
        <v>9301</v>
      </c>
      <c r="C36" s="4" t="s">
        <v>350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89">
        <v>0</v>
      </c>
      <c r="K36" s="89">
        <v>0</v>
      </c>
      <c r="L36" s="89">
        <v>0</v>
      </c>
      <c r="M36" s="89">
        <v>0</v>
      </c>
      <c r="N36" s="89">
        <v>0</v>
      </c>
      <c r="O36" s="89">
        <v>0</v>
      </c>
      <c r="P36">
        <f t="shared" si="0"/>
        <v>0</v>
      </c>
      <c r="Q36" s="4"/>
    </row>
    <row r="37" spans="1:18">
      <c r="A37" s="160">
        <f t="shared" si="1"/>
        <v>26</v>
      </c>
      <c r="B37" s="122">
        <v>9302</v>
      </c>
      <c r="C37" s="4" t="s">
        <v>336</v>
      </c>
      <c r="D37" s="89">
        <v>702831.90501897899</v>
      </c>
      <c r="E37" s="89">
        <v>523219.60629197047</v>
      </c>
      <c r="F37" s="89">
        <v>2150192.5528687835</v>
      </c>
      <c r="G37" s="89">
        <v>214879.02444943885</v>
      </c>
      <c r="H37" s="89">
        <v>217213.60353239247</v>
      </c>
      <c r="I37" s="89">
        <v>794456.33155038464</v>
      </c>
      <c r="J37" s="89">
        <v>217756.78776682273</v>
      </c>
      <c r="K37" s="89">
        <v>217254.0450031863</v>
      </c>
      <c r="L37" s="89">
        <v>1283872.2026455146</v>
      </c>
      <c r="M37" s="89">
        <v>613258.76993331057</v>
      </c>
      <c r="N37" s="89">
        <v>142453.96569910919</v>
      </c>
      <c r="O37" s="89">
        <v>434404.1201878477</v>
      </c>
      <c r="P37">
        <f t="shared" si="0"/>
        <v>7511792.9149477398</v>
      </c>
      <c r="Q37" s="4"/>
    </row>
    <row r="38" spans="1:18">
      <c r="A38" s="160">
        <f t="shared" si="1"/>
        <v>27</v>
      </c>
      <c r="B38" s="122">
        <v>9310</v>
      </c>
      <c r="C38" s="4" t="s">
        <v>212</v>
      </c>
      <c r="D38" s="89">
        <v>400259.67798592499</v>
      </c>
      <c r="E38" s="89">
        <v>410965.83174444077</v>
      </c>
      <c r="F38" s="89">
        <v>376679.44996830268</v>
      </c>
      <c r="G38" s="89">
        <v>471795.44015733991</v>
      </c>
      <c r="H38" s="89">
        <v>471807.23736069928</v>
      </c>
      <c r="I38" s="89">
        <v>472408.38179578341</v>
      </c>
      <c r="J38" s="89">
        <v>471925.0775955026</v>
      </c>
      <c r="K38" s="89">
        <v>471802.07539647486</v>
      </c>
      <c r="L38" s="89">
        <v>509032.43427796412</v>
      </c>
      <c r="M38" s="89">
        <v>428170.68781025079</v>
      </c>
      <c r="N38" s="89">
        <v>414268.94577235071</v>
      </c>
      <c r="O38" s="89">
        <v>421335.66671873012</v>
      </c>
      <c r="P38">
        <f t="shared" si="0"/>
        <v>5320450.9065837646</v>
      </c>
      <c r="Q38" s="4"/>
    </row>
    <row r="39" spans="1:18">
      <c r="A39" s="160">
        <f t="shared" si="1"/>
        <v>28</v>
      </c>
      <c r="B39" s="122">
        <v>9320</v>
      </c>
      <c r="C39" s="4" t="s">
        <v>337</v>
      </c>
      <c r="D39" s="89">
        <v>20440.943602636267</v>
      </c>
      <c r="E39" s="89">
        <v>22159.052228219145</v>
      </c>
      <c r="F39" s="89">
        <v>22016.686548426656</v>
      </c>
      <c r="G39" s="89">
        <v>27420.640409229214</v>
      </c>
      <c r="H39" s="89">
        <v>26528.594660828538</v>
      </c>
      <c r="I39" s="89">
        <v>27061.331420510418</v>
      </c>
      <c r="J39" s="89">
        <v>27132.802905450317</v>
      </c>
      <c r="K39" s="89">
        <v>26568.186648914623</v>
      </c>
      <c r="L39" s="89">
        <v>63665.453771795539</v>
      </c>
      <c r="M39" s="89">
        <v>21808.991427483594</v>
      </c>
      <c r="N39" s="89">
        <v>21041.239856005039</v>
      </c>
      <c r="O39" s="89">
        <v>22022.996337229288</v>
      </c>
      <c r="P39">
        <f t="shared" si="0"/>
        <v>327866.91981672868</v>
      </c>
      <c r="Q39" s="4"/>
    </row>
    <row r="40" spans="1:18" ht="15.75" thickBot="1">
      <c r="A40" s="160">
        <f t="shared" si="1"/>
        <v>29</v>
      </c>
      <c r="B40" s="4" t="s">
        <v>338</v>
      </c>
      <c r="C40" s="4"/>
      <c r="D40" s="177">
        <f t="shared" ref="D40:P40" si="6">SUM(D12:D39)</f>
        <v>1.2078089639544487E-9</v>
      </c>
      <c r="E40" s="177">
        <f t="shared" si="6"/>
        <v>1.3751559890806675E-9</v>
      </c>
      <c r="F40" s="177">
        <f t="shared" si="6"/>
        <v>-9.6406438387930393E-10</v>
      </c>
      <c r="G40" s="177">
        <f t="shared" si="6"/>
        <v>-5.0931703299283981E-11</v>
      </c>
      <c r="H40" s="177">
        <f t="shared" si="6"/>
        <v>2.6266206987202168E-9</v>
      </c>
      <c r="I40" s="177">
        <f t="shared" si="6"/>
        <v>1.8553691916167736E-9</v>
      </c>
      <c r="J40" s="177">
        <f t="shared" si="6"/>
        <v>3.2378011383116245E-10</v>
      </c>
      <c r="K40" s="177">
        <f t="shared" si="6"/>
        <v>3.2378011383116245E-10</v>
      </c>
      <c r="L40" s="177">
        <f t="shared" si="6"/>
        <v>-7.2323018684983253E-9</v>
      </c>
      <c r="M40" s="177">
        <f t="shared" si="6"/>
        <v>-1.7716956790536642E-9</v>
      </c>
      <c r="N40" s="177">
        <f t="shared" si="6"/>
        <v>-2.5829649530351162E-10</v>
      </c>
      <c r="O40" s="177">
        <f t="shared" si="6"/>
        <v>7.6397554948925972E-11</v>
      </c>
      <c r="P40" s="177">
        <f t="shared" si="6"/>
        <v>1.1175870895385742E-8</v>
      </c>
      <c r="Q40" s="4"/>
    </row>
    <row r="41" spans="1:18" ht="15.75" thickTop="1">
      <c r="A41" s="160">
        <f t="shared" si="1"/>
        <v>30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8">
      <c r="A42" s="160">
        <f t="shared" si="1"/>
        <v>31</v>
      </c>
      <c r="B42" s="190">
        <f t="shared" ref="B42:O42" si="7">B31</f>
        <v>9220</v>
      </c>
      <c r="C42" t="str">
        <f t="shared" si="7"/>
        <v>A&amp;G-Administrative expense transferred-Credit</v>
      </c>
      <c r="D42">
        <f t="shared" si="7"/>
        <v>-8335433.9149289047</v>
      </c>
      <c r="E42">
        <f t="shared" si="7"/>
        <v>-8082379.5849139094</v>
      </c>
      <c r="F42">
        <f t="shared" si="7"/>
        <v>-10131158.143594239</v>
      </c>
      <c r="G42">
        <f t="shared" si="7"/>
        <v>-9219942.9612175617</v>
      </c>
      <c r="H42">
        <f t="shared" si="7"/>
        <v>-12160424.005015522</v>
      </c>
      <c r="I42">
        <f t="shared" si="7"/>
        <v>-9826740.7398184855</v>
      </c>
      <c r="J42">
        <f t="shared" si="7"/>
        <v>-10691452.615331609</v>
      </c>
      <c r="K42">
        <f t="shared" si="7"/>
        <v>-8849211.6153316125</v>
      </c>
      <c r="L42">
        <f t="shared" si="7"/>
        <v>-41966639.222245768</v>
      </c>
      <c r="M42">
        <f t="shared" si="7"/>
        <v>-10037893.10574875</v>
      </c>
      <c r="N42">
        <f t="shared" si="7"/>
        <v>-6278069.1447830508</v>
      </c>
      <c r="O42">
        <f t="shared" si="7"/>
        <v>-9337623.2866969164</v>
      </c>
      <c r="P42" s="4"/>
      <c r="Q42" s="4"/>
    </row>
    <row r="43" spans="1:18">
      <c r="A43" s="160">
        <f t="shared" si="1"/>
        <v>32</v>
      </c>
      <c r="B43" s="4"/>
      <c r="C43" s="4" t="s">
        <v>351</v>
      </c>
      <c r="D43" s="192">
        <v>4.9714119999999994E-2</v>
      </c>
      <c r="E43" s="192">
        <f>D43</f>
        <v>4.9714119999999994E-2</v>
      </c>
      <c r="F43" s="192">
        <f t="shared" ref="F43:O43" si="8">E43</f>
        <v>4.9714119999999994E-2</v>
      </c>
      <c r="G43" s="192">
        <f t="shared" si="8"/>
        <v>4.9714119999999994E-2</v>
      </c>
      <c r="H43" s="192">
        <f t="shared" si="8"/>
        <v>4.9714119999999994E-2</v>
      </c>
      <c r="I43" s="192">
        <f t="shared" si="8"/>
        <v>4.9714119999999994E-2</v>
      </c>
      <c r="J43" s="192">
        <f t="shared" si="8"/>
        <v>4.9714119999999994E-2</v>
      </c>
      <c r="K43" s="192">
        <f t="shared" si="8"/>
        <v>4.9714119999999994E-2</v>
      </c>
      <c r="L43" s="192">
        <f t="shared" si="8"/>
        <v>4.9714119999999994E-2</v>
      </c>
      <c r="M43" s="192">
        <f t="shared" si="8"/>
        <v>4.9714119999999994E-2</v>
      </c>
      <c r="N43" s="192">
        <f t="shared" si="8"/>
        <v>4.9714119999999994E-2</v>
      </c>
      <c r="O43" s="192">
        <f t="shared" si="8"/>
        <v>4.9714119999999994E-2</v>
      </c>
      <c r="P43" s="4"/>
      <c r="Q43" s="4"/>
    </row>
    <row r="44" spans="1:18">
      <c r="A44" s="160">
        <f t="shared" si="1"/>
        <v>33</v>
      </c>
      <c r="B44" s="4"/>
      <c r="C44" s="4" t="s">
        <v>352</v>
      </c>
      <c r="D44">
        <f t="shared" ref="D44:N44" si="9">ROUND(D42*D43,3)</f>
        <v>-414388.76199999999</v>
      </c>
      <c r="E44">
        <f t="shared" si="9"/>
        <v>-401808.38900000002</v>
      </c>
      <c r="F44">
        <f t="shared" si="9"/>
        <v>-503661.61200000002</v>
      </c>
      <c r="G44">
        <f t="shared" si="9"/>
        <v>-458361.35100000002</v>
      </c>
      <c r="H44">
        <f t="shared" si="9"/>
        <v>-604544.77800000005</v>
      </c>
      <c r="I44">
        <f t="shared" si="9"/>
        <v>-488527.76799999998</v>
      </c>
      <c r="J44">
        <f t="shared" si="9"/>
        <v>-531516.15800000005</v>
      </c>
      <c r="K44">
        <f t="shared" si="9"/>
        <v>-439930.76799999998</v>
      </c>
      <c r="L44">
        <f t="shared" si="9"/>
        <v>-2086334.5379999999</v>
      </c>
      <c r="M44">
        <f t="shared" si="9"/>
        <v>-499025.022</v>
      </c>
      <c r="N44">
        <f t="shared" si="9"/>
        <v>-312108.68300000002</v>
      </c>
      <c r="O44">
        <f>ROUND(O42*O43,3)</f>
        <v>-464211.72499999998</v>
      </c>
      <c r="P44">
        <f>SUM(D44:O44)</f>
        <v>-7204419.5539999995</v>
      </c>
      <c r="Q44" s="217"/>
    </row>
    <row r="45" spans="1:18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8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8">
      <c r="A47" s="4"/>
      <c r="B47" s="4" t="s">
        <v>353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197"/>
      <c r="Q47" s="4"/>
    </row>
    <row r="48" spans="1:1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>
      <c r="A49" s="4"/>
      <c r="B49" s="4"/>
      <c r="C49" s="8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>
      <c r="A50" s="4"/>
      <c r="B50" s="4" t="s">
        <v>341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>
      <c r="A51" s="4"/>
      <c r="B51" s="4" t="s">
        <v>343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>
      <c r="A52" s="4"/>
      <c r="B52" s="4"/>
      <c r="C52" s="4"/>
      <c r="D52" s="31">
        <f>D31</f>
        <v>-8335433.9149289047</v>
      </c>
      <c r="E52" s="31">
        <f t="shared" ref="E52:O52" si="10">E31</f>
        <v>-8082379.5849139094</v>
      </c>
      <c r="F52" s="31">
        <f t="shared" si="10"/>
        <v>-10131158.143594239</v>
      </c>
      <c r="G52" s="31">
        <f t="shared" si="10"/>
        <v>-9219942.9612175617</v>
      </c>
      <c r="H52" s="31">
        <f t="shared" si="10"/>
        <v>-12160424.005015522</v>
      </c>
      <c r="I52" s="31">
        <f t="shared" si="10"/>
        <v>-9826740.7398184855</v>
      </c>
      <c r="J52" s="31">
        <f t="shared" si="10"/>
        <v>-10691452.615331609</v>
      </c>
      <c r="K52" s="31">
        <f t="shared" si="10"/>
        <v>-8849211.6153316125</v>
      </c>
      <c r="L52" s="31">
        <f t="shared" si="10"/>
        <v>-41966639.222245768</v>
      </c>
      <c r="M52" s="31">
        <f t="shared" si="10"/>
        <v>-10037893.10574875</v>
      </c>
      <c r="N52" s="31">
        <f t="shared" si="10"/>
        <v>-6278069.1447830508</v>
      </c>
      <c r="O52" s="31">
        <f t="shared" si="10"/>
        <v>-9337623.2866969164</v>
      </c>
      <c r="P52" s="194"/>
      <c r="Q52" s="4"/>
    </row>
    <row r="53" spans="1:17">
      <c r="A53" s="4"/>
      <c r="B53" s="4"/>
      <c r="C53" s="4"/>
      <c r="D53" s="31">
        <v>8335433.914928901</v>
      </c>
      <c r="E53" s="31">
        <v>8082379.5849139122</v>
      </c>
      <c r="F53" s="31">
        <v>10131158.143594243</v>
      </c>
      <c r="G53" s="31">
        <v>9219942.9612175655</v>
      </c>
      <c r="H53" s="31">
        <v>12160424.005015528</v>
      </c>
      <c r="I53" s="31">
        <v>9826740.7398184892</v>
      </c>
      <c r="J53" s="31">
        <v>10691452.615331614</v>
      </c>
      <c r="K53" s="31">
        <v>8849211.6153316125</v>
      </c>
      <c r="L53" s="31">
        <v>41966639.22224576</v>
      </c>
      <c r="M53" s="31">
        <v>10037893.10574875</v>
      </c>
      <c r="N53" s="31">
        <v>6278069.1447830573</v>
      </c>
      <c r="O53" s="31">
        <v>9337623.2866969183</v>
      </c>
      <c r="P53" s="194"/>
      <c r="Q53" s="4"/>
    </row>
    <row r="54" spans="1:17">
      <c r="A54" s="4"/>
      <c r="B54" s="4"/>
      <c r="C54" s="4"/>
      <c r="D54">
        <f>D52+D53</f>
        <v>0</v>
      </c>
      <c r="E54">
        <f t="shared" ref="E54:O54" si="11">E52+E53</f>
        <v>0</v>
      </c>
      <c r="F54">
        <f t="shared" si="11"/>
        <v>0</v>
      </c>
      <c r="G54">
        <f t="shared" si="11"/>
        <v>0</v>
      </c>
      <c r="H54">
        <f t="shared" si="11"/>
        <v>0</v>
      </c>
      <c r="I54">
        <f t="shared" si="11"/>
        <v>0</v>
      </c>
      <c r="J54">
        <f t="shared" si="11"/>
        <v>0</v>
      </c>
      <c r="K54">
        <f t="shared" si="11"/>
        <v>0</v>
      </c>
      <c r="L54">
        <f t="shared" si="11"/>
        <v>0</v>
      </c>
      <c r="M54">
        <f t="shared" si="11"/>
        <v>0</v>
      </c>
      <c r="N54">
        <f t="shared" si="11"/>
        <v>0</v>
      </c>
      <c r="O54">
        <f t="shared" si="11"/>
        <v>0</v>
      </c>
      <c r="P54" s="194"/>
      <c r="Q54" s="4"/>
    </row>
    <row r="55" spans="1:17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194"/>
      <c r="P55" s="194"/>
      <c r="Q55" s="4"/>
    </row>
    <row r="56" spans="1:17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194"/>
      <c r="P56" s="194"/>
      <c r="Q56" s="4"/>
    </row>
  </sheetData>
  <mergeCells count="4">
    <mergeCell ref="A1:P1"/>
    <mergeCell ref="A2:P2"/>
    <mergeCell ref="A3:P3"/>
    <mergeCell ref="A4:P4"/>
  </mergeCells>
  <printOptions horizontalCentered="1"/>
  <pageMargins left="0.5" right="0.5" top="0.75" bottom="0.5" header="0.5" footer="0.25"/>
  <pageSetup scale="49" fitToHeight="2" orientation="landscape" verticalDpi="300" r:id="rId1"/>
  <headerFooter alignWithMargins="0">
    <oddHeader>&amp;RCASE NO. 2021-00214
FR_16(8)(c) 
ATTACHMENT 1</oddHeader>
    <oddFooter>&amp;RSchedule &amp;A
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C1760-57FF-46AF-AD52-2C829DB61F5E}">
  <dimension ref="A1:Q45"/>
  <sheetViews>
    <sheetView view="pageBreakPreview" zoomScale="80" zoomScaleNormal="100" zoomScaleSheetLayoutView="80" workbookViewId="0">
      <selection activeCell="B12" sqref="B12"/>
    </sheetView>
  </sheetViews>
  <sheetFormatPr defaultColWidth="7.109375" defaultRowHeight="15"/>
  <cols>
    <col min="1" max="1" width="4.6640625" customWidth="1"/>
    <col min="2" max="2" width="7.21875" customWidth="1"/>
    <col min="3" max="3" width="43.21875" customWidth="1"/>
    <col min="4" max="4" width="12.44140625" bestFit="1" customWidth="1"/>
    <col min="5" max="6" width="11.109375" customWidth="1"/>
    <col min="7" max="7" width="11.77734375" bestFit="1" customWidth="1"/>
    <col min="8" max="8" width="11.33203125" bestFit="1" customWidth="1"/>
    <col min="9" max="9" width="11.109375" customWidth="1"/>
    <col min="10" max="10" width="10.88671875" customWidth="1"/>
    <col min="11" max="14" width="11.33203125" bestFit="1" customWidth="1"/>
    <col min="15" max="15" width="12.44140625" customWidth="1"/>
    <col min="16" max="16" width="12.44140625" bestFit="1" customWidth="1"/>
    <col min="17" max="17" width="12.44140625" customWidth="1"/>
    <col min="18" max="18" width="12.5546875" customWidth="1"/>
    <col min="19" max="19" width="11.33203125" bestFit="1" customWidth="1"/>
  </cols>
  <sheetData>
    <row r="1" spans="1:17">
      <c r="A1" s="237" t="s">
        <v>404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4"/>
    </row>
    <row r="2" spans="1:17">
      <c r="A2" s="237" t="s">
        <v>405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4"/>
    </row>
    <row r="3" spans="1:17" ht="15.75">
      <c r="A3" s="242" t="s">
        <v>358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4"/>
    </row>
    <row r="4" spans="1:17">
      <c r="A4" s="237" t="s">
        <v>407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4"/>
    </row>
    <row r="5" spans="1:17">
      <c r="A5" s="4"/>
      <c r="B5" s="130"/>
      <c r="C5" s="130"/>
      <c r="D5" s="130"/>
      <c r="E5" s="130"/>
      <c r="F5" s="130"/>
      <c r="G5" s="182"/>
      <c r="H5" s="130"/>
      <c r="I5" s="130"/>
      <c r="J5" s="130"/>
      <c r="K5" s="130"/>
      <c r="L5" s="130"/>
      <c r="M5" s="130"/>
      <c r="N5" s="130"/>
      <c r="O5" s="130"/>
      <c r="P5" s="4"/>
      <c r="Q5" s="4"/>
    </row>
    <row r="6" spans="1:17" ht="15.75">
      <c r="A6" s="50" t="str">
        <f>'C.2.1 F'!A6</f>
        <v>Data:________Base Period___X____Forecasted Period</v>
      </c>
      <c r="B6" s="4"/>
      <c r="C6" s="7"/>
      <c r="D6" s="4"/>
      <c r="E6" s="168"/>
      <c r="F6" s="4"/>
      <c r="G6" s="4"/>
      <c r="H6" s="4"/>
      <c r="I6" s="4"/>
      <c r="J6" s="4"/>
      <c r="K6" s="4"/>
      <c r="L6" s="4"/>
      <c r="M6" s="4"/>
      <c r="N6" s="4"/>
      <c r="O6" s="4"/>
      <c r="P6" s="8" t="s">
        <v>240</v>
      </c>
      <c r="Q6" s="4"/>
    </row>
    <row r="7" spans="1:17">
      <c r="A7" s="50" t="str">
        <f>'C.2.1 F'!A7</f>
        <v>Type of Filing:___X____Original________Updated ________Revised</v>
      </c>
      <c r="B7" s="4"/>
      <c r="C7" s="7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2" t="s">
        <v>241</v>
      </c>
      <c r="Q7" s="4"/>
    </row>
    <row r="8" spans="1:17">
      <c r="A8" s="53" t="str">
        <f>'C.2.1 F'!A8</f>
        <v>Workpaper Reference No(s).____________________</v>
      </c>
      <c r="B8" s="2"/>
      <c r="C8" s="10"/>
      <c r="D8" s="11"/>
      <c r="E8" s="11"/>
      <c r="F8" s="11"/>
      <c r="G8" s="11"/>
      <c r="H8" s="11"/>
      <c r="I8" s="11"/>
      <c r="J8" s="11"/>
      <c r="K8" s="11"/>
      <c r="L8" s="11"/>
      <c r="M8" s="2"/>
      <c r="N8" s="2"/>
      <c r="O8" s="2"/>
      <c r="P8" s="55" t="str">
        <f>'C.1'!J9</f>
        <v>Witness: Christian, Densman</v>
      </c>
      <c r="Q8" s="4"/>
    </row>
    <row r="9" spans="1:17">
      <c r="A9" s="212" t="s">
        <v>22</v>
      </c>
      <c r="B9" s="213" t="s">
        <v>242</v>
      </c>
      <c r="C9" s="214"/>
      <c r="D9" s="205" t="s">
        <v>21</v>
      </c>
      <c r="E9" s="160" t="s">
        <v>21</v>
      </c>
      <c r="F9" s="160" t="s">
        <v>21</v>
      </c>
      <c r="G9" s="160" t="s">
        <v>21</v>
      </c>
      <c r="H9" s="160" t="s">
        <v>21</v>
      </c>
      <c r="I9" s="160" t="s">
        <v>21</v>
      </c>
      <c r="J9" s="160" t="s">
        <v>21</v>
      </c>
      <c r="K9" s="160" t="s">
        <v>21</v>
      </c>
      <c r="L9" s="160" t="s">
        <v>21</v>
      </c>
      <c r="M9" s="160" t="s">
        <v>21</v>
      </c>
      <c r="N9" s="160" t="s">
        <v>21</v>
      </c>
      <c r="O9" s="160" t="s">
        <v>21</v>
      </c>
      <c r="P9" s="185"/>
      <c r="Q9" s="4"/>
    </row>
    <row r="10" spans="1:17">
      <c r="A10" s="215" t="s">
        <v>25</v>
      </c>
      <c r="B10" s="2" t="s">
        <v>25</v>
      </c>
      <c r="C10" s="216" t="s">
        <v>245</v>
      </c>
      <c r="D10" s="163">
        <f>'C.2.2-F 09'!D10</f>
        <v>44562</v>
      </c>
      <c r="E10" s="163">
        <f>'C.2.2-F 09'!F10</f>
        <v>44621</v>
      </c>
      <c r="F10" s="163">
        <f>'C.2.2-F 09'!F10</f>
        <v>44621</v>
      </c>
      <c r="G10" s="163">
        <f>'C.2.2-F 09'!G10</f>
        <v>44652</v>
      </c>
      <c r="H10" s="163">
        <f>'C.2.2-F 09'!H10</f>
        <v>44682</v>
      </c>
      <c r="I10" s="163">
        <f>'C.2.2-F 09'!I10</f>
        <v>44713</v>
      </c>
      <c r="J10" s="163">
        <f>'C.2.2-F 09'!J10</f>
        <v>44743</v>
      </c>
      <c r="K10" s="163">
        <f>'C.2.2-F 09'!K10</f>
        <v>44774</v>
      </c>
      <c r="L10" s="163">
        <f>'C.2.2-F 09'!L10</f>
        <v>44805</v>
      </c>
      <c r="M10" s="163">
        <f>'C.2.2-F 09'!M10</f>
        <v>44835</v>
      </c>
      <c r="N10" s="163">
        <f>'C.2.2-F 09'!N10</f>
        <v>44866</v>
      </c>
      <c r="O10" s="163">
        <f>'C.2.2-F 09'!O10</f>
        <v>44896</v>
      </c>
      <c r="P10" s="186" t="str">
        <f>'C.2.2 B 09'!P10</f>
        <v>Total</v>
      </c>
      <c r="Q10" s="3"/>
    </row>
    <row r="11" spans="1:17">
      <c r="A11" s="4"/>
      <c r="B11" s="4"/>
      <c r="C11" s="4"/>
      <c r="D11" s="13" t="s">
        <v>247</v>
      </c>
      <c r="E11" s="13" t="s">
        <v>247</v>
      </c>
      <c r="F11" s="13" t="s">
        <v>247</v>
      </c>
      <c r="G11" s="13" t="s">
        <v>247</v>
      </c>
      <c r="H11" s="13" t="s">
        <v>247</v>
      </c>
      <c r="I11" s="13" t="s">
        <v>247</v>
      </c>
      <c r="J11" s="13" t="s">
        <v>247</v>
      </c>
      <c r="K11" s="13" t="s">
        <v>247</v>
      </c>
      <c r="L11" s="13" t="s">
        <v>247</v>
      </c>
      <c r="M11" s="13" t="s">
        <v>247</v>
      </c>
      <c r="N11" s="13" t="s">
        <v>247</v>
      </c>
      <c r="O11" s="13" t="s">
        <v>247</v>
      </c>
      <c r="P11" s="13" t="s">
        <v>247</v>
      </c>
      <c r="Q11" s="13"/>
    </row>
    <row r="12" spans="1:17">
      <c r="A12" s="3">
        <v>1</v>
      </c>
      <c r="B12" s="122">
        <v>4030</v>
      </c>
      <c r="C12" s="4" t="s">
        <v>71</v>
      </c>
      <c r="D12" s="85">
        <v>0</v>
      </c>
      <c r="E12" s="85">
        <v>0</v>
      </c>
      <c r="F12" s="85">
        <v>0</v>
      </c>
      <c r="G12" s="85">
        <v>0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>
        <f t="shared" ref="P12:P28" si="0">SUM(D12:O12)</f>
        <v>0</v>
      </c>
      <c r="Q12" s="4"/>
    </row>
    <row r="13" spans="1:17">
      <c r="A13" s="160">
        <f>A12+1</f>
        <v>2</v>
      </c>
      <c r="B13" s="122">
        <v>4081</v>
      </c>
      <c r="C13" s="4" t="s">
        <v>250</v>
      </c>
      <c r="D13" s="85">
        <v>0</v>
      </c>
      <c r="E13" s="85">
        <v>0</v>
      </c>
      <c r="F13" s="85">
        <v>0</v>
      </c>
      <c r="G13" s="85">
        <v>0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>
        <f t="shared" si="0"/>
        <v>0</v>
      </c>
      <c r="Q13" s="4"/>
    </row>
    <row r="14" spans="1:17">
      <c r="A14" s="160">
        <f t="shared" ref="A14:A34" si="1">A13+1</f>
        <v>3</v>
      </c>
      <c r="B14" s="122">
        <v>8700</v>
      </c>
      <c r="C14" s="4" t="s">
        <v>297</v>
      </c>
      <c r="D14" s="85">
        <v>697.62082033074796</v>
      </c>
      <c r="E14" s="85">
        <v>524.15941313689837</v>
      </c>
      <c r="F14" s="85">
        <v>756.40544712406688</v>
      </c>
      <c r="G14" s="85">
        <v>117.40310176145465</v>
      </c>
      <c r="H14" s="85">
        <v>114.61865088192474</v>
      </c>
      <c r="I14" s="85">
        <v>113.32674397121139</v>
      </c>
      <c r="J14" s="85">
        <v>117.83373739835912</v>
      </c>
      <c r="K14" s="85">
        <v>111.17356578668912</v>
      </c>
      <c r="L14" s="85">
        <v>109.98714487224683</v>
      </c>
      <c r="M14" s="85">
        <v>683.84245393239451</v>
      </c>
      <c r="N14" s="85">
        <v>649.99203718334888</v>
      </c>
      <c r="O14" s="85">
        <v>636.23982829254339</v>
      </c>
      <c r="P14">
        <f t="shared" si="0"/>
        <v>4632.6029446718858</v>
      </c>
      <c r="Q14" s="4"/>
    </row>
    <row r="15" spans="1:17">
      <c r="A15" s="160">
        <f t="shared" si="1"/>
        <v>4</v>
      </c>
      <c r="B15" s="122">
        <v>8740</v>
      </c>
      <c r="C15" s="4" t="s">
        <v>301</v>
      </c>
      <c r="D15" s="85">
        <v>8129.1473942033654</v>
      </c>
      <c r="E15" s="85">
        <v>7935.8219123884173</v>
      </c>
      <c r="F15" s="85">
        <v>8069.2461187106628</v>
      </c>
      <c r="G15" s="85">
        <v>9953.6362057435472</v>
      </c>
      <c r="H15" s="85">
        <v>9578.4057434272345</v>
      </c>
      <c r="I15" s="85">
        <v>9953.6362057435472</v>
      </c>
      <c r="J15" s="85">
        <v>9659.2933870183424</v>
      </c>
      <c r="K15" s="85">
        <v>9659.2933870183424</v>
      </c>
      <c r="L15" s="85">
        <v>9659.2852337222648</v>
      </c>
      <c r="M15" s="85">
        <v>8244.0673503750313</v>
      </c>
      <c r="N15" s="85">
        <v>10286.355543143176</v>
      </c>
      <c r="O15" s="85">
        <v>9889.2800687182189</v>
      </c>
      <c r="P15">
        <f t="shared" si="0"/>
        <v>111017.46855021216</v>
      </c>
      <c r="Q15" s="4"/>
    </row>
    <row r="16" spans="1:17">
      <c r="A16" s="160">
        <f t="shared" si="1"/>
        <v>5</v>
      </c>
      <c r="B16" s="122">
        <v>8800</v>
      </c>
      <c r="C16" s="4" t="s">
        <v>307</v>
      </c>
      <c r="D16" s="85">
        <v>0</v>
      </c>
      <c r="E16" s="85">
        <v>0</v>
      </c>
      <c r="F16" s="85">
        <v>0</v>
      </c>
      <c r="G16" s="85">
        <v>0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>
        <f t="shared" si="0"/>
        <v>0</v>
      </c>
      <c r="Q16" s="4"/>
    </row>
    <row r="17" spans="1:17">
      <c r="A17" s="160">
        <f t="shared" si="1"/>
        <v>6</v>
      </c>
      <c r="B17" s="122">
        <v>9010</v>
      </c>
      <c r="C17" s="4" t="s">
        <v>318</v>
      </c>
      <c r="D17" s="85">
        <v>392610.0956739937</v>
      </c>
      <c r="E17" s="85">
        <v>366333.65992456558</v>
      </c>
      <c r="F17" s="85">
        <v>414082.36763616465</v>
      </c>
      <c r="G17" s="85">
        <v>470363.17899403116</v>
      </c>
      <c r="H17" s="85">
        <v>447926.83534720552</v>
      </c>
      <c r="I17" s="85">
        <v>468264.92091232323</v>
      </c>
      <c r="J17" s="85">
        <v>454662.31578064861</v>
      </c>
      <c r="K17" s="85">
        <v>452064.60573611577</v>
      </c>
      <c r="L17" s="85">
        <v>451892.77198218886</v>
      </c>
      <c r="M17" s="85">
        <v>398855.29311553546</v>
      </c>
      <c r="N17" s="85">
        <v>381459.16294098046</v>
      </c>
      <c r="O17" s="85">
        <v>423859.25106710929</v>
      </c>
      <c r="P17">
        <f t="shared" si="0"/>
        <v>5122374.4591108626</v>
      </c>
      <c r="Q17" s="4"/>
    </row>
    <row r="18" spans="1:17">
      <c r="A18" s="160">
        <f t="shared" si="1"/>
        <v>7</v>
      </c>
      <c r="B18" s="122">
        <v>9020</v>
      </c>
      <c r="C18" s="4" t="s">
        <v>319</v>
      </c>
      <c r="D18" s="85">
        <v>0</v>
      </c>
      <c r="E18" s="85">
        <v>0</v>
      </c>
      <c r="F18" s="85">
        <v>0</v>
      </c>
      <c r="G18" s="85">
        <v>0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>
        <f t="shared" si="0"/>
        <v>0</v>
      </c>
      <c r="Q18" s="4"/>
    </row>
    <row r="19" spans="1:17">
      <c r="A19" s="160">
        <f t="shared" si="1"/>
        <v>8</v>
      </c>
      <c r="B19" s="122">
        <v>9030</v>
      </c>
      <c r="C19" s="4" t="s">
        <v>320</v>
      </c>
      <c r="D19" s="85">
        <v>1876219.0015756739</v>
      </c>
      <c r="E19" s="85">
        <v>1700961.5564471716</v>
      </c>
      <c r="F19" s="85">
        <v>1940305.6880675415</v>
      </c>
      <c r="G19" s="85">
        <v>2199494.8091337155</v>
      </c>
      <c r="H19" s="85">
        <v>2065939.1808459344</v>
      </c>
      <c r="I19" s="85">
        <v>2159812.2932159184</v>
      </c>
      <c r="J19" s="85">
        <v>2125542.9542032648</v>
      </c>
      <c r="K19" s="85">
        <v>2086342.6322978202</v>
      </c>
      <c r="L19" s="85">
        <v>2085138.3257892882</v>
      </c>
      <c r="M19" s="85">
        <v>1912350.7282178767</v>
      </c>
      <c r="N19" s="85">
        <v>1775361.0756032947</v>
      </c>
      <c r="O19" s="85">
        <v>1972931.4846727066</v>
      </c>
      <c r="P19">
        <f t="shared" si="0"/>
        <v>23900399.730070207</v>
      </c>
      <c r="Q19" s="4"/>
    </row>
    <row r="20" spans="1:17">
      <c r="A20" s="160">
        <f t="shared" si="1"/>
        <v>9</v>
      </c>
      <c r="B20" s="122">
        <v>9200</v>
      </c>
      <c r="C20" s="4" t="s">
        <v>327</v>
      </c>
      <c r="D20" s="85">
        <v>295163.87517656403</v>
      </c>
      <c r="E20" s="85">
        <v>273890.73518406553</v>
      </c>
      <c r="F20" s="85">
        <v>311739.77787781204</v>
      </c>
      <c r="G20" s="85">
        <v>348756.78278199729</v>
      </c>
      <c r="H20" s="85">
        <v>333285.54284279287</v>
      </c>
      <c r="I20" s="85">
        <v>348756.78278199729</v>
      </c>
      <c r="J20" s="85">
        <v>336620.64558042708</v>
      </c>
      <c r="K20" s="85">
        <v>336620.64558042708</v>
      </c>
      <c r="L20" s="85">
        <v>336620.3094094267</v>
      </c>
      <c r="M20" s="85">
        <v>300199.30130742193</v>
      </c>
      <c r="N20" s="85">
        <v>286559.10855650099</v>
      </c>
      <c r="O20" s="85">
        <v>318754.4710784824</v>
      </c>
      <c r="P20">
        <f t="shared" si="0"/>
        <v>3826967.9781579156</v>
      </c>
      <c r="Q20" s="4"/>
    </row>
    <row r="21" spans="1:17">
      <c r="A21" s="160">
        <f t="shared" si="1"/>
        <v>10</v>
      </c>
      <c r="B21" s="122">
        <v>9210</v>
      </c>
      <c r="C21" s="4" t="s">
        <v>328</v>
      </c>
      <c r="D21" s="85">
        <v>684858.88360492943</v>
      </c>
      <c r="E21" s="85">
        <v>688915.69087941456</v>
      </c>
      <c r="F21" s="85">
        <v>709316.33410132083</v>
      </c>
      <c r="G21" s="85">
        <v>208930.2136277417</v>
      </c>
      <c r="H21" s="85">
        <v>175445.48509584501</v>
      </c>
      <c r="I21" s="85">
        <v>190749.5601261991</v>
      </c>
      <c r="J21" s="85">
        <v>207776.55482664966</v>
      </c>
      <c r="K21" s="85">
        <v>185986.46078597062</v>
      </c>
      <c r="L21" s="85">
        <v>178664.74735281381</v>
      </c>
      <c r="M21" s="85">
        <v>677498.8018131787</v>
      </c>
      <c r="N21" s="85">
        <v>662205.35764260951</v>
      </c>
      <c r="O21" s="85">
        <v>640733.36195854656</v>
      </c>
      <c r="P21">
        <f t="shared" si="0"/>
        <v>5211081.4518152196</v>
      </c>
      <c r="Q21" s="4"/>
    </row>
    <row r="22" spans="1:17">
      <c r="A22" s="160">
        <f t="shared" si="1"/>
        <v>11</v>
      </c>
      <c r="B22" s="122">
        <v>9220</v>
      </c>
      <c r="C22" s="4" t="s">
        <v>329</v>
      </c>
      <c r="D22" s="85">
        <f t="shared" ref="D22:O22" si="2">-(SUM(D12:D21)+SUM(D23:D28))</f>
        <v>-4320566.2070685495</v>
      </c>
      <c r="E22" s="85">
        <f t="shared" si="2"/>
        <v>-4056689.6340455078</v>
      </c>
      <c r="F22" s="85">
        <f t="shared" si="2"/>
        <v>-4522529.9078770373</v>
      </c>
      <c r="G22" s="85">
        <f t="shared" si="2"/>
        <v>-4460938.1926109893</v>
      </c>
      <c r="H22" s="85">
        <f t="shared" si="2"/>
        <v>-4224623.9717521379</v>
      </c>
      <c r="I22" s="85">
        <f t="shared" si="2"/>
        <v>-4387179.1926109893</v>
      </c>
      <c r="J22" s="85">
        <f t="shared" si="2"/>
        <v>-4321227.676415721</v>
      </c>
      <c r="K22" s="85">
        <f t="shared" si="2"/>
        <v>-4239186.676415721</v>
      </c>
      <c r="L22" s="85">
        <f t="shared" si="2"/>
        <v>-4224691.8450205224</v>
      </c>
      <c r="M22" s="85">
        <f t="shared" si="2"/>
        <v>-4360209.5921201799</v>
      </c>
      <c r="N22" s="85">
        <f t="shared" si="2"/>
        <v>-4167444.4118591975</v>
      </c>
      <c r="O22" s="85">
        <f t="shared" si="2"/>
        <v>-4473773.7294602152</v>
      </c>
      <c r="P22">
        <f t="shared" si="0"/>
        <v>-51759061.03725677</v>
      </c>
      <c r="Q22" s="4"/>
    </row>
    <row r="23" spans="1:17">
      <c r="A23" s="160">
        <f t="shared" si="1"/>
        <v>12</v>
      </c>
      <c r="B23" s="122">
        <v>9230</v>
      </c>
      <c r="C23" s="4" t="s">
        <v>330</v>
      </c>
      <c r="D23" s="85">
        <v>79428.763777402564</v>
      </c>
      <c r="E23" s="85">
        <v>102774.33626832673</v>
      </c>
      <c r="F23" s="85">
        <v>91421.137637183652</v>
      </c>
      <c r="G23" s="85">
        <v>81879.238881814061</v>
      </c>
      <c r="H23" s="85">
        <v>35861.245558563547</v>
      </c>
      <c r="I23" s="85">
        <v>64467.025191935492</v>
      </c>
      <c r="J23" s="85">
        <v>76508.588555390481</v>
      </c>
      <c r="K23" s="85">
        <v>58135.311122888736</v>
      </c>
      <c r="L23" s="85">
        <v>49650.814270366085</v>
      </c>
      <c r="M23" s="85">
        <v>69115.034730332321</v>
      </c>
      <c r="N23" s="85">
        <v>53331.303979115764</v>
      </c>
      <c r="O23" s="85">
        <v>32242.823607638926</v>
      </c>
      <c r="P23">
        <f t="shared" si="0"/>
        <v>794815.62358095846</v>
      </c>
      <c r="Q23" s="4"/>
    </row>
    <row r="24" spans="1:17">
      <c r="A24" s="160">
        <f t="shared" si="1"/>
        <v>13</v>
      </c>
      <c r="B24" s="122">
        <v>9240</v>
      </c>
      <c r="C24" s="4" t="s">
        <v>331</v>
      </c>
      <c r="D24" s="85">
        <v>6645.1732393260136</v>
      </c>
      <c r="E24" s="85">
        <v>6562.6323268229899</v>
      </c>
      <c r="F24" s="85">
        <v>6651.0774533820231</v>
      </c>
      <c r="G24" s="85">
        <v>0</v>
      </c>
      <c r="H24" s="85">
        <v>0</v>
      </c>
      <c r="I24" s="85">
        <v>0</v>
      </c>
      <c r="J24" s="85">
        <v>0</v>
      </c>
      <c r="K24" s="85">
        <v>0</v>
      </c>
      <c r="L24" s="85">
        <v>0</v>
      </c>
      <c r="M24" s="85">
        <v>6562.6323268229899</v>
      </c>
      <c r="N24" s="85">
        <v>6562.6323268229899</v>
      </c>
      <c r="O24" s="85">
        <v>6562.6323268229899</v>
      </c>
      <c r="P24">
        <f t="shared" si="0"/>
        <v>39546.78</v>
      </c>
      <c r="Q24" s="4"/>
    </row>
    <row r="25" spans="1:17">
      <c r="A25" s="160">
        <f t="shared" si="1"/>
        <v>14</v>
      </c>
      <c r="B25" s="122">
        <v>9250</v>
      </c>
      <c r="C25" t="s">
        <v>332</v>
      </c>
      <c r="D25" s="85">
        <v>107.8067606739862</v>
      </c>
      <c r="E25" s="85">
        <v>106.46767317700947</v>
      </c>
      <c r="F25" s="85">
        <v>107.90254661797596</v>
      </c>
      <c r="G25" s="85">
        <v>0</v>
      </c>
      <c r="H25" s="85">
        <v>0</v>
      </c>
      <c r="I25" s="85">
        <v>0</v>
      </c>
      <c r="J25" s="85">
        <v>0</v>
      </c>
      <c r="K25" s="85">
        <v>0</v>
      </c>
      <c r="L25" s="85">
        <v>0</v>
      </c>
      <c r="M25" s="85">
        <v>106.46767317700947</v>
      </c>
      <c r="N25" s="85">
        <v>106.46767317700947</v>
      </c>
      <c r="O25" s="85">
        <v>106.46767317700947</v>
      </c>
      <c r="P25">
        <f t="shared" si="0"/>
        <v>641.58000000000004</v>
      </c>
      <c r="Q25" s="4"/>
    </row>
    <row r="26" spans="1:17">
      <c r="A26" s="160">
        <f t="shared" si="1"/>
        <v>15</v>
      </c>
      <c r="B26" s="122">
        <v>9260</v>
      </c>
      <c r="C26" s="4" t="s">
        <v>333</v>
      </c>
      <c r="D26" s="85">
        <v>878696.15860867989</v>
      </c>
      <c r="E26" s="85">
        <v>810966.01924847031</v>
      </c>
      <c r="F26" s="85">
        <v>929715.04591738502</v>
      </c>
      <c r="G26" s="85">
        <v>1045558.2246691174</v>
      </c>
      <c r="H26" s="85">
        <v>1060603.1718007484</v>
      </c>
      <c r="I26" s="85">
        <v>1049192.1615661625</v>
      </c>
      <c r="J26" s="85">
        <v>1014397.0680729547</v>
      </c>
      <c r="K26" s="85">
        <v>1014397.0680729547</v>
      </c>
      <c r="L26" s="85">
        <v>1017086.1239622646</v>
      </c>
      <c r="M26" s="85">
        <v>892476.76363256783</v>
      </c>
      <c r="N26" s="85">
        <v>896658.59464055276</v>
      </c>
      <c r="O26" s="85">
        <v>967745.47787203174</v>
      </c>
      <c r="P26">
        <f t="shared" si="0"/>
        <v>11577491.878063891</v>
      </c>
      <c r="Q26" s="4"/>
    </row>
    <row r="27" spans="1:17">
      <c r="A27" s="160">
        <f t="shared" si="1"/>
        <v>16</v>
      </c>
      <c r="B27" s="122">
        <v>9310</v>
      </c>
      <c r="C27" s="4" t="s">
        <v>212</v>
      </c>
      <c r="D27" s="85">
        <v>97711.092975781605</v>
      </c>
      <c r="E27" s="85">
        <v>97416.210760367787</v>
      </c>
      <c r="F27" s="85">
        <v>110066.67569390996</v>
      </c>
      <c r="G27" s="85">
        <v>95882.460777098371</v>
      </c>
      <c r="H27" s="85">
        <v>95868.031512873058</v>
      </c>
      <c r="I27" s="85">
        <v>95868.031512873058</v>
      </c>
      <c r="J27" s="85">
        <v>95940.177833999551</v>
      </c>
      <c r="K27" s="85">
        <v>95868.031512873058</v>
      </c>
      <c r="L27" s="85">
        <v>95868.031512873058</v>
      </c>
      <c r="M27" s="85">
        <v>93821.759836026802</v>
      </c>
      <c r="N27" s="85">
        <v>93965.14054878075</v>
      </c>
      <c r="O27" s="85">
        <v>100010.65018513304</v>
      </c>
      <c r="P27">
        <f t="shared" si="0"/>
        <v>1168286.2946625899</v>
      </c>
      <c r="Q27" s="69"/>
    </row>
    <row r="28" spans="1:17">
      <c r="A28" s="160">
        <f t="shared" si="1"/>
        <v>17</v>
      </c>
      <c r="B28" s="122">
        <v>9320</v>
      </c>
      <c r="C28" s="4" t="s">
        <v>337</v>
      </c>
      <c r="D28" s="85">
        <v>298.58746099103342</v>
      </c>
      <c r="E28" s="85">
        <v>302.34400759997567</v>
      </c>
      <c r="F28" s="85">
        <v>298.24937988429343</v>
      </c>
      <c r="G28" s="85">
        <v>2.2444379693866385</v>
      </c>
      <c r="H28" s="85">
        <v>1.4543538660489996</v>
      </c>
      <c r="I28" s="85">
        <v>1.4543538660489996</v>
      </c>
      <c r="J28" s="85">
        <v>2.2444379693866385</v>
      </c>
      <c r="K28" s="85">
        <v>1.4543538660489996</v>
      </c>
      <c r="L28" s="85">
        <v>1.4483627069715579</v>
      </c>
      <c r="M28" s="85">
        <v>294.89966293250495</v>
      </c>
      <c r="N28" s="85">
        <v>299.22036703597445</v>
      </c>
      <c r="O28" s="85">
        <v>301.58912155621795</v>
      </c>
      <c r="P28">
        <f t="shared" si="0"/>
        <v>1805.1903002438921</v>
      </c>
      <c r="Q28" s="4"/>
    </row>
    <row r="29" spans="1:17">
      <c r="A29" s="160">
        <f t="shared" si="1"/>
        <v>18</v>
      </c>
      <c r="B29" s="4"/>
      <c r="C29" s="189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4"/>
      <c r="Q29" s="4"/>
    </row>
    <row r="30" spans="1:17" ht="15.75" thickBot="1">
      <c r="A30" s="160">
        <f t="shared" si="1"/>
        <v>19</v>
      </c>
      <c r="B30" s="4" t="s">
        <v>338</v>
      </c>
      <c r="C30" s="189"/>
      <c r="D30" s="177">
        <f t="shared" ref="D30:P30" si="3">SUM(D12:D29)</f>
        <v>4.602611625159625E-10</v>
      </c>
      <c r="E30" s="177">
        <f t="shared" si="3"/>
        <v>9.5099039754131809E-11</v>
      </c>
      <c r="F30" s="177">
        <f t="shared" si="3"/>
        <v>-3.0371438697329722E-10</v>
      </c>
      <c r="G30" s="177">
        <f t="shared" si="3"/>
        <v>2.7154145598728974E-10</v>
      </c>
      <c r="H30" s="177">
        <f t="shared" si="3"/>
        <v>1.5811951747934927E-10</v>
      </c>
      <c r="I30" s="177">
        <f t="shared" si="3"/>
        <v>3.909501611332189E-10</v>
      </c>
      <c r="J30" s="177">
        <f t="shared" si="3"/>
        <v>1.4057421893198807E-10</v>
      </c>
      <c r="K30" s="177">
        <f t="shared" si="3"/>
        <v>1.5811951747934927E-10</v>
      </c>
      <c r="L30" s="177">
        <f t="shared" si="3"/>
        <v>2.0404633538362305E-10</v>
      </c>
      <c r="M30" s="177">
        <f t="shared" si="3"/>
        <v>-7.0485839387401938E-12</v>
      </c>
      <c r="N30" s="177">
        <f t="shared" si="3"/>
        <v>2.1867663235752843E-10</v>
      </c>
      <c r="O30" s="177">
        <f t="shared" si="3"/>
        <v>2.5022472982527688E-10</v>
      </c>
      <c r="P30" s="177">
        <f t="shared" si="3"/>
        <v>-2.1100277081131935E-9</v>
      </c>
      <c r="Q30" s="178"/>
    </row>
    <row r="31" spans="1:17" ht="15.75" thickTop="1">
      <c r="A31" s="160">
        <f t="shared" si="1"/>
        <v>20</v>
      </c>
      <c r="B31" s="4"/>
      <c r="C31" s="189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>
      <c r="A32" s="160">
        <f t="shared" si="1"/>
        <v>21</v>
      </c>
      <c r="B32" s="190">
        <f t="shared" ref="B32:O32" si="4">B22</f>
        <v>9220</v>
      </c>
      <c r="C32" t="str">
        <f t="shared" si="4"/>
        <v>A&amp;G-Administrative expense transferred-Credit</v>
      </c>
      <c r="D32">
        <f t="shared" si="4"/>
        <v>-4320566.2070685495</v>
      </c>
      <c r="E32">
        <f t="shared" si="4"/>
        <v>-4056689.6340455078</v>
      </c>
      <c r="F32">
        <f t="shared" si="4"/>
        <v>-4522529.9078770373</v>
      </c>
      <c r="G32">
        <f t="shared" si="4"/>
        <v>-4460938.1926109893</v>
      </c>
      <c r="H32">
        <f t="shared" si="4"/>
        <v>-4224623.9717521379</v>
      </c>
      <c r="I32">
        <f t="shared" si="4"/>
        <v>-4387179.1926109893</v>
      </c>
      <c r="J32">
        <f t="shared" si="4"/>
        <v>-4321227.676415721</v>
      </c>
      <c r="K32">
        <f t="shared" si="4"/>
        <v>-4239186.676415721</v>
      </c>
      <c r="L32">
        <f t="shared" si="4"/>
        <v>-4224691.8450205224</v>
      </c>
      <c r="M32">
        <f t="shared" si="4"/>
        <v>-4360209.5921201799</v>
      </c>
      <c r="N32">
        <f t="shared" si="4"/>
        <v>-4167444.4118591975</v>
      </c>
      <c r="O32">
        <f t="shared" si="4"/>
        <v>-4473773.7294602152</v>
      </c>
      <c r="P32">
        <f>SUM(D32:O32)</f>
        <v>-51759061.03725677</v>
      </c>
      <c r="Q32" s="4"/>
    </row>
    <row r="33" spans="1:17">
      <c r="A33" s="160">
        <f t="shared" si="1"/>
        <v>22</v>
      </c>
      <c r="B33" s="4"/>
      <c r="C33" s="4" t="s">
        <v>351</v>
      </c>
      <c r="D33" s="192">
        <v>5.5573860000000003E-2</v>
      </c>
      <c r="E33" s="192">
        <f>D33</f>
        <v>5.5573860000000003E-2</v>
      </c>
      <c r="F33" s="192">
        <f t="shared" ref="F33:O33" si="5">E33</f>
        <v>5.5573860000000003E-2</v>
      </c>
      <c r="G33" s="192">
        <f t="shared" si="5"/>
        <v>5.5573860000000003E-2</v>
      </c>
      <c r="H33" s="192">
        <f t="shared" si="5"/>
        <v>5.5573860000000003E-2</v>
      </c>
      <c r="I33" s="192">
        <f t="shared" si="5"/>
        <v>5.5573860000000003E-2</v>
      </c>
      <c r="J33" s="192">
        <f t="shared" si="5"/>
        <v>5.5573860000000003E-2</v>
      </c>
      <c r="K33" s="192">
        <f t="shared" si="5"/>
        <v>5.5573860000000003E-2</v>
      </c>
      <c r="L33" s="192">
        <f t="shared" si="5"/>
        <v>5.5573860000000003E-2</v>
      </c>
      <c r="M33" s="192">
        <f t="shared" si="5"/>
        <v>5.5573860000000003E-2</v>
      </c>
      <c r="N33" s="192">
        <f t="shared" si="5"/>
        <v>5.5573860000000003E-2</v>
      </c>
      <c r="O33" s="192">
        <f t="shared" si="5"/>
        <v>5.5573860000000003E-2</v>
      </c>
      <c r="P33" s="4"/>
      <c r="Q33" s="218"/>
    </row>
    <row r="34" spans="1:17">
      <c r="A34" s="160">
        <f t="shared" si="1"/>
        <v>23</v>
      </c>
      <c r="B34" s="4"/>
      <c r="C34" s="4" t="s">
        <v>352</v>
      </c>
      <c r="D34">
        <f>D32*D33</f>
        <v>-240110.54151235858</v>
      </c>
      <c r="E34">
        <f t="shared" ref="E34:O34" si="6">E32*E33</f>
        <v>-225445.90178589631</v>
      </c>
      <c r="F34">
        <f t="shared" si="6"/>
        <v>-251334.44394617138</v>
      </c>
      <c r="G34">
        <f t="shared" si="6"/>
        <v>-247911.55458481616</v>
      </c>
      <c r="H34">
        <f t="shared" si="6"/>
        <v>-234778.66115879727</v>
      </c>
      <c r="I34">
        <f t="shared" si="6"/>
        <v>-243812.48224507616</v>
      </c>
      <c r="J34">
        <f t="shared" si="6"/>
        <v>-240147.3019172526</v>
      </c>
      <c r="K34">
        <f t="shared" si="6"/>
        <v>-235587.9668689926</v>
      </c>
      <c r="L34">
        <f t="shared" si="6"/>
        <v>-234782.43313831222</v>
      </c>
      <c r="M34">
        <f t="shared" si="6"/>
        <v>-242313.677443144</v>
      </c>
      <c r="N34">
        <f t="shared" si="6"/>
        <v>-231600.97230244539</v>
      </c>
      <c r="O34">
        <f t="shared" si="6"/>
        <v>-248624.87491269989</v>
      </c>
      <c r="P34">
        <f>SUM(D34:O34)</f>
        <v>-2876450.8118159622</v>
      </c>
      <c r="Q34" s="194"/>
    </row>
    <row r="35" spans="1:17">
      <c r="A35" s="4"/>
      <c r="B35" s="4"/>
      <c r="C35" s="18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197"/>
      <c r="Q35" s="4"/>
    </row>
    <row r="36" spans="1:17">
      <c r="A36" s="4"/>
      <c r="B36" s="4" t="s">
        <v>353</v>
      </c>
      <c r="C36" s="18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>
      <c r="A37" s="4"/>
      <c r="B37" s="4"/>
      <c r="C37" s="189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4"/>
    </row>
    <row r="38" spans="1:17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>
      <c r="A39" s="4"/>
      <c r="B39" s="4"/>
      <c r="C39" s="8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>
      <c r="A41" s="4"/>
      <c r="B41" s="4" t="s">
        <v>341</v>
      </c>
      <c r="C41" s="4"/>
      <c r="D41">
        <f>D22</f>
        <v>-4320566.2070685495</v>
      </c>
      <c r="E41">
        <f t="shared" ref="E41:O41" si="7">E22</f>
        <v>-4056689.6340455078</v>
      </c>
      <c r="F41">
        <f t="shared" si="7"/>
        <v>-4522529.9078770373</v>
      </c>
      <c r="G41">
        <f t="shared" si="7"/>
        <v>-4460938.1926109893</v>
      </c>
      <c r="H41">
        <f t="shared" si="7"/>
        <v>-4224623.9717521379</v>
      </c>
      <c r="I41">
        <f t="shared" si="7"/>
        <v>-4387179.1926109893</v>
      </c>
      <c r="J41">
        <f t="shared" si="7"/>
        <v>-4321227.676415721</v>
      </c>
      <c r="K41">
        <f t="shared" si="7"/>
        <v>-4239186.676415721</v>
      </c>
      <c r="L41">
        <f t="shared" si="7"/>
        <v>-4224691.8450205224</v>
      </c>
      <c r="M41">
        <f t="shared" si="7"/>
        <v>-4360209.5921201799</v>
      </c>
      <c r="N41">
        <f t="shared" si="7"/>
        <v>-4167444.4118591975</v>
      </c>
      <c r="O41">
        <f t="shared" si="7"/>
        <v>-4473773.7294602152</v>
      </c>
      <c r="P41" s="4"/>
      <c r="Q41" s="4"/>
    </row>
    <row r="42" spans="1:17">
      <c r="A42" s="4"/>
      <c r="B42" s="4" t="s">
        <v>343</v>
      </c>
      <c r="C42" s="4"/>
      <c r="D42">
        <v>4320566.2070685504</v>
      </c>
      <c r="E42">
        <v>4056689.6340455078</v>
      </c>
      <c r="F42">
        <v>4522529.9078770373</v>
      </c>
      <c r="G42">
        <v>4460938.1926109893</v>
      </c>
      <c r="H42">
        <v>4224623.9717521379</v>
      </c>
      <c r="I42">
        <v>4387179.1926109893</v>
      </c>
      <c r="J42">
        <v>4321227.676415721</v>
      </c>
      <c r="K42">
        <v>4239186.676415721</v>
      </c>
      <c r="L42">
        <v>4224691.8450205224</v>
      </c>
      <c r="M42">
        <v>4360209.5921201799</v>
      </c>
      <c r="N42">
        <v>4167444.4118591975</v>
      </c>
      <c r="O42">
        <v>4473773.7294602161</v>
      </c>
      <c r="P42" s="4"/>
      <c r="Q42" s="4"/>
    </row>
    <row r="43" spans="1:17">
      <c r="A43" s="4"/>
      <c r="B43" s="4"/>
      <c r="C43" s="4"/>
      <c r="D43">
        <f>D41+D42</f>
        <v>0</v>
      </c>
      <c r="E43">
        <f t="shared" ref="E43:O43" si="8">E41+E42</f>
        <v>0</v>
      </c>
      <c r="F43">
        <f t="shared" si="8"/>
        <v>0</v>
      </c>
      <c r="G43">
        <f t="shared" si="8"/>
        <v>0</v>
      </c>
      <c r="H43">
        <f t="shared" si="8"/>
        <v>0</v>
      </c>
      <c r="I43">
        <f t="shared" si="8"/>
        <v>0</v>
      </c>
      <c r="J43">
        <f t="shared" si="8"/>
        <v>0</v>
      </c>
      <c r="K43">
        <f t="shared" si="8"/>
        <v>0</v>
      </c>
      <c r="L43">
        <f t="shared" si="8"/>
        <v>0</v>
      </c>
      <c r="M43">
        <f t="shared" si="8"/>
        <v>0</v>
      </c>
      <c r="N43">
        <f t="shared" si="8"/>
        <v>0</v>
      </c>
      <c r="O43">
        <f t="shared" si="8"/>
        <v>0</v>
      </c>
      <c r="P43" s="4"/>
      <c r="Q43" s="4"/>
    </row>
    <row r="44" spans="1:17">
      <c r="A44" s="4"/>
    </row>
    <row r="45" spans="1:17">
      <c r="A45" s="4"/>
    </row>
  </sheetData>
  <mergeCells count="4">
    <mergeCell ref="A1:P1"/>
    <mergeCell ref="A2:P2"/>
    <mergeCell ref="A3:P3"/>
    <mergeCell ref="A4:P4"/>
  </mergeCells>
  <printOptions horizontalCentered="1"/>
  <pageMargins left="0.5" right="0.5" top="0.75" bottom="0.5" header="0.5" footer="0.25"/>
  <pageSetup scale="52" fitToHeight="2" orientation="landscape" verticalDpi="300" r:id="rId1"/>
  <headerFooter alignWithMargins="0">
    <oddHeader>&amp;RCASE NO. 2021-00214
FR_16(8)(c) 
ATTACHMENT 1</oddHeader>
    <oddFooter>&amp;RSchedule &amp;A
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C8BBD-07CC-42A2-8DB1-757DD140717F}">
  <sheetPr>
    <pageSetUpPr fitToPage="1"/>
  </sheetPr>
  <dimension ref="A1:Q96"/>
  <sheetViews>
    <sheetView view="pageBreakPreview" zoomScale="80" zoomScaleNormal="100" zoomScaleSheetLayoutView="80" workbookViewId="0">
      <selection activeCell="A12" sqref="A12"/>
    </sheetView>
  </sheetViews>
  <sheetFormatPr defaultColWidth="7.109375" defaultRowHeight="15"/>
  <cols>
    <col min="1" max="1" width="4.6640625" customWidth="1"/>
    <col min="2" max="2" width="7.21875" customWidth="1"/>
    <col min="3" max="3" width="64.33203125" customWidth="1"/>
    <col min="4" max="5" width="11.109375" customWidth="1"/>
    <col min="6" max="6" width="11.77734375" bestFit="1" customWidth="1"/>
    <col min="7" max="7" width="11.33203125" bestFit="1" customWidth="1"/>
    <col min="8" max="8" width="11.109375" customWidth="1"/>
    <col min="9" max="9" width="12" bestFit="1" customWidth="1"/>
    <col min="10" max="13" width="11.33203125" bestFit="1" customWidth="1"/>
    <col min="14" max="14" width="10" customWidth="1"/>
    <col min="15" max="15" width="10.77734375" customWidth="1"/>
    <col min="16" max="16" width="12.44140625" customWidth="1"/>
    <col min="17" max="17" width="12.5546875" customWidth="1"/>
    <col min="19" max="19" width="8.109375" customWidth="1"/>
    <col min="20" max="20" width="8.77734375" customWidth="1"/>
  </cols>
  <sheetData>
    <row r="1" spans="1:17">
      <c r="A1" s="237" t="s">
        <v>404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4"/>
    </row>
    <row r="2" spans="1:17">
      <c r="A2" s="237" t="s">
        <v>405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4"/>
    </row>
    <row r="3" spans="1:17" ht="15.75">
      <c r="A3" s="242" t="s">
        <v>359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4"/>
    </row>
    <row r="4" spans="1:17">
      <c r="A4" s="237" t="s">
        <v>407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4"/>
    </row>
    <row r="5" spans="1:17">
      <c r="A5" s="4"/>
      <c r="B5" s="130"/>
      <c r="C5" s="130"/>
      <c r="D5" s="130"/>
      <c r="E5" s="130"/>
      <c r="F5" s="130"/>
      <c r="G5" s="182"/>
      <c r="H5" s="130"/>
      <c r="I5" s="130"/>
      <c r="J5" s="130"/>
      <c r="K5" s="130"/>
      <c r="L5" s="130"/>
      <c r="M5" s="130"/>
      <c r="N5" s="130"/>
      <c r="O5" s="130"/>
      <c r="P5" s="4"/>
      <c r="Q5" s="4"/>
    </row>
    <row r="6" spans="1:17">
      <c r="A6" s="50" t="str">
        <f>'C.2.1 F'!A6</f>
        <v>Data:________Base Period___X____Forecasted Period</v>
      </c>
      <c r="B6" s="4"/>
      <c r="C6" s="7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8" t="s">
        <v>240</v>
      </c>
      <c r="Q6" s="4"/>
    </row>
    <row r="7" spans="1:17" ht="15.75">
      <c r="A7" s="50" t="str">
        <f>'C.2.1 F'!A7</f>
        <v>Type of Filing:___X____Original________Updated ________Revised</v>
      </c>
      <c r="B7" s="4"/>
      <c r="C7" s="7"/>
      <c r="D7" s="4"/>
      <c r="E7" s="4"/>
      <c r="F7" s="168"/>
      <c r="G7" s="4"/>
      <c r="H7" s="4"/>
      <c r="I7" s="4"/>
      <c r="J7" s="4"/>
      <c r="K7" s="4"/>
      <c r="L7" s="4"/>
      <c r="M7" s="4"/>
      <c r="N7" s="4"/>
      <c r="O7" s="4"/>
      <c r="P7" s="52" t="s">
        <v>241</v>
      </c>
      <c r="Q7" s="4"/>
    </row>
    <row r="8" spans="1:17">
      <c r="A8" s="53" t="str">
        <f>'C.2.1 F'!A8</f>
        <v>Workpaper Reference No(s).____________________</v>
      </c>
      <c r="B8" s="2"/>
      <c r="C8" s="10"/>
      <c r="D8" s="11"/>
      <c r="E8" s="11"/>
      <c r="F8" s="11"/>
      <c r="G8" s="11"/>
      <c r="H8" s="11"/>
      <c r="I8" s="11"/>
      <c r="J8" s="11"/>
      <c r="K8" s="11"/>
      <c r="L8" s="11"/>
      <c r="M8" s="2"/>
      <c r="N8" s="2"/>
      <c r="O8" s="2"/>
      <c r="P8" s="55" t="str">
        <f>'C.1'!J9</f>
        <v>Witness: Christian, Densman</v>
      </c>
      <c r="Q8" s="4"/>
    </row>
    <row r="9" spans="1:17">
      <c r="A9" s="212" t="s">
        <v>22</v>
      </c>
      <c r="B9" s="213" t="s">
        <v>242</v>
      </c>
      <c r="C9" s="214"/>
      <c r="D9" s="205" t="s">
        <v>21</v>
      </c>
      <c r="E9" s="160" t="s">
        <v>21</v>
      </c>
      <c r="F9" s="160" t="s">
        <v>21</v>
      </c>
      <c r="G9" s="160" t="s">
        <v>21</v>
      </c>
      <c r="H9" s="160" t="s">
        <v>21</v>
      </c>
      <c r="I9" s="160" t="s">
        <v>21</v>
      </c>
      <c r="J9" s="160" t="s">
        <v>21</v>
      </c>
      <c r="K9" s="160" t="s">
        <v>21</v>
      </c>
      <c r="L9" s="160" t="s">
        <v>21</v>
      </c>
      <c r="M9" s="160" t="s">
        <v>21</v>
      </c>
      <c r="N9" s="160" t="s">
        <v>21</v>
      </c>
      <c r="O9" s="160" t="s">
        <v>21</v>
      </c>
      <c r="P9" s="185"/>
      <c r="Q9" s="4"/>
    </row>
    <row r="10" spans="1:17">
      <c r="A10" s="215" t="s">
        <v>25</v>
      </c>
      <c r="B10" s="2" t="s">
        <v>25</v>
      </c>
      <c r="C10" s="216" t="s">
        <v>245</v>
      </c>
      <c r="D10" s="163">
        <f>'C.2.2-F 09'!D10</f>
        <v>44562</v>
      </c>
      <c r="E10" s="163">
        <f>'C.2.2-F 09'!F10</f>
        <v>44621</v>
      </c>
      <c r="F10" s="163">
        <f>'C.2.2-F 09'!F10</f>
        <v>44621</v>
      </c>
      <c r="G10" s="163">
        <f>'C.2.2-F 09'!G10</f>
        <v>44652</v>
      </c>
      <c r="H10" s="163">
        <f>'C.2.2-F 09'!H10</f>
        <v>44682</v>
      </c>
      <c r="I10" s="163">
        <f>'C.2.2-F 09'!I10</f>
        <v>44713</v>
      </c>
      <c r="J10" s="163">
        <f>'C.2.2-F 09'!J10</f>
        <v>44743</v>
      </c>
      <c r="K10" s="163">
        <f>'C.2.2-F 09'!K10</f>
        <v>44774</v>
      </c>
      <c r="L10" s="163">
        <f>'C.2.2-F 09'!L10</f>
        <v>44805</v>
      </c>
      <c r="M10" s="163">
        <f>'C.2.2-F 09'!M10</f>
        <v>44835</v>
      </c>
      <c r="N10" s="163">
        <f>'C.2.2-F 09'!N10</f>
        <v>44866</v>
      </c>
      <c r="O10" s="163">
        <f>'C.2.2-F 09'!O10</f>
        <v>44896</v>
      </c>
      <c r="P10" s="186" t="str">
        <f>'C.2.2 B 09'!P10</f>
        <v>Total</v>
      </c>
      <c r="Q10" s="3"/>
    </row>
    <row r="11" spans="1:17">
      <c r="A11" s="4"/>
      <c r="B11" s="4"/>
      <c r="C11" s="4"/>
      <c r="D11" s="13" t="s">
        <v>247</v>
      </c>
      <c r="E11" s="13" t="s">
        <v>247</v>
      </c>
      <c r="F11" s="13" t="s">
        <v>247</v>
      </c>
      <c r="G11" s="13" t="s">
        <v>247</v>
      </c>
      <c r="H11" s="13" t="s">
        <v>247</v>
      </c>
      <c r="I11" s="13" t="s">
        <v>247</v>
      </c>
      <c r="J11" s="13" t="s">
        <v>247</v>
      </c>
      <c r="K11" s="13" t="s">
        <v>247</v>
      </c>
      <c r="L11" s="13" t="s">
        <v>247</v>
      </c>
      <c r="M11" s="13" t="s">
        <v>247</v>
      </c>
      <c r="N11" s="13" t="s">
        <v>247</v>
      </c>
      <c r="O11" s="13" t="s">
        <v>247</v>
      </c>
      <c r="P11" s="13" t="s">
        <v>247</v>
      </c>
      <c r="Q11" s="13"/>
    </row>
    <row r="12" spans="1:17">
      <c r="A12" s="3">
        <v>1</v>
      </c>
      <c r="B12" s="122">
        <v>4030</v>
      </c>
      <c r="C12" s="4" t="s">
        <v>71</v>
      </c>
      <c r="D12" s="112">
        <v>0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31">
        <f t="shared" ref="P12:P57" si="0">SUM(D12:O12)</f>
        <v>0</v>
      </c>
      <c r="Q12" s="4"/>
    </row>
    <row r="13" spans="1:17">
      <c r="A13" s="160">
        <f>A12+1</f>
        <v>2</v>
      </c>
      <c r="B13" s="122">
        <v>4060</v>
      </c>
      <c r="C13" s="4" t="s">
        <v>249</v>
      </c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31"/>
      <c r="Q13" s="4"/>
    </row>
    <row r="14" spans="1:17">
      <c r="A14" s="160">
        <f t="shared" ref="A14:A63" si="1">A13+1</f>
        <v>3</v>
      </c>
      <c r="B14" s="122">
        <v>4081</v>
      </c>
      <c r="C14" s="4" t="s">
        <v>250</v>
      </c>
      <c r="D14" s="112">
        <v>0</v>
      </c>
      <c r="E14" s="112">
        <v>0</v>
      </c>
      <c r="F14" s="112">
        <v>0</v>
      </c>
      <c r="G14" s="112">
        <v>0</v>
      </c>
      <c r="H14" s="112">
        <v>0</v>
      </c>
      <c r="I14" s="112">
        <v>0</v>
      </c>
      <c r="J14" s="112">
        <v>0</v>
      </c>
      <c r="K14" s="112">
        <v>0</v>
      </c>
      <c r="L14" s="112">
        <v>0</v>
      </c>
      <c r="M14" s="112">
        <v>0</v>
      </c>
      <c r="N14" s="112">
        <v>0</v>
      </c>
      <c r="O14" s="112">
        <v>0</v>
      </c>
      <c r="P14" s="31">
        <f t="shared" si="0"/>
        <v>0</v>
      </c>
      <c r="Q14" s="201"/>
    </row>
    <row r="15" spans="1:17">
      <c r="A15" s="160">
        <f t="shared" si="1"/>
        <v>4</v>
      </c>
      <c r="B15" s="122">
        <v>8170</v>
      </c>
      <c r="C15" s="4" t="s">
        <v>279</v>
      </c>
      <c r="D15" s="85">
        <v>-2.9994199946126128</v>
      </c>
      <c r="E15" s="85">
        <v>49.740269527267756</v>
      </c>
      <c r="F15" s="85">
        <v>53.040223785936604</v>
      </c>
      <c r="G15" s="85">
        <v>72.859574105338893</v>
      </c>
      <c r="H15" s="85">
        <v>71.826680658907193</v>
      </c>
      <c r="I15" s="85">
        <v>70.184426980033876</v>
      </c>
      <c r="J15" s="85">
        <v>70.121198732735763</v>
      </c>
      <c r="K15" s="85">
        <v>69.992469222667054</v>
      </c>
      <c r="L15" s="85">
        <v>70.360777764966343</v>
      </c>
      <c r="M15" s="85">
        <v>53.875893122251824</v>
      </c>
      <c r="N15" s="85">
        <v>52.257041898454396</v>
      </c>
      <c r="O15" s="85">
        <v>53.415991660701941</v>
      </c>
      <c r="P15">
        <f t="shared" si="0"/>
        <v>684.67512746464911</v>
      </c>
      <c r="Q15" s="201"/>
    </row>
    <row r="16" spans="1:17">
      <c r="A16" s="160">
        <f t="shared" si="1"/>
        <v>5</v>
      </c>
      <c r="B16" s="122">
        <v>8180</v>
      </c>
      <c r="C16" s="4" t="s">
        <v>280</v>
      </c>
      <c r="D16" s="85">
        <v>-2.0998137509039445</v>
      </c>
      <c r="E16" s="85">
        <v>34.821832925907017</v>
      </c>
      <c r="F16" s="85">
        <v>37.132042680510494</v>
      </c>
      <c r="G16" s="85">
        <v>51.007039983126845</v>
      </c>
      <c r="H16" s="85">
        <v>50.283938894939297</v>
      </c>
      <c r="I16" s="85">
        <v>49.134240998824509</v>
      </c>
      <c r="J16" s="85">
        <v>49.089976593252572</v>
      </c>
      <c r="K16" s="85">
        <v>48.999856504743832</v>
      </c>
      <c r="L16" s="85">
        <v>49.257699468745045</v>
      </c>
      <c r="M16" s="85">
        <v>37.717072441849496</v>
      </c>
      <c r="N16" s="85">
        <v>36.583757978885615</v>
      </c>
      <c r="O16" s="85">
        <v>37.39510772375138</v>
      </c>
      <c r="P16">
        <f t="shared" si="0"/>
        <v>479.32275244363217</v>
      </c>
      <c r="Q16" s="201"/>
    </row>
    <row r="17" spans="1:17">
      <c r="A17" s="160">
        <f t="shared" si="1"/>
        <v>6</v>
      </c>
      <c r="B17" s="122">
        <v>8190</v>
      </c>
      <c r="C17" s="4" t="s">
        <v>281</v>
      </c>
      <c r="D17" s="85">
        <v>-2.5999291273241405</v>
      </c>
      <c r="E17" s="85">
        <v>43.115394235277527</v>
      </c>
      <c r="F17" s="85">
        <v>45.975829656579229</v>
      </c>
      <c r="G17" s="85">
        <v>63.155453141322376</v>
      </c>
      <c r="H17" s="85">
        <v>62.260130124998078</v>
      </c>
      <c r="I17" s="85">
        <v>60.836607183287001</v>
      </c>
      <c r="J17" s="85">
        <v>60.78180026657801</v>
      </c>
      <c r="K17" s="85">
        <v>60.670216159192265</v>
      </c>
      <c r="L17" s="85">
        <v>60.989469917814326</v>
      </c>
      <c r="M17" s="85">
        <v>46.70019671827783</v>
      </c>
      <c r="N17" s="85">
        <v>45.296959273333457</v>
      </c>
      <c r="O17" s="85">
        <v>46.301549243856059</v>
      </c>
      <c r="P17">
        <f t="shared" si="0"/>
        <v>593.48367679319199</v>
      </c>
      <c r="Q17" s="201"/>
    </row>
    <row r="18" spans="1:17">
      <c r="A18" s="160">
        <f t="shared" si="1"/>
        <v>7</v>
      </c>
      <c r="B18" s="122">
        <v>8210</v>
      </c>
      <c r="C18" s="4" t="s">
        <v>283</v>
      </c>
      <c r="D18" s="85">
        <v>-14.964599413217073</v>
      </c>
      <c r="E18" s="85">
        <v>248.16238123302404</v>
      </c>
      <c r="F18" s="85">
        <v>264.62639549298666</v>
      </c>
      <c r="G18" s="85">
        <v>363.50839224328723</v>
      </c>
      <c r="H18" s="85">
        <v>358.35511704669921</v>
      </c>
      <c r="I18" s="85">
        <v>350.16164348068884</v>
      </c>
      <c r="J18" s="85">
        <v>349.8461873611339</v>
      </c>
      <c r="K18" s="85">
        <v>349.20393467418177</v>
      </c>
      <c r="L18" s="85">
        <v>351.04148653616653</v>
      </c>
      <c r="M18" s="85">
        <v>268.79568718348941</v>
      </c>
      <c r="N18" s="85">
        <v>260.71897231286874</v>
      </c>
      <c r="O18" s="85">
        <v>266.50116319084799</v>
      </c>
      <c r="P18">
        <f t="shared" si="0"/>
        <v>3415.9567613421573</v>
      </c>
      <c r="Q18" s="201"/>
    </row>
    <row r="19" spans="1:17">
      <c r="A19" s="160">
        <f t="shared" si="1"/>
        <v>8</v>
      </c>
      <c r="B19" s="122">
        <v>8240</v>
      </c>
      <c r="C19" s="4" t="s">
        <v>284</v>
      </c>
      <c r="D19" s="85">
        <v>0</v>
      </c>
      <c r="E19" s="85">
        <v>0</v>
      </c>
      <c r="F19" s="85">
        <v>0</v>
      </c>
      <c r="G19" s="85">
        <v>0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>
        <f t="shared" si="0"/>
        <v>0</v>
      </c>
      <c r="Q19" s="201"/>
    </row>
    <row r="20" spans="1:17">
      <c r="A20" s="160">
        <f t="shared" si="1"/>
        <v>9</v>
      </c>
      <c r="B20" s="122">
        <v>8250</v>
      </c>
      <c r="C20" s="4" t="s">
        <v>285</v>
      </c>
      <c r="D20" s="85">
        <v>-81.584154457249866</v>
      </c>
      <c r="E20" s="85">
        <v>1352.9341803237401</v>
      </c>
      <c r="F20" s="85">
        <v>1442.6928598099953</v>
      </c>
      <c r="G20" s="85">
        <v>1981.778729946463</v>
      </c>
      <c r="H20" s="85">
        <v>1953.6840521011059</v>
      </c>
      <c r="I20" s="85">
        <v>1909.0147900318264</v>
      </c>
      <c r="J20" s="85">
        <v>1907.2949831682008</v>
      </c>
      <c r="K20" s="85">
        <v>1903.7935434726883</v>
      </c>
      <c r="L20" s="85">
        <v>1913.811527301842</v>
      </c>
      <c r="M20" s="85">
        <v>1465.4230464232687</v>
      </c>
      <c r="N20" s="85">
        <v>1421.3903305906015</v>
      </c>
      <c r="O20" s="85">
        <v>1452.9137373096423</v>
      </c>
      <c r="P20">
        <f t="shared" si="0"/>
        <v>18623.147626022124</v>
      </c>
      <c r="Q20" s="201"/>
    </row>
    <row r="21" spans="1:17">
      <c r="A21" s="160">
        <f t="shared" si="1"/>
        <v>10</v>
      </c>
      <c r="B21" s="122">
        <v>8500</v>
      </c>
      <c r="C21" s="4" t="s">
        <v>153</v>
      </c>
      <c r="D21" s="85">
        <v>4671.5487365951985</v>
      </c>
      <c r="E21" s="85">
        <v>5194.3492363827645</v>
      </c>
      <c r="F21" s="85">
        <v>4691.6015151283354</v>
      </c>
      <c r="G21" s="85">
        <v>9661.1592707280524</v>
      </c>
      <c r="H21" s="85">
        <v>9675.2435950747567</v>
      </c>
      <c r="I21" s="85">
        <v>8763.7329262834428</v>
      </c>
      <c r="J21" s="85">
        <v>9238.8839485337739</v>
      </c>
      <c r="K21" s="85">
        <v>8650.715595867794</v>
      </c>
      <c r="L21" s="85">
        <v>11644.979037982863</v>
      </c>
      <c r="M21" s="85">
        <v>4458.0795713997013</v>
      </c>
      <c r="N21" s="85">
        <v>5070.7081987428328</v>
      </c>
      <c r="O21" s="85">
        <v>5121.6427417511704</v>
      </c>
      <c r="P21">
        <f t="shared" si="0"/>
        <v>86842.644374470707</v>
      </c>
      <c r="Q21" s="201"/>
    </row>
    <row r="22" spans="1:17">
      <c r="A22" s="160">
        <f t="shared" si="1"/>
        <v>11</v>
      </c>
      <c r="B22" s="122">
        <v>8560</v>
      </c>
      <c r="C22" s="4" t="s">
        <v>292</v>
      </c>
      <c r="D22" s="85">
        <v>-2.699859674323914</v>
      </c>
      <c r="E22" s="85">
        <v>44.772572073227536</v>
      </c>
      <c r="F22" s="85">
        <v>47.742950828485561</v>
      </c>
      <c r="G22" s="85">
        <v>65.582888147955146</v>
      </c>
      <c r="H22" s="85">
        <v>64.65315260944999</v>
      </c>
      <c r="I22" s="85">
        <v>63.174915320052719</v>
      </c>
      <c r="J22" s="85">
        <v>63.118001851627128</v>
      </c>
      <c r="K22" s="85">
        <v>63.002128911607429</v>
      </c>
      <c r="L22" s="85">
        <v>63.33365346730443</v>
      </c>
      <c r="M22" s="85">
        <v>48.495159570922056</v>
      </c>
      <c r="N22" s="85">
        <v>47.037987469078701</v>
      </c>
      <c r="O22" s="85">
        <v>48.081189732609516</v>
      </c>
      <c r="P22">
        <f t="shared" si="0"/>
        <v>616.29474030799634</v>
      </c>
    </row>
    <row r="23" spans="1:17">
      <c r="A23" s="160">
        <f t="shared" si="1"/>
        <v>12</v>
      </c>
      <c r="B23" s="122">
        <v>8570</v>
      </c>
      <c r="C23" s="4" t="s">
        <v>293</v>
      </c>
      <c r="D23" s="85">
        <v>0.95708126624975609</v>
      </c>
      <c r="E23" s="85">
        <v>105.16892439846806</v>
      </c>
      <c r="F23" s="85">
        <v>111.98921226060892</v>
      </c>
      <c r="G23" s="85">
        <v>149.5236413386078</v>
      </c>
      <c r="H23" s="85">
        <v>147.28656142198815</v>
      </c>
      <c r="I23" s="85">
        <v>144.1726249953021</v>
      </c>
      <c r="J23" s="85">
        <v>144.04615143373596</v>
      </c>
      <c r="K23" s="85">
        <v>143.78865766611193</v>
      </c>
      <c r="L23" s="85">
        <v>144.53072339575303</v>
      </c>
      <c r="M23" s="85">
        <v>114.05815132190908</v>
      </c>
      <c r="N23" s="85">
        <v>108.95850734303392</v>
      </c>
      <c r="O23" s="85">
        <v>112.66736127730947</v>
      </c>
      <c r="P23">
        <f t="shared" si="0"/>
        <v>1427.1475981190783</v>
      </c>
    </row>
    <row r="24" spans="1:17">
      <c r="A24" s="160">
        <f t="shared" si="1"/>
        <v>13</v>
      </c>
      <c r="B24" s="122">
        <v>8600</v>
      </c>
      <c r="C24" s="4" t="s">
        <v>293</v>
      </c>
      <c r="D24" s="85">
        <v>30.58411753610126</v>
      </c>
      <c r="E24" s="85">
        <v>24.705216607633137</v>
      </c>
      <c r="F24" s="85">
        <v>20.663760400729352</v>
      </c>
      <c r="G24" s="85">
        <v>3691.0276025401877</v>
      </c>
      <c r="H24" s="85">
        <v>3751.0846100643425</v>
      </c>
      <c r="I24" s="85">
        <v>3854.5993754322717</v>
      </c>
      <c r="J24" s="85">
        <v>4969.0545553622696</v>
      </c>
      <c r="K24" s="85">
        <v>4325.1419948441717</v>
      </c>
      <c r="L24" s="85">
        <v>4313.8452832561352</v>
      </c>
      <c r="M24" s="85">
        <v>42.656613501561409</v>
      </c>
      <c r="N24" s="85">
        <v>22.743277513465923</v>
      </c>
      <c r="O24" s="85">
        <v>23.647014440508872</v>
      </c>
      <c r="P24">
        <f t="shared" ref="P24" si="2">SUM(D24:O24)</f>
        <v>25069.753421499379</v>
      </c>
    </row>
    <row r="25" spans="1:17">
      <c r="A25" s="160">
        <f t="shared" si="1"/>
        <v>14</v>
      </c>
      <c r="B25" s="122">
        <v>8650</v>
      </c>
      <c r="C25" s="198" t="s">
        <v>361</v>
      </c>
      <c r="D25" s="85">
        <v>0</v>
      </c>
      <c r="E25" s="85">
        <v>0</v>
      </c>
      <c r="F25" s="85">
        <v>0</v>
      </c>
      <c r="G25" s="85">
        <v>0</v>
      </c>
      <c r="H25" s="85">
        <v>0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0</v>
      </c>
      <c r="P25">
        <f t="shared" si="0"/>
        <v>0</v>
      </c>
    </row>
    <row r="26" spans="1:17">
      <c r="A26" s="160">
        <f t="shared" si="1"/>
        <v>15</v>
      </c>
      <c r="B26" s="122">
        <v>8700</v>
      </c>
      <c r="C26" s="4" t="s">
        <v>297</v>
      </c>
      <c r="D26" s="85">
        <v>257910.95091241688</v>
      </c>
      <c r="E26" s="85">
        <v>209571.70048834904</v>
      </c>
      <c r="F26" s="85">
        <v>174849.38143388851</v>
      </c>
      <c r="G26" s="85">
        <v>285806.84727841674</v>
      </c>
      <c r="H26" s="85">
        <v>251735.51368854716</v>
      </c>
      <c r="I26" s="85">
        <v>233617.55148095393</v>
      </c>
      <c r="J26" s="85">
        <v>245681.35321148491</v>
      </c>
      <c r="K26" s="85">
        <v>307865.32067933213</v>
      </c>
      <c r="L26" s="85">
        <v>219760.54932104688</v>
      </c>
      <c r="M26" s="85">
        <v>180797.5596150026</v>
      </c>
      <c r="N26" s="85">
        <v>149318.80401983683</v>
      </c>
      <c r="O26" s="85">
        <v>174250.71906173188</v>
      </c>
      <c r="P26">
        <f t="shared" si="0"/>
        <v>2691166.2511910074</v>
      </c>
    </row>
    <row r="27" spans="1:17">
      <c r="A27" s="160">
        <f t="shared" si="1"/>
        <v>16</v>
      </c>
      <c r="B27" s="122">
        <v>8711</v>
      </c>
      <c r="C27" s="4" t="s">
        <v>299</v>
      </c>
      <c r="D27" s="85">
        <v>0</v>
      </c>
      <c r="E27" s="85">
        <v>0</v>
      </c>
      <c r="F27" s="85">
        <v>0</v>
      </c>
      <c r="G27" s="85">
        <v>0</v>
      </c>
      <c r="H27" s="85">
        <v>0</v>
      </c>
      <c r="I27" s="85">
        <v>0</v>
      </c>
      <c r="J27" s="85">
        <v>0</v>
      </c>
      <c r="K27" s="85">
        <v>0</v>
      </c>
      <c r="L27" s="85">
        <v>0</v>
      </c>
      <c r="M27" s="85">
        <v>0</v>
      </c>
      <c r="N27" s="85">
        <v>0</v>
      </c>
      <c r="O27" s="85">
        <v>0</v>
      </c>
      <c r="P27">
        <f t="shared" si="0"/>
        <v>0</v>
      </c>
    </row>
    <row r="28" spans="1:17">
      <c r="A28" s="160">
        <f t="shared" si="1"/>
        <v>17</v>
      </c>
      <c r="B28" s="122">
        <v>8740</v>
      </c>
      <c r="C28" s="4" t="s">
        <v>301</v>
      </c>
      <c r="D28" s="85">
        <v>29939.143524323066</v>
      </c>
      <c r="E28" s="85">
        <v>9327.2517222790448</v>
      </c>
      <c r="F28" s="85">
        <v>6609.6555363539346</v>
      </c>
      <c r="G28" s="85">
        <v>4813.1259604361258</v>
      </c>
      <c r="H28" s="85">
        <v>6981.8994733965537</v>
      </c>
      <c r="I28" s="85">
        <v>6907.9736083717962</v>
      </c>
      <c r="J28" s="85">
        <v>7176.7993450820186</v>
      </c>
      <c r="K28" s="85">
        <v>5778.4338895302863</v>
      </c>
      <c r="L28" s="85">
        <v>9129.7494141597581</v>
      </c>
      <c r="M28" s="85">
        <v>3393.7529091412139</v>
      </c>
      <c r="N28" s="85">
        <v>6746.4265876590289</v>
      </c>
      <c r="O28" s="85">
        <v>7256.6793175213406</v>
      </c>
      <c r="P28">
        <f t="shared" si="0"/>
        <v>104060.89128825418</v>
      </c>
    </row>
    <row r="29" spans="1:17">
      <c r="A29" s="160">
        <f t="shared" si="1"/>
        <v>18</v>
      </c>
      <c r="B29" s="122">
        <v>8750</v>
      </c>
      <c r="C29" s="4" t="s">
        <v>370</v>
      </c>
      <c r="D29" s="85">
        <v>50238.769403762773</v>
      </c>
      <c r="E29" s="85">
        <v>39780.82001063029</v>
      </c>
      <c r="F29" s="85">
        <v>41587.923117480452</v>
      </c>
      <c r="G29" s="85">
        <v>27704.808672833395</v>
      </c>
      <c r="H29" s="85">
        <v>26332.728220810674</v>
      </c>
      <c r="I29" s="85">
        <v>29368.268208040405</v>
      </c>
      <c r="J29" s="85">
        <v>28802.265552518871</v>
      </c>
      <c r="K29" s="85">
        <v>27234.956719036363</v>
      </c>
      <c r="L29" s="85">
        <v>30432.006690008577</v>
      </c>
      <c r="M29" s="85">
        <v>44093.744764514602</v>
      </c>
      <c r="N29" s="85">
        <v>30946.623003273631</v>
      </c>
      <c r="O29" s="85">
        <v>40655.305561182548</v>
      </c>
      <c r="P29">
        <f t="shared" si="0"/>
        <v>417178.21992409258</v>
      </c>
    </row>
    <row r="30" spans="1:17">
      <c r="A30" s="160">
        <f t="shared" si="1"/>
        <v>19</v>
      </c>
      <c r="B30" s="122">
        <v>8760</v>
      </c>
      <c r="C30" t="s">
        <v>303</v>
      </c>
      <c r="D30" s="85">
        <v>14636.793960442485</v>
      </c>
      <c r="E30" s="85">
        <v>11939.977130660867</v>
      </c>
      <c r="F30" s="85">
        <v>12401.775851085848</v>
      </c>
      <c r="G30" s="85">
        <v>7963.183469108074</v>
      </c>
      <c r="H30" s="85">
        <v>7603.3736782939286</v>
      </c>
      <c r="I30" s="85">
        <v>7963.183469108074</v>
      </c>
      <c r="J30" s="85">
        <v>7963.183469108074</v>
      </c>
      <c r="K30" s="85">
        <v>7963.183469108074</v>
      </c>
      <c r="L30" s="85">
        <v>7974.4381176033849</v>
      </c>
      <c r="M30" s="85">
        <v>13237.842886030616</v>
      </c>
      <c r="N30" s="85">
        <v>9321.2821926429078</v>
      </c>
      <c r="O30" s="85">
        <v>12247.158529871609</v>
      </c>
      <c r="P30">
        <f t="shared" si="0"/>
        <v>121215.37622306393</v>
      </c>
    </row>
    <row r="31" spans="1:17">
      <c r="A31" s="160">
        <f t="shared" si="1"/>
        <v>20</v>
      </c>
      <c r="B31" s="122">
        <v>8770</v>
      </c>
      <c r="C31" s="4" t="s">
        <v>304</v>
      </c>
      <c r="D31" s="85">
        <v>-166.85129858253316</v>
      </c>
      <c r="E31" s="85">
        <v>-65.972635116598084</v>
      </c>
      <c r="F31" s="85">
        <v>-97.082517146776425</v>
      </c>
      <c r="G31" s="85">
        <v>-348.59733882030184</v>
      </c>
      <c r="H31" s="85">
        <v>-269.80818106995889</v>
      </c>
      <c r="I31" s="85">
        <v>-768.80970256058538</v>
      </c>
      <c r="J31" s="85">
        <v>-560.85143301326025</v>
      </c>
      <c r="K31" s="85">
        <v>-267.42854481024239</v>
      </c>
      <c r="L31" s="85">
        <v>-1065.9517473708277</v>
      </c>
      <c r="M31" s="85">
        <v>-136.69800114311843</v>
      </c>
      <c r="N31" s="85">
        <v>-57.899282578875173</v>
      </c>
      <c r="O31" s="85">
        <v>-69.766265432098763</v>
      </c>
      <c r="P31">
        <f t="shared" si="0"/>
        <v>-3875.7169476451759</v>
      </c>
    </row>
    <row r="32" spans="1:17">
      <c r="A32" s="160">
        <f t="shared" si="1"/>
        <v>21</v>
      </c>
      <c r="B32" s="122">
        <v>8780</v>
      </c>
      <c r="C32" s="4" t="s">
        <v>305</v>
      </c>
      <c r="D32" s="85">
        <v>145.25024279800155</v>
      </c>
      <c r="E32" s="85">
        <v>118.48800918549294</v>
      </c>
      <c r="F32" s="85">
        <v>123.07073245445579</v>
      </c>
      <c r="G32" s="85">
        <v>79.023749016277961</v>
      </c>
      <c r="H32" s="85">
        <v>75.453126951220696</v>
      </c>
      <c r="I32" s="85">
        <v>79.023749016277961</v>
      </c>
      <c r="J32" s="85">
        <v>79.023749016277961</v>
      </c>
      <c r="K32" s="85">
        <v>79.023749016277961</v>
      </c>
      <c r="L32" s="85">
        <v>79.135436072266316</v>
      </c>
      <c r="M32" s="85">
        <v>131.36755894182284</v>
      </c>
      <c r="N32" s="85">
        <v>92.501028936335473</v>
      </c>
      <c r="O32" s="85">
        <v>121.53636615075293</v>
      </c>
      <c r="P32">
        <f t="shared" ref="P32" si="3">SUM(D32:O32)</f>
        <v>1202.8974975554604</v>
      </c>
    </row>
    <row r="33" spans="1:16">
      <c r="A33" s="160">
        <f t="shared" si="1"/>
        <v>22</v>
      </c>
      <c r="B33" s="122">
        <v>8800</v>
      </c>
      <c r="C33" s="4" t="s">
        <v>307</v>
      </c>
      <c r="D33" s="85">
        <v>38631.334260373718</v>
      </c>
      <c r="E33" s="85">
        <v>71647.285234654089</v>
      </c>
      <c r="F33" s="85">
        <v>71156.806934715933</v>
      </c>
      <c r="G33" s="85">
        <v>131929.79735325681</v>
      </c>
      <c r="H33" s="85">
        <v>119963.70068846201</v>
      </c>
      <c r="I33" s="85">
        <v>113657.60018490374</v>
      </c>
      <c r="J33" s="85">
        <v>113013.40400661723</v>
      </c>
      <c r="K33" s="85">
        <v>111792.94228969763</v>
      </c>
      <c r="L33" s="85">
        <v>141655.22858337953</v>
      </c>
      <c r="M33" s="85">
        <v>66560.131365771464</v>
      </c>
      <c r="N33" s="85">
        <v>77043.893697782682</v>
      </c>
      <c r="O33" s="85">
        <v>70247.73850670208</v>
      </c>
      <c r="P33">
        <f t="shared" si="0"/>
        <v>1127299.8631063169</v>
      </c>
    </row>
    <row r="34" spans="1:16">
      <c r="A34" s="160">
        <f t="shared" si="1"/>
        <v>23</v>
      </c>
      <c r="B34" s="122">
        <v>8810</v>
      </c>
      <c r="C34" s="4" t="s">
        <v>308</v>
      </c>
      <c r="D34" s="85">
        <v>16552.554944092393</v>
      </c>
      <c r="E34" s="85">
        <v>30121.653882091752</v>
      </c>
      <c r="F34" s="85">
        <v>29766.537697512686</v>
      </c>
      <c r="G34" s="85">
        <v>38554.645345558391</v>
      </c>
      <c r="H34" s="85">
        <v>37953.715925397577</v>
      </c>
      <c r="I34" s="85">
        <v>37796.861590941022</v>
      </c>
      <c r="J34" s="85">
        <v>37174.944811939502</v>
      </c>
      <c r="K34" s="85">
        <v>36963.131214123467</v>
      </c>
      <c r="L34" s="85">
        <v>37574.710972986977</v>
      </c>
      <c r="M34" s="85">
        <v>26986.901965249104</v>
      </c>
      <c r="N34" s="85">
        <v>30505.529056178373</v>
      </c>
      <c r="O34" s="85">
        <v>29642.302454875684</v>
      </c>
      <c r="P34">
        <f t="shared" si="0"/>
        <v>389593.48986094689</v>
      </c>
    </row>
    <row r="35" spans="1:16">
      <c r="A35" s="160">
        <f t="shared" si="1"/>
        <v>24</v>
      </c>
      <c r="B35" s="122">
        <v>8870</v>
      </c>
      <c r="C35" s="4" t="s">
        <v>311</v>
      </c>
      <c r="D35" s="85">
        <v>-15.123327995570106</v>
      </c>
      <c r="E35" s="85">
        <v>-12.336867683907156</v>
      </c>
      <c r="F35" s="85">
        <v>-12.81401681477532</v>
      </c>
      <c r="G35" s="85">
        <v>-8.2278834981005975</v>
      </c>
      <c r="H35" s="85">
        <v>-7.8561134576664626</v>
      </c>
      <c r="I35" s="85">
        <v>-8.2278834981005975</v>
      </c>
      <c r="J35" s="85">
        <v>-8.2278834981005975</v>
      </c>
      <c r="K35" s="85">
        <v>-8.2278834981005975</v>
      </c>
      <c r="L35" s="85">
        <v>-8.2395122564973775</v>
      </c>
      <c r="M35" s="85">
        <v>-13.677875118029817</v>
      </c>
      <c r="N35" s="85">
        <v>-9.6311260730723536</v>
      </c>
      <c r="O35" s="85">
        <v>-12.654259939817667</v>
      </c>
      <c r="P35">
        <f t="shared" ref="P35:P38" si="4">SUM(D35:O35)</f>
        <v>-125.24463333173864</v>
      </c>
    </row>
    <row r="36" spans="1:16">
      <c r="A36" s="160">
        <f t="shared" si="1"/>
        <v>25</v>
      </c>
      <c r="B36" s="122">
        <v>8890</v>
      </c>
      <c r="C36" s="4" t="s">
        <v>312</v>
      </c>
      <c r="D36" s="85">
        <v>11179.315287605379</v>
      </c>
      <c r="E36" s="85">
        <v>9119.5359606210095</v>
      </c>
      <c r="F36" s="85">
        <v>9472.2493696500642</v>
      </c>
      <c r="G36" s="85">
        <v>6082.1337606309435</v>
      </c>
      <c r="H36" s="85">
        <v>5807.3176290416268</v>
      </c>
      <c r="I36" s="85">
        <v>6082.1337606309435</v>
      </c>
      <c r="J36" s="85">
        <v>6082.1337606309435</v>
      </c>
      <c r="K36" s="85">
        <v>6082.1337606309435</v>
      </c>
      <c r="L36" s="85">
        <v>6090.7298551254262</v>
      </c>
      <c r="M36" s="85">
        <v>10110.822065998822</v>
      </c>
      <c r="N36" s="85">
        <v>7119.4247044758158</v>
      </c>
      <c r="O36" s="85">
        <v>9354.1554901126183</v>
      </c>
      <c r="P36">
        <f t="shared" si="4"/>
        <v>92582.085405154547</v>
      </c>
    </row>
    <row r="37" spans="1:16">
      <c r="A37" s="160">
        <f t="shared" si="1"/>
        <v>26</v>
      </c>
      <c r="B37" s="122">
        <v>8900</v>
      </c>
      <c r="C37" s="4" t="s">
        <v>313</v>
      </c>
      <c r="D37" s="85">
        <v>-30.453824867791859</v>
      </c>
      <c r="E37" s="85">
        <v>-24.842733555265099</v>
      </c>
      <c r="F37" s="85">
        <v>-25.803568106465374</v>
      </c>
      <c r="G37" s="85">
        <v>-16.568477729051892</v>
      </c>
      <c r="H37" s="85">
        <v>-15.819844907903702</v>
      </c>
      <c r="I37" s="85">
        <v>-16.568477729051892</v>
      </c>
      <c r="J37" s="85">
        <v>-16.568477729051892</v>
      </c>
      <c r="K37" s="85">
        <v>-16.568477729051892</v>
      </c>
      <c r="L37" s="85">
        <v>-16.591894543905678</v>
      </c>
      <c r="M37" s="85">
        <v>-27.543118388361417</v>
      </c>
      <c r="N37" s="85">
        <v>-19.394185380022414</v>
      </c>
      <c r="O37" s="85">
        <v>-25.481865906208181</v>
      </c>
      <c r="P37">
        <f t="shared" si="4"/>
        <v>-252.20494657213129</v>
      </c>
    </row>
    <row r="38" spans="1:16">
      <c r="A38" s="160">
        <f t="shared" si="1"/>
        <v>27</v>
      </c>
      <c r="B38" s="122">
        <v>8910</v>
      </c>
      <c r="C38" s="4" t="s">
        <v>314</v>
      </c>
      <c r="D38" s="85">
        <v>631.51288669721043</v>
      </c>
      <c r="E38" s="85">
        <v>515.15717480622175</v>
      </c>
      <c r="F38" s="85">
        <v>535.08174597917275</v>
      </c>
      <c r="G38" s="85">
        <v>343.57612694876792</v>
      </c>
      <c r="H38" s="85">
        <v>328.05192675348883</v>
      </c>
      <c r="I38" s="85">
        <v>343.57612694876792</v>
      </c>
      <c r="J38" s="85">
        <v>343.57612694876792</v>
      </c>
      <c r="K38" s="85">
        <v>343.57612694876792</v>
      </c>
      <c r="L38" s="85">
        <v>344.06171522576653</v>
      </c>
      <c r="M38" s="85">
        <v>571.15433866151091</v>
      </c>
      <c r="N38" s="85">
        <v>402.17207682940352</v>
      </c>
      <c r="O38" s="85">
        <v>528.4106928020027</v>
      </c>
      <c r="P38">
        <f t="shared" si="4"/>
        <v>5229.907065549849</v>
      </c>
    </row>
    <row r="39" spans="1:16">
      <c r="A39" s="160">
        <f t="shared" si="1"/>
        <v>28</v>
      </c>
      <c r="B39" s="122">
        <v>9010</v>
      </c>
      <c r="C39" t="s">
        <v>318</v>
      </c>
      <c r="D39" s="85">
        <v>13421.648239457751</v>
      </c>
      <c r="E39" s="85">
        <v>10947.729810192595</v>
      </c>
      <c r="F39" s="85">
        <v>11371.170657106179</v>
      </c>
      <c r="G39" s="85">
        <v>7306.0176507391798</v>
      </c>
      <c r="H39" s="85">
        <v>6977.1381381100691</v>
      </c>
      <c r="I39" s="85">
        <v>7307.3675672330537</v>
      </c>
      <c r="J39" s="85">
        <v>7305.8593659524158</v>
      </c>
      <c r="K39" s="85">
        <v>7312.7955446379146</v>
      </c>
      <c r="L39" s="85">
        <v>7315.9985418769566</v>
      </c>
      <c r="M39" s="85">
        <v>12137.564292669298</v>
      </c>
      <c r="N39" s="85">
        <v>8546.8463277559276</v>
      </c>
      <c r="O39" s="85">
        <v>11229.30631311889</v>
      </c>
      <c r="P39">
        <f t="shared" si="0"/>
        <v>111179.44244885026</v>
      </c>
    </row>
    <row r="40" spans="1:16">
      <c r="A40" s="160">
        <f t="shared" si="1"/>
        <v>29</v>
      </c>
      <c r="B40" s="122">
        <v>9020</v>
      </c>
      <c r="C40" t="s">
        <v>319</v>
      </c>
      <c r="D40" s="85">
        <v>51.212146308286712</v>
      </c>
      <c r="E40" s="85">
        <v>41.776351937833546</v>
      </c>
      <c r="F40" s="85">
        <v>43.392122693321362</v>
      </c>
      <c r="G40" s="85">
        <v>27.862093160691341</v>
      </c>
      <c r="H40" s="85">
        <v>26.6031677634952</v>
      </c>
      <c r="I40" s="85">
        <v>27.862093160691341</v>
      </c>
      <c r="J40" s="85">
        <v>27.862093160691341</v>
      </c>
      <c r="K40" s="85">
        <v>27.862093160691341</v>
      </c>
      <c r="L40" s="85">
        <v>27.901471641180159</v>
      </c>
      <c r="M40" s="85">
        <v>46.317407248999601</v>
      </c>
      <c r="N40" s="85">
        <v>32.613895414568304</v>
      </c>
      <c r="O40" s="85">
        <v>42.851137768807227</v>
      </c>
      <c r="P40">
        <f t="shared" si="0"/>
        <v>424.11607341925742</v>
      </c>
    </row>
    <row r="41" spans="1:16">
      <c r="A41" s="160">
        <f t="shared" si="1"/>
        <v>30</v>
      </c>
      <c r="B41" s="122">
        <v>9030</v>
      </c>
      <c r="C41" s="4" t="s">
        <v>320</v>
      </c>
      <c r="D41" s="85">
        <v>148423.74036227984</v>
      </c>
      <c r="E41" s="85">
        <v>185090.87709636954</v>
      </c>
      <c r="F41" s="85">
        <v>187107.18645307753</v>
      </c>
      <c r="G41" s="85">
        <v>259882.46925183016</v>
      </c>
      <c r="H41" s="85">
        <v>238877.11292066018</v>
      </c>
      <c r="I41" s="85">
        <v>231116.96559362931</v>
      </c>
      <c r="J41" s="85">
        <v>229618.14561481224</v>
      </c>
      <c r="K41" s="85">
        <v>229657.44868733024</v>
      </c>
      <c r="L41" s="85">
        <v>275578.51170087652</v>
      </c>
      <c r="M41" s="85">
        <v>184627.84381925027</v>
      </c>
      <c r="N41" s="85">
        <v>178418.09834740055</v>
      </c>
      <c r="O41" s="85">
        <v>184652.05190405654</v>
      </c>
      <c r="P41">
        <f t="shared" si="0"/>
        <v>2533050.4517515735</v>
      </c>
    </row>
    <row r="42" spans="1:16">
      <c r="A42" s="160">
        <f t="shared" si="1"/>
        <v>31</v>
      </c>
      <c r="B42" s="122">
        <v>9040</v>
      </c>
      <c r="C42" s="4" t="s">
        <v>321</v>
      </c>
      <c r="D42" s="85">
        <v>0</v>
      </c>
      <c r="E42" s="85">
        <v>0</v>
      </c>
      <c r="F42" s="85">
        <v>0</v>
      </c>
      <c r="G42" s="85">
        <v>34584</v>
      </c>
      <c r="H42" s="85">
        <v>29522</v>
      </c>
      <c r="I42" s="85">
        <v>27679</v>
      </c>
      <c r="J42" s="85">
        <v>27994</v>
      </c>
      <c r="K42" s="85">
        <v>28469</v>
      </c>
      <c r="L42" s="85">
        <v>30223</v>
      </c>
      <c r="M42" s="85">
        <v>0</v>
      </c>
      <c r="N42" s="85">
        <v>0</v>
      </c>
      <c r="O42" s="85">
        <v>0</v>
      </c>
      <c r="P42">
        <f t="shared" ref="P42:P43" si="5">SUM(D42:O42)</f>
        <v>178471</v>
      </c>
    </row>
    <row r="43" spans="1:16">
      <c r="A43" s="160">
        <f t="shared" si="1"/>
        <v>32</v>
      </c>
      <c r="B43" s="122">
        <v>9090</v>
      </c>
      <c r="C43" s="4" t="s">
        <v>322</v>
      </c>
      <c r="D43" s="85">
        <v>20059.082429499864</v>
      </c>
      <c r="E43" s="85">
        <v>14665.017511999087</v>
      </c>
      <c r="F43" s="85">
        <v>14911.073517530229</v>
      </c>
      <c r="G43" s="85">
        <v>16643.353519874356</v>
      </c>
      <c r="H43" s="85">
        <v>17620.700647678495</v>
      </c>
      <c r="I43" s="85">
        <v>18279.276894433784</v>
      </c>
      <c r="J43" s="85">
        <v>16428.796341999972</v>
      </c>
      <c r="K43" s="85">
        <v>25895.56084152171</v>
      </c>
      <c r="L43" s="85">
        <v>16311.216725446227</v>
      </c>
      <c r="M43" s="85">
        <v>15663.607787037654</v>
      </c>
      <c r="N43" s="85">
        <v>11507.65860379086</v>
      </c>
      <c r="O43" s="85">
        <v>14744.477845819687</v>
      </c>
      <c r="P43">
        <f t="shared" si="5"/>
        <v>202729.82266663192</v>
      </c>
    </row>
    <row r="44" spans="1:16">
      <c r="A44" s="160">
        <f t="shared" si="1"/>
        <v>33</v>
      </c>
      <c r="B44" s="122">
        <v>9100</v>
      </c>
      <c r="C44" s="4" t="s">
        <v>323</v>
      </c>
      <c r="D44" s="85">
        <v>94.944426381033409</v>
      </c>
      <c r="E44" s="85">
        <v>75.114631149236757</v>
      </c>
      <c r="F44" s="85">
        <v>3.6185349121552215</v>
      </c>
      <c r="G44" s="85">
        <v>129.02696619298069</v>
      </c>
      <c r="H44" s="85">
        <v>38.257488121778209</v>
      </c>
      <c r="I44" s="85">
        <v>17.385083530633022</v>
      </c>
      <c r="J44" s="85">
        <v>45.996623483081038</v>
      </c>
      <c r="K44" s="85">
        <v>65.885041940601383</v>
      </c>
      <c r="L44" s="85">
        <v>16.416459725628012</v>
      </c>
      <c r="M44" s="85">
        <v>7.0604211611361363</v>
      </c>
      <c r="N44" s="85">
        <v>13.304301947412718</v>
      </c>
      <c r="O44" s="85">
        <v>5.1676844490257476</v>
      </c>
      <c r="P44">
        <f t="shared" si="0"/>
        <v>512.17766299470236</v>
      </c>
    </row>
    <row r="45" spans="1:16">
      <c r="A45" s="160">
        <f t="shared" si="1"/>
        <v>34</v>
      </c>
      <c r="B45" s="122">
        <v>9110</v>
      </c>
      <c r="C45" s="4" t="s">
        <v>324</v>
      </c>
      <c r="D45" s="85">
        <v>15943.327004173972</v>
      </c>
      <c r="E45" s="85">
        <v>12757.348884085986</v>
      </c>
      <c r="F45" s="85">
        <v>11651.317773017739</v>
      </c>
      <c r="G45" s="85">
        <v>13618.232174472249</v>
      </c>
      <c r="H45" s="85">
        <v>11249.788280650973</v>
      </c>
      <c r="I45" s="85">
        <v>11954.20056151103</v>
      </c>
      <c r="J45" s="85">
        <v>11858.204791582355</v>
      </c>
      <c r="K45" s="85">
        <v>14623.014369174292</v>
      </c>
      <c r="L45" s="85">
        <v>11782.680753366127</v>
      </c>
      <c r="M45" s="85">
        <v>12515.592070006591</v>
      </c>
      <c r="N45" s="85">
        <v>9163.2547781213088</v>
      </c>
      <c r="O45" s="85">
        <v>11282.524094983779</v>
      </c>
      <c r="P45">
        <f t="shared" si="0"/>
        <v>148399.48553514641</v>
      </c>
    </row>
    <row r="46" spans="1:16">
      <c r="A46" s="160">
        <f t="shared" si="1"/>
        <v>35</v>
      </c>
      <c r="B46" s="122">
        <v>9120</v>
      </c>
      <c r="C46" s="4" t="s">
        <v>325</v>
      </c>
      <c r="D46" s="85">
        <v>0</v>
      </c>
      <c r="E46" s="85">
        <v>0</v>
      </c>
      <c r="F46" s="85">
        <v>0</v>
      </c>
      <c r="G46" s="85">
        <v>0</v>
      </c>
      <c r="H46" s="85">
        <v>0</v>
      </c>
      <c r="I46" s="85">
        <v>0</v>
      </c>
      <c r="J46" s="85">
        <v>0</v>
      </c>
      <c r="K46" s="85">
        <v>0</v>
      </c>
      <c r="L46" s="85">
        <v>0</v>
      </c>
      <c r="M46" s="85">
        <v>0</v>
      </c>
      <c r="N46" s="85">
        <v>0</v>
      </c>
      <c r="O46" s="85">
        <v>0</v>
      </c>
      <c r="P46">
        <f t="shared" si="0"/>
        <v>0</v>
      </c>
    </row>
    <row r="47" spans="1:16">
      <c r="A47" s="160">
        <f t="shared" si="1"/>
        <v>36</v>
      </c>
      <c r="B47" s="122">
        <v>9130</v>
      </c>
      <c r="C47" s="4" t="s">
        <v>326</v>
      </c>
      <c r="D47" s="85">
        <v>181.85329717357112</v>
      </c>
      <c r="E47" s="85">
        <v>143.87198765776205</v>
      </c>
      <c r="F47" s="85">
        <v>6.9308176350682507</v>
      </c>
      <c r="G47" s="85">
        <v>247.13382471057531</v>
      </c>
      <c r="H47" s="85">
        <v>73.277080305936906</v>
      </c>
      <c r="I47" s="85">
        <v>33.298792590474051</v>
      </c>
      <c r="J47" s="85">
        <v>88.100354682015961</v>
      </c>
      <c r="K47" s="85">
        <v>126.19394911327676</v>
      </c>
      <c r="L47" s="85">
        <v>31.443523783497938</v>
      </c>
      <c r="M47" s="85">
        <v>13.523288480714342</v>
      </c>
      <c r="N47" s="85">
        <v>25.482603539254036</v>
      </c>
      <c r="O47" s="85">
        <v>9.8980055136301601</v>
      </c>
      <c r="P47">
        <f t="shared" si="0"/>
        <v>981.0075251857769</v>
      </c>
    </row>
    <row r="48" spans="1:16">
      <c r="A48" s="160">
        <f t="shared" si="1"/>
        <v>37</v>
      </c>
      <c r="B48" s="122">
        <v>9200</v>
      </c>
      <c r="C48" s="4" t="s">
        <v>327</v>
      </c>
      <c r="D48" s="85">
        <v>-5463.5303736568339</v>
      </c>
      <c r="E48" s="85">
        <v>-33268.645778887811</v>
      </c>
      <c r="F48" s="85">
        <v>-35968.889390739416</v>
      </c>
      <c r="G48" s="85">
        <v>722.48917817524341</v>
      </c>
      <c r="H48" s="85">
        <v>634.05721022233718</v>
      </c>
      <c r="I48" s="85">
        <v>634.05721022233718</v>
      </c>
      <c r="J48" s="85">
        <v>722.48917817524341</v>
      </c>
      <c r="K48" s="85">
        <v>4171.3359283385835</v>
      </c>
      <c r="L48" s="85">
        <v>630.51993150422095</v>
      </c>
      <c r="M48" s="85">
        <v>-20687.412011834262</v>
      </c>
      <c r="N48" s="85">
        <v>-5463.256234556181</v>
      </c>
      <c r="O48" s="85">
        <v>-5614.0062103255004</v>
      </c>
      <c r="P48">
        <f t="shared" si="0"/>
        <v>-98950.791363362034</v>
      </c>
    </row>
    <row r="49" spans="1:17">
      <c r="A49" s="160">
        <f t="shared" si="1"/>
        <v>38</v>
      </c>
      <c r="B49" s="122">
        <v>9210</v>
      </c>
      <c r="C49" s="4" t="s">
        <v>328</v>
      </c>
      <c r="D49" s="85">
        <v>-6835.6932983562938</v>
      </c>
      <c r="E49" s="85">
        <v>-12687.225295074923</v>
      </c>
      <c r="F49" s="85">
        <v>-12597.254246653203</v>
      </c>
      <c r="G49" s="85">
        <v>-23355.209229556684</v>
      </c>
      <c r="H49" s="85">
        <v>-21238.322788437697</v>
      </c>
      <c r="I49" s="85">
        <v>-20121.863699611444</v>
      </c>
      <c r="J49" s="85">
        <v>-20005.453417163812</v>
      </c>
      <c r="K49" s="85">
        <v>-19639.345451173482</v>
      </c>
      <c r="L49" s="85">
        <v>-25079.828733861097</v>
      </c>
      <c r="M49" s="85">
        <v>-11780.907055372603</v>
      </c>
      <c r="N49" s="85">
        <v>-13639.877001587996</v>
      </c>
      <c r="O49" s="85">
        <v>-12438.623102954973</v>
      </c>
      <c r="P49">
        <f t="shared" si="0"/>
        <v>-199419.60331980421</v>
      </c>
      <c r="Q49" s="201"/>
    </row>
    <row r="50" spans="1:17">
      <c r="A50" s="160">
        <f t="shared" si="1"/>
        <v>39</v>
      </c>
      <c r="B50" s="122">
        <v>9220</v>
      </c>
      <c r="C50" s="4" t="s">
        <v>329</v>
      </c>
      <c r="D50" s="85">
        <f t="shared" ref="D50:O50" si="6">-(SUM(D12:D49,D51:D57))</f>
        <v>-865488.52558253845</v>
      </c>
      <c r="E50" s="85">
        <f t="shared" si="6"/>
        <v>-786593.50499690592</v>
      </c>
      <c r="F50" s="85">
        <f t="shared" si="6"/>
        <v>-881301.68033295753</v>
      </c>
      <c r="G50" s="85">
        <f t="shared" si="6"/>
        <v>-1033658.3467302711</v>
      </c>
      <c r="H50" s="85">
        <f t="shared" si="6"/>
        <v>-1037007.2618060115</v>
      </c>
      <c r="I50" s="85">
        <f t="shared" si="6"/>
        <v>-927849.03673027118</v>
      </c>
      <c r="J50" s="85">
        <f t="shared" si="6"/>
        <v>-1068076.8067302713</v>
      </c>
      <c r="K50" s="85">
        <f t="shared" si="6"/>
        <v>-951855.99673027126</v>
      </c>
      <c r="L50" s="85">
        <f t="shared" si="6"/>
        <v>-932334.27537244069</v>
      </c>
      <c r="M50" s="85">
        <f t="shared" si="6"/>
        <v>-807882.4840815611</v>
      </c>
      <c r="N50" s="85">
        <f t="shared" si="6"/>
        <v>-596968.4967906914</v>
      </c>
      <c r="O50" s="85">
        <f t="shared" si="6"/>
        <v>-786910.65872246795</v>
      </c>
      <c r="P50">
        <f t="shared" si="0"/>
        <v>-10675927.074606659</v>
      </c>
      <c r="Q50" s="201"/>
    </row>
    <row r="51" spans="1:17">
      <c r="A51" s="160">
        <f t="shared" si="1"/>
        <v>40</v>
      </c>
      <c r="B51" s="122">
        <v>9230</v>
      </c>
      <c r="C51" s="4" t="s">
        <v>330</v>
      </c>
      <c r="D51" s="85">
        <v>5030.3761175182317</v>
      </c>
      <c r="E51" s="85">
        <v>9329.545547152271</v>
      </c>
      <c r="F51" s="85">
        <v>9265.6779543443063</v>
      </c>
      <c r="G51" s="85">
        <v>17179.228067087293</v>
      </c>
      <c r="H51" s="85">
        <v>15621.063741806853</v>
      </c>
      <c r="I51" s="85">
        <v>14799.915366398338</v>
      </c>
      <c r="J51" s="85">
        <v>14716.031412289794</v>
      </c>
      <c r="K51" s="85">
        <v>14557.109086911167</v>
      </c>
      <c r="L51" s="85">
        <v>18445.624321041116</v>
      </c>
      <c r="M51" s="85">
        <v>8667.122210808513</v>
      </c>
      <c r="N51" s="85">
        <v>10032.264488868062</v>
      </c>
      <c r="O51" s="85">
        <v>9147.303681308611</v>
      </c>
      <c r="P51">
        <f t="shared" si="0"/>
        <v>146791.26199553456</v>
      </c>
      <c r="Q51" s="201"/>
    </row>
    <row r="52" spans="1:17">
      <c r="A52" s="160">
        <f t="shared" si="1"/>
        <v>41</v>
      </c>
      <c r="B52" s="122">
        <v>9240</v>
      </c>
      <c r="C52" s="4" t="s">
        <v>331</v>
      </c>
      <c r="D52" s="85">
        <v>26.624864502336777</v>
      </c>
      <c r="E52" s="85">
        <v>21.507014021335863</v>
      </c>
      <c r="F52" s="85">
        <v>17.988742690671245</v>
      </c>
      <c r="G52" s="85">
        <v>3213.2073019931631</v>
      </c>
      <c r="H52" s="85">
        <v>3265.4896569069097</v>
      </c>
      <c r="I52" s="85">
        <v>3355.6039653763</v>
      </c>
      <c r="J52" s="85">
        <v>4325.7878565589926</v>
      </c>
      <c r="K52" s="85">
        <v>3765.232703875241</v>
      </c>
      <c r="L52" s="85">
        <v>3755.3984029509666</v>
      </c>
      <c r="M52" s="85">
        <v>37.134520990086457</v>
      </c>
      <c r="N52" s="85">
        <v>19.799056860813579</v>
      </c>
      <c r="O52" s="85">
        <v>20.585800934755667</v>
      </c>
      <c r="P52">
        <f t="shared" si="0"/>
        <v>21824.359887661572</v>
      </c>
      <c r="Q52" s="201"/>
    </row>
    <row r="53" spans="1:17">
      <c r="A53" s="160">
        <f t="shared" si="1"/>
        <v>42</v>
      </c>
      <c r="B53" s="122">
        <v>9250</v>
      </c>
      <c r="C53" s="4" t="s">
        <v>332</v>
      </c>
      <c r="D53" s="85">
        <v>4614.6283924577701</v>
      </c>
      <c r="E53" s="85">
        <v>3762.7280680196823</v>
      </c>
      <c r="F53" s="85">
        <v>3874.2557883384807</v>
      </c>
      <c r="G53" s="85">
        <v>27513.141625310542</v>
      </c>
      <c r="H53" s="85">
        <v>27813.478807680098</v>
      </c>
      <c r="I53" s="85">
        <v>28626.173189035311</v>
      </c>
      <c r="J53" s="85">
        <v>36209.534117922623</v>
      </c>
      <c r="K53" s="85">
        <v>31828.001831124471</v>
      </c>
      <c r="L53" s="85">
        <v>31754.521140573426</v>
      </c>
      <c r="M53" s="85">
        <v>4275.6114526798074</v>
      </c>
      <c r="N53" s="85">
        <v>2961.0000740022479</v>
      </c>
      <c r="O53" s="85">
        <v>3848.0067636678777</v>
      </c>
      <c r="P53">
        <f t="shared" si="0"/>
        <v>207081.08125081239</v>
      </c>
      <c r="Q53" s="201"/>
    </row>
    <row r="54" spans="1:17">
      <c r="A54" s="160">
        <f t="shared" si="1"/>
        <v>43</v>
      </c>
      <c r="B54" s="199">
        <v>9260</v>
      </c>
      <c r="C54" s="4" t="s">
        <v>333</v>
      </c>
      <c r="D54" s="85">
        <v>245690.97284475298</v>
      </c>
      <c r="E54" s="85">
        <v>206577.37178365377</v>
      </c>
      <c r="F54" s="85">
        <v>338532.96450190735</v>
      </c>
      <c r="G54" s="85">
        <v>156944.04369794892</v>
      </c>
      <c r="H54" s="85">
        <v>233903.66939832619</v>
      </c>
      <c r="I54" s="85">
        <v>153852.21644692842</v>
      </c>
      <c r="J54" s="85">
        <v>276158.1793544059</v>
      </c>
      <c r="K54" s="85">
        <v>91570.116715606753</v>
      </c>
      <c r="L54" s="85">
        <v>90978.894522986942</v>
      </c>
      <c r="M54" s="85">
        <v>250118.2660120893</v>
      </c>
      <c r="N54" s="85">
        <v>76875.880742429101</v>
      </c>
      <c r="O54" s="85">
        <v>218622.4453581241</v>
      </c>
      <c r="P54">
        <f t="shared" si="0"/>
        <v>2339825.0213791598</v>
      </c>
      <c r="Q54" s="201"/>
    </row>
    <row r="55" spans="1:17">
      <c r="A55" s="160">
        <f t="shared" si="1"/>
        <v>44</v>
      </c>
      <c r="B55" s="199">
        <v>9280</v>
      </c>
      <c r="C55" t="s">
        <v>335</v>
      </c>
      <c r="D55" s="85">
        <v>0</v>
      </c>
      <c r="E55" s="85">
        <v>0</v>
      </c>
      <c r="F55" s="85">
        <v>0</v>
      </c>
      <c r="G55" s="85">
        <v>0</v>
      </c>
      <c r="H55" s="85">
        <v>0</v>
      </c>
      <c r="I55" s="85">
        <v>0</v>
      </c>
      <c r="J55" s="85">
        <v>0</v>
      </c>
      <c r="K55" s="85">
        <v>0</v>
      </c>
      <c r="L55" s="85">
        <v>0</v>
      </c>
      <c r="M55" s="85">
        <v>0</v>
      </c>
      <c r="N55" s="85">
        <v>0</v>
      </c>
      <c r="O55" s="85">
        <v>0</v>
      </c>
      <c r="P55">
        <f t="shared" ref="P55" si="7">SUM(D55:O55)</f>
        <v>0</v>
      </c>
      <c r="Q55" s="201"/>
    </row>
    <row r="56" spans="1:17">
      <c r="A56" s="160">
        <f t="shared" si="1"/>
        <v>45</v>
      </c>
      <c r="B56" s="122">
        <v>9302</v>
      </c>
      <c r="C56" s="4" t="s">
        <v>336</v>
      </c>
      <c r="D56" s="85">
        <v>0</v>
      </c>
      <c r="E56" s="85">
        <v>0</v>
      </c>
      <c r="F56" s="85">
        <v>0</v>
      </c>
      <c r="G56" s="85">
        <v>0</v>
      </c>
      <c r="H56" s="85">
        <v>0</v>
      </c>
      <c r="I56" s="85">
        <v>0</v>
      </c>
      <c r="J56" s="85">
        <v>0</v>
      </c>
      <c r="K56" s="85">
        <v>0</v>
      </c>
      <c r="L56" s="85">
        <v>0</v>
      </c>
      <c r="M56" s="85">
        <v>0</v>
      </c>
      <c r="N56" s="85">
        <v>0</v>
      </c>
      <c r="O56" s="85">
        <v>0</v>
      </c>
      <c r="P56">
        <f t="shared" si="0"/>
        <v>0</v>
      </c>
      <c r="Q56" s="201"/>
    </row>
    <row r="57" spans="1:17">
      <c r="A57" s="160">
        <f t="shared" si="1"/>
        <v>46</v>
      </c>
      <c r="B57" s="122">
        <v>9310</v>
      </c>
      <c r="C57" s="4" t="s">
        <v>212</v>
      </c>
      <c r="D57" s="85">
        <v>0</v>
      </c>
      <c r="E57" s="85">
        <v>0</v>
      </c>
      <c r="F57" s="85">
        <v>0</v>
      </c>
      <c r="G57" s="85">
        <v>0</v>
      </c>
      <c r="H57" s="85">
        <v>0</v>
      </c>
      <c r="I57" s="85">
        <v>0</v>
      </c>
      <c r="J57" s="85">
        <v>0</v>
      </c>
      <c r="K57" s="85">
        <v>0</v>
      </c>
      <c r="L57" s="85">
        <v>0</v>
      </c>
      <c r="M57" s="85">
        <v>0</v>
      </c>
      <c r="N57" s="85">
        <v>0</v>
      </c>
      <c r="O57" s="85">
        <v>0</v>
      </c>
      <c r="P57">
        <f t="shared" si="0"/>
        <v>0</v>
      </c>
      <c r="Q57" s="201"/>
    </row>
    <row r="58" spans="1:17">
      <c r="A58" s="160">
        <f t="shared" si="1"/>
        <v>47</v>
      </c>
      <c r="B58" s="4"/>
      <c r="C58" s="189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4"/>
      <c r="P58" s="4"/>
      <c r="Q58" s="201"/>
    </row>
    <row r="59" spans="1:17" ht="15.75" thickBot="1">
      <c r="A59" s="160">
        <f t="shared" si="1"/>
        <v>48</v>
      </c>
      <c r="B59" s="4" t="s">
        <v>338</v>
      </c>
      <c r="C59" s="189"/>
      <c r="D59" s="177">
        <f t="shared" ref="D59:P59" si="8">SUM(D12:D58)</f>
        <v>0</v>
      </c>
      <c r="E59" s="177">
        <f t="shared" si="8"/>
        <v>-1.1641532182693481E-10</v>
      </c>
      <c r="F59" s="177">
        <f t="shared" si="8"/>
        <v>0</v>
      </c>
      <c r="G59" s="177">
        <f t="shared" si="8"/>
        <v>5.8207660913467407E-11</v>
      </c>
      <c r="H59" s="177">
        <f t="shared" si="8"/>
        <v>-2.9103830456733704E-11</v>
      </c>
      <c r="I59" s="177">
        <f t="shared" si="8"/>
        <v>8.7311491370201111E-11</v>
      </c>
      <c r="J59" s="177">
        <f t="shared" si="8"/>
        <v>-1.7462298274040222E-10</v>
      </c>
      <c r="K59" s="177">
        <f t="shared" si="8"/>
        <v>-4.3655745685100555E-11</v>
      </c>
      <c r="L59" s="177">
        <f t="shared" si="8"/>
        <v>-4.3655745685100555E-11</v>
      </c>
      <c r="M59" s="177">
        <f t="shared" si="8"/>
        <v>-1.1641532182693481E-10</v>
      </c>
      <c r="N59" s="177">
        <f t="shared" si="8"/>
        <v>5.8207660913467407E-11</v>
      </c>
      <c r="O59" s="177">
        <f t="shared" si="8"/>
        <v>0</v>
      </c>
      <c r="P59" s="177">
        <f t="shared" si="8"/>
        <v>4.6566128730773926E-10</v>
      </c>
      <c r="Q59" s="201"/>
    </row>
    <row r="60" spans="1:17" ht="15.75" thickTop="1">
      <c r="A60" s="160">
        <f t="shared" si="1"/>
        <v>49</v>
      </c>
      <c r="B60" s="4"/>
      <c r="C60" s="18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201"/>
    </row>
    <row r="61" spans="1:17">
      <c r="A61" s="160">
        <f t="shared" si="1"/>
        <v>50</v>
      </c>
      <c r="B61" s="190">
        <f t="shared" ref="B61:O61" si="9">B50</f>
        <v>9220</v>
      </c>
      <c r="C61" t="str">
        <f t="shared" si="9"/>
        <v>A&amp;G-Administrative expense transferred-Credit</v>
      </c>
      <c r="D61">
        <f t="shared" si="9"/>
        <v>-865488.52558253845</v>
      </c>
      <c r="E61">
        <f t="shared" si="9"/>
        <v>-786593.50499690592</v>
      </c>
      <c r="F61">
        <f t="shared" si="9"/>
        <v>-881301.68033295753</v>
      </c>
      <c r="G61">
        <f t="shared" si="9"/>
        <v>-1033658.3467302711</v>
      </c>
      <c r="H61">
        <f t="shared" si="9"/>
        <v>-1037007.2618060115</v>
      </c>
      <c r="I61">
        <f t="shared" si="9"/>
        <v>-927849.03673027118</v>
      </c>
      <c r="J61">
        <f t="shared" si="9"/>
        <v>-1068076.8067302713</v>
      </c>
      <c r="K61">
        <f t="shared" si="9"/>
        <v>-951855.99673027126</v>
      </c>
      <c r="L61">
        <f t="shared" si="9"/>
        <v>-932334.27537244069</v>
      </c>
      <c r="M61">
        <f t="shared" si="9"/>
        <v>-807882.4840815611</v>
      </c>
      <c r="N61">
        <f t="shared" si="9"/>
        <v>-596968.4967906914</v>
      </c>
      <c r="O61">
        <f t="shared" si="9"/>
        <v>-786910.65872246795</v>
      </c>
      <c r="P61">
        <f>SUM(D61:O61)</f>
        <v>-10675927.074606659</v>
      </c>
      <c r="Q61" s="201"/>
    </row>
    <row r="62" spans="1:17">
      <c r="A62" s="160">
        <f t="shared" si="1"/>
        <v>51</v>
      </c>
      <c r="B62" s="4"/>
      <c r="C62" s="4" t="s">
        <v>351</v>
      </c>
      <c r="D62" s="192">
        <v>0.50419999999999998</v>
      </c>
      <c r="E62" s="192">
        <f>D62</f>
        <v>0.50419999999999998</v>
      </c>
      <c r="F62" s="192">
        <f t="shared" ref="F62:O62" si="10">E62</f>
        <v>0.50419999999999998</v>
      </c>
      <c r="G62" s="192">
        <f t="shared" si="10"/>
        <v>0.50419999999999998</v>
      </c>
      <c r="H62" s="192">
        <f t="shared" si="10"/>
        <v>0.50419999999999998</v>
      </c>
      <c r="I62" s="192">
        <f t="shared" si="10"/>
        <v>0.50419999999999998</v>
      </c>
      <c r="J62" s="192">
        <f t="shared" si="10"/>
        <v>0.50419999999999998</v>
      </c>
      <c r="K62" s="192">
        <f t="shared" si="10"/>
        <v>0.50419999999999998</v>
      </c>
      <c r="L62" s="192">
        <f t="shared" si="10"/>
        <v>0.50419999999999998</v>
      </c>
      <c r="M62" s="192">
        <f t="shared" si="10"/>
        <v>0.50419999999999998</v>
      </c>
      <c r="N62" s="192">
        <f t="shared" si="10"/>
        <v>0.50419999999999998</v>
      </c>
      <c r="O62" s="192">
        <f t="shared" si="10"/>
        <v>0.50419999999999998</v>
      </c>
      <c r="P62" s="219">
        <f>P63/P61</f>
        <v>0.50420000000000009</v>
      </c>
      <c r="Q62" s="201"/>
    </row>
    <row r="63" spans="1:17">
      <c r="A63" s="160">
        <f t="shared" si="1"/>
        <v>52</v>
      </c>
      <c r="B63" s="4"/>
      <c r="C63" s="4" t="s">
        <v>352</v>
      </c>
      <c r="D63">
        <f>D61*D62</f>
        <v>-436379.31459871586</v>
      </c>
      <c r="E63">
        <f t="shared" ref="E63:O63" si="11">E61*E62</f>
        <v>-396600.44521943998</v>
      </c>
      <c r="F63">
        <f t="shared" si="11"/>
        <v>-444352.30722387717</v>
      </c>
      <c r="G63">
        <f t="shared" si="11"/>
        <v>-521170.53842140269</v>
      </c>
      <c r="H63">
        <f t="shared" si="11"/>
        <v>-522859.061402591</v>
      </c>
      <c r="I63">
        <f t="shared" si="11"/>
        <v>-467821.48431940272</v>
      </c>
      <c r="J63">
        <f t="shared" si="11"/>
        <v>-538524.32595340279</v>
      </c>
      <c r="K63">
        <f t="shared" si="11"/>
        <v>-479925.79355140275</v>
      </c>
      <c r="L63">
        <f t="shared" si="11"/>
        <v>-470082.94164278457</v>
      </c>
      <c r="M63">
        <f t="shared" si="11"/>
        <v>-407334.34847392311</v>
      </c>
      <c r="N63">
        <f t="shared" si="11"/>
        <v>-300991.51608186658</v>
      </c>
      <c r="O63">
        <f t="shared" si="11"/>
        <v>-396760.35412786831</v>
      </c>
      <c r="P63">
        <f>SUM(D63:O63)</f>
        <v>-5382802.431016678</v>
      </c>
      <c r="Q63" s="201"/>
    </row>
    <row r="64" spans="1:17">
      <c r="A64" s="4"/>
      <c r="B64" s="4"/>
      <c r="C64" s="189"/>
      <c r="D64" s="200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201"/>
    </row>
    <row r="65" spans="1:17">
      <c r="A65" s="4"/>
      <c r="B65" s="4"/>
      <c r="C65" s="18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201"/>
    </row>
    <row r="66" spans="1:17">
      <c r="A66" s="4"/>
      <c r="B66" s="4" t="s">
        <v>353</v>
      </c>
      <c r="C66" s="18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201"/>
    </row>
    <row r="67" spans="1:17">
      <c r="A67" s="4"/>
      <c r="B67" s="4"/>
      <c r="C67" s="18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201"/>
    </row>
    <row r="68" spans="1:17">
      <c r="A68" s="4"/>
      <c r="B68" s="4"/>
      <c r="C68" s="8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201"/>
    </row>
    <row r="69" spans="1:17">
      <c r="A69" s="4"/>
      <c r="B69" s="4"/>
      <c r="C69" s="4"/>
      <c r="D69">
        <f>D61</f>
        <v>-865488.52558253845</v>
      </c>
      <c r="E69">
        <f t="shared" ref="E69:O69" si="12">E61</f>
        <v>-786593.50499690592</v>
      </c>
      <c r="F69">
        <f t="shared" si="12"/>
        <v>-881301.68033295753</v>
      </c>
      <c r="G69">
        <f t="shared" si="12"/>
        <v>-1033658.3467302711</v>
      </c>
      <c r="H69">
        <f t="shared" si="12"/>
        <v>-1037007.2618060115</v>
      </c>
      <c r="I69">
        <f t="shared" si="12"/>
        <v>-927849.03673027118</v>
      </c>
      <c r="J69">
        <f t="shared" si="12"/>
        <v>-1068076.8067302713</v>
      </c>
      <c r="K69">
        <f t="shared" si="12"/>
        <v>-951855.99673027126</v>
      </c>
      <c r="L69">
        <f t="shared" si="12"/>
        <v>-932334.27537244069</v>
      </c>
      <c r="M69">
        <f t="shared" si="12"/>
        <v>-807882.4840815611</v>
      </c>
      <c r="N69">
        <f t="shared" si="12"/>
        <v>-596968.4967906914</v>
      </c>
      <c r="O69">
        <f t="shared" si="12"/>
        <v>-786910.65872246795</v>
      </c>
      <c r="P69" s="4"/>
      <c r="Q69" s="201"/>
    </row>
    <row r="70" spans="1:17">
      <c r="A70" s="4"/>
      <c r="B70" s="4"/>
      <c r="C70" s="4"/>
      <c r="D70">
        <v>865488.52558253857</v>
      </c>
      <c r="E70">
        <v>786593.50499690592</v>
      </c>
      <c r="F70">
        <v>881301.68033295788</v>
      </c>
      <c r="G70">
        <v>1033658.3467302712</v>
      </c>
      <c r="H70">
        <v>1037007.2618060117</v>
      </c>
      <c r="I70">
        <v>927849.0367302713</v>
      </c>
      <c r="J70">
        <v>1068076.8067302713</v>
      </c>
      <c r="K70">
        <v>951855.99673027126</v>
      </c>
      <c r="L70">
        <v>932334.27537244081</v>
      </c>
      <c r="M70">
        <v>807882.4840815611</v>
      </c>
      <c r="N70">
        <v>596968.49679069151</v>
      </c>
      <c r="O70">
        <v>786910.65872246784</v>
      </c>
      <c r="P70" s="4"/>
      <c r="Q70" s="201"/>
    </row>
    <row r="71" spans="1:17">
      <c r="A71" s="4"/>
      <c r="B71" s="4" t="s">
        <v>341</v>
      </c>
      <c r="C71" s="4"/>
      <c r="D71">
        <f>D69+D70</f>
        <v>0</v>
      </c>
      <c r="E71">
        <f t="shared" ref="E71:O71" si="13">E69+E70</f>
        <v>0</v>
      </c>
      <c r="F71">
        <f t="shared" si="13"/>
        <v>0</v>
      </c>
      <c r="G71">
        <f t="shared" si="13"/>
        <v>0</v>
      </c>
      <c r="H71">
        <f t="shared" si="13"/>
        <v>0</v>
      </c>
      <c r="I71">
        <f t="shared" si="13"/>
        <v>0</v>
      </c>
      <c r="J71">
        <f t="shared" si="13"/>
        <v>0</v>
      </c>
      <c r="K71">
        <f t="shared" si="13"/>
        <v>0</v>
      </c>
      <c r="L71">
        <f t="shared" si="13"/>
        <v>0</v>
      </c>
      <c r="M71">
        <f t="shared" si="13"/>
        <v>0</v>
      </c>
      <c r="N71">
        <f t="shared" si="13"/>
        <v>0</v>
      </c>
      <c r="O71">
        <f t="shared" si="13"/>
        <v>0</v>
      </c>
      <c r="P71" s="4"/>
      <c r="Q71" s="201"/>
    </row>
    <row r="72" spans="1:17">
      <c r="A72" s="4"/>
      <c r="B72" s="4" t="s">
        <v>343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8"/>
      <c r="P72" s="4"/>
      <c r="Q72" s="201"/>
    </row>
    <row r="73" spans="1:17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8"/>
      <c r="P73" s="4"/>
      <c r="Q73" s="201"/>
    </row>
    <row r="74" spans="1:17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8"/>
      <c r="P74" s="4"/>
      <c r="Q74" s="201"/>
    </row>
    <row r="75" spans="1:17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201"/>
    </row>
    <row r="76" spans="1:17">
      <c r="A76" s="4"/>
      <c r="Q76" s="201"/>
    </row>
    <row r="77" spans="1:17">
      <c r="A77" s="4"/>
      <c r="Q77" s="201"/>
    </row>
    <row r="78" spans="1:17">
      <c r="Q78" s="201"/>
    </row>
    <row r="79" spans="1:17">
      <c r="Q79" s="201"/>
    </row>
    <row r="80" spans="1:17">
      <c r="Q80" s="201"/>
    </row>
    <row r="81" spans="17:17">
      <c r="Q81" s="201"/>
    </row>
    <row r="82" spans="17:17">
      <c r="Q82" s="201"/>
    </row>
    <row r="83" spans="17:17">
      <c r="Q83" s="201"/>
    </row>
    <row r="84" spans="17:17">
      <c r="Q84" s="201"/>
    </row>
    <row r="85" spans="17:17">
      <c r="Q85" s="201"/>
    </row>
    <row r="86" spans="17:17">
      <c r="Q86" s="201"/>
    </row>
    <row r="87" spans="17:17">
      <c r="Q87" s="201"/>
    </row>
    <row r="88" spans="17:17">
      <c r="Q88" s="201"/>
    </row>
    <row r="89" spans="17:17">
      <c r="Q89" s="201"/>
    </row>
    <row r="90" spans="17:17">
      <c r="Q90" s="201"/>
    </row>
    <row r="91" spans="17:17">
      <c r="Q91" s="201"/>
    </row>
    <row r="92" spans="17:17">
      <c r="Q92" s="201"/>
    </row>
    <row r="93" spans="17:17">
      <c r="Q93" s="201"/>
    </row>
    <row r="94" spans="17:17">
      <c r="Q94" s="201"/>
    </row>
    <row r="95" spans="17:17">
      <c r="Q95" s="201"/>
    </row>
    <row r="96" spans="17:17">
      <c r="Q96" s="201"/>
    </row>
  </sheetData>
  <mergeCells count="4">
    <mergeCell ref="A1:P1"/>
    <mergeCell ref="A2:P2"/>
    <mergeCell ref="A3:P3"/>
    <mergeCell ref="A4:P4"/>
  </mergeCells>
  <printOptions horizontalCentered="1"/>
  <pageMargins left="0.5" right="0.5" top="0.75" bottom="0.5" header="0.5" footer="0.25"/>
  <pageSetup scale="47" fitToHeight="2" orientation="landscape" verticalDpi="300" r:id="rId1"/>
  <headerFooter alignWithMargins="0">
    <oddHeader>&amp;RCASE NO. 2021-00214
FR_16(8)(c) 
ATTACHMENT 1</oddHeader>
    <oddFooter>&amp;RSchedule &amp;A
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7565A-8721-42B6-B810-3D1E21A45394}">
  <sheetPr>
    <pageSetUpPr fitToPage="1"/>
  </sheetPr>
  <dimension ref="A1:S84"/>
  <sheetViews>
    <sheetView view="pageBreakPreview" zoomScale="80" zoomScaleNormal="100" zoomScaleSheetLayoutView="80" workbookViewId="0">
      <selection activeCell="C21" sqref="C21"/>
    </sheetView>
  </sheetViews>
  <sheetFormatPr defaultColWidth="8.88671875" defaultRowHeight="15"/>
  <cols>
    <col min="1" max="1" width="4.6640625" style="4" customWidth="1"/>
    <col min="2" max="2" width="40.6640625" style="4" customWidth="1"/>
    <col min="3" max="7" width="12" style="4" bestFit="1" customWidth="1"/>
    <col min="8" max="8" width="11.77734375" style="4" customWidth="1"/>
    <col min="9" max="10" width="10.88671875" style="4" customWidth="1"/>
    <col min="11" max="11" width="11" style="4" bestFit="1" customWidth="1"/>
    <col min="12" max="12" width="11.109375" style="4" customWidth="1"/>
    <col min="13" max="13" width="12.33203125" style="4" customWidth="1"/>
    <col min="14" max="14" width="12.6640625" style="4" customWidth="1"/>
    <col min="15" max="15" width="13.77734375" style="4" customWidth="1"/>
    <col min="16" max="16" width="9.77734375" style="4" bestFit="1" customWidth="1"/>
    <col min="17" max="17" width="11.44140625" style="4" bestFit="1" customWidth="1"/>
    <col min="18" max="16384" width="8.88671875" style="4"/>
  </cols>
  <sheetData>
    <row r="1" spans="1:19">
      <c r="A1" s="237" t="s">
        <v>404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</row>
    <row r="2" spans="1:19">
      <c r="A2" s="237" t="s">
        <v>405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9">
      <c r="A3" s="242" t="s">
        <v>371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</row>
    <row r="4" spans="1:19">
      <c r="A4" s="237" t="s">
        <v>406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Q4" s="165"/>
    </row>
    <row r="5" spans="1:19">
      <c r="B5" s="130"/>
      <c r="C5" s="130"/>
      <c r="D5" s="130"/>
      <c r="E5" s="130"/>
      <c r="F5" s="182"/>
      <c r="G5" s="130"/>
      <c r="H5" s="130"/>
      <c r="I5" s="130"/>
      <c r="J5" s="69"/>
      <c r="K5" s="165"/>
      <c r="Q5" s="220"/>
    </row>
    <row r="6" spans="1:19">
      <c r="A6" s="50" t="str">
        <f>'C.2.1 B'!A6</f>
        <v>Data:___X____Base Period________Forecasted Period</v>
      </c>
      <c r="I6" s="130"/>
      <c r="O6" s="8" t="s">
        <v>372</v>
      </c>
    </row>
    <row r="7" spans="1:19">
      <c r="A7" s="50" t="str">
        <f>'C.2.1 B'!A7</f>
        <v>Type of Filing:___X____Original________Updated ________Revised</v>
      </c>
      <c r="E7" s="69"/>
      <c r="I7" s="130"/>
      <c r="J7" s="69"/>
      <c r="N7" s="51"/>
      <c r="O7" s="52" t="s">
        <v>373</v>
      </c>
    </row>
    <row r="8" spans="1:19">
      <c r="A8" s="53" t="str">
        <f>'C.2.1 B'!A8</f>
        <v>Workpaper Reference No(s).____________________</v>
      </c>
      <c r="B8" s="2"/>
      <c r="C8" s="11"/>
      <c r="D8" s="11"/>
      <c r="E8" s="11"/>
      <c r="F8" s="11"/>
      <c r="G8" s="11"/>
      <c r="H8" s="11"/>
      <c r="I8" s="130"/>
      <c r="J8" s="11"/>
      <c r="K8" s="2"/>
      <c r="L8" s="2"/>
      <c r="M8" s="2"/>
      <c r="N8" s="54"/>
      <c r="O8" s="221" t="s">
        <v>374</v>
      </c>
    </row>
    <row r="9" spans="1:19">
      <c r="A9" s="212" t="s">
        <v>22</v>
      </c>
      <c r="C9" s="133" t="str">
        <f>'C.2.2 B 09'!D9</f>
        <v>actual</v>
      </c>
      <c r="D9" s="133" t="str">
        <f>'C.2.2 B 09'!E9</f>
        <v>actual</v>
      </c>
      <c r="E9" s="133" t="str">
        <f>'C.2.2 B 09'!F9</f>
        <v>actual</v>
      </c>
      <c r="F9" s="133" t="str">
        <f>'C.2.2 B 09'!G9</f>
        <v>actual</v>
      </c>
      <c r="G9" s="133" t="str">
        <f>'C.2.2 B 09'!H9</f>
        <v>actual</v>
      </c>
      <c r="H9" s="133" t="str">
        <f>'C.2.2 B 09'!I9</f>
        <v>actual</v>
      </c>
      <c r="I9" s="222" t="str">
        <f>'C.2.2 B 09'!J9</f>
        <v>Budgeted</v>
      </c>
      <c r="J9" s="133" t="str">
        <f>'C.2.2 B 09'!K9</f>
        <v>Budgeted</v>
      </c>
      <c r="K9" s="133" t="str">
        <f>'C.2.2 B 09'!L9</f>
        <v>Budgeted</v>
      </c>
      <c r="L9" s="133" t="str">
        <f>'C.2.2 B 09'!M9</f>
        <v>Budgeted</v>
      </c>
      <c r="M9" s="133" t="str">
        <f>'C.2.2 B 09'!N9</f>
        <v>Budgeted</v>
      </c>
      <c r="N9" s="133" t="str">
        <f>'C.2.2 B 09'!O9</f>
        <v>Budgeted</v>
      </c>
      <c r="O9" s="185"/>
    </row>
    <row r="10" spans="1:19">
      <c r="A10" s="215" t="s">
        <v>25</v>
      </c>
      <c r="B10" s="54" t="s">
        <v>375</v>
      </c>
      <c r="C10" s="186">
        <f>'C.2.2 B 09'!D10</f>
        <v>44105</v>
      </c>
      <c r="D10" s="186">
        <f>'C.2.2 B 09'!E10</f>
        <v>44136</v>
      </c>
      <c r="E10" s="186">
        <f>'C.2.2 B 09'!F10</f>
        <v>44166</v>
      </c>
      <c r="F10" s="186">
        <f>'C.2.2 B 09'!G10</f>
        <v>44197</v>
      </c>
      <c r="G10" s="186">
        <f>'C.2.2 B 09'!H10</f>
        <v>44228</v>
      </c>
      <c r="H10" s="186">
        <f>'C.2.2 B 09'!I10</f>
        <v>44256</v>
      </c>
      <c r="I10" s="186">
        <f>'C.2.2 B 09'!J10</f>
        <v>44287</v>
      </c>
      <c r="J10" s="186">
        <f>'C.2.2 B 09'!K10</f>
        <v>44317</v>
      </c>
      <c r="K10" s="186">
        <f>'C.2.2 B 09'!L10</f>
        <v>44348</v>
      </c>
      <c r="L10" s="186">
        <f>'C.2.2 B 09'!M10</f>
        <v>44378</v>
      </c>
      <c r="M10" s="186">
        <f>'C.2.2 B 09'!N10</f>
        <v>44409</v>
      </c>
      <c r="N10" s="186">
        <f>'C.2.2 B 09'!O10</f>
        <v>44440</v>
      </c>
      <c r="O10" s="186" t="str">
        <f>'C.2.2 B 09'!P10</f>
        <v>Total</v>
      </c>
      <c r="P10" s="3"/>
    </row>
    <row r="11" spans="1:19" ht="15.75">
      <c r="B11" s="223" t="s">
        <v>376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9">
      <c r="A12" s="3">
        <v>1</v>
      </c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5"/>
      <c r="Q12" s="165"/>
      <c r="R12" s="69"/>
    </row>
    <row r="13" spans="1:19">
      <c r="A13" s="160">
        <f>A12+1</f>
        <v>2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P13" s="225"/>
    </row>
    <row r="14" spans="1:19">
      <c r="A14" s="160">
        <f t="shared" ref="A14:A67" si="0">A13+1</f>
        <v>3</v>
      </c>
      <c r="B14" s="4" t="s">
        <v>377</v>
      </c>
      <c r="C14" s="224">
        <v>17536.599999999999</v>
      </c>
      <c r="D14" s="224">
        <v>56025.30999999999</v>
      </c>
      <c r="E14" s="224">
        <v>27380.319999999992</v>
      </c>
      <c r="F14" s="224">
        <v>30289.329999999994</v>
      </c>
      <c r="G14" s="224">
        <v>27390.390000000003</v>
      </c>
      <c r="H14" s="224">
        <v>15891.32</v>
      </c>
      <c r="I14" s="224">
        <v>62551</v>
      </c>
      <c r="J14" s="224">
        <v>40043</v>
      </c>
      <c r="K14" s="224">
        <v>52327</v>
      </c>
      <c r="L14" s="224">
        <v>35497</v>
      </c>
      <c r="M14" s="224">
        <v>41350.000000000007</v>
      </c>
      <c r="N14" s="224">
        <v>34964</v>
      </c>
      <c r="O14" s="224">
        <f t="shared" ref="O14:O22" si="1">SUM(C14:N14)</f>
        <v>441245.27</v>
      </c>
      <c r="P14" s="225"/>
    </row>
    <row r="15" spans="1:19">
      <c r="A15" s="160">
        <f t="shared" si="0"/>
        <v>4</v>
      </c>
      <c r="B15" s="4" t="s">
        <v>378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226">
        <f t="shared" si="1"/>
        <v>0</v>
      </c>
      <c r="P15" s="225"/>
    </row>
    <row r="16" spans="1:19">
      <c r="A16" s="160">
        <f t="shared" si="0"/>
        <v>5</v>
      </c>
      <c r="B16" s="4" t="s">
        <v>379</v>
      </c>
      <c r="C16" s="31">
        <v>625688</v>
      </c>
      <c r="D16" s="31">
        <v>625688</v>
      </c>
      <c r="E16" s="31">
        <v>625688</v>
      </c>
      <c r="F16" s="31">
        <v>691388</v>
      </c>
      <c r="G16" s="31">
        <v>691388</v>
      </c>
      <c r="H16" s="31">
        <v>691388</v>
      </c>
      <c r="I16" s="31">
        <v>695800</v>
      </c>
      <c r="J16" s="31">
        <v>694342</v>
      </c>
      <c r="K16" s="31">
        <v>694342</v>
      </c>
      <c r="L16" s="31">
        <v>694342</v>
      </c>
      <c r="M16" s="31">
        <v>694342</v>
      </c>
      <c r="N16" s="31">
        <v>694342</v>
      </c>
      <c r="O16" s="226">
        <f t="shared" si="1"/>
        <v>8118738</v>
      </c>
      <c r="P16" s="225"/>
      <c r="R16" s="217"/>
      <c r="S16" s="217"/>
    </row>
    <row r="17" spans="1:18">
      <c r="A17" s="160">
        <f t="shared" si="0"/>
        <v>6</v>
      </c>
      <c r="B17" s="4" t="s">
        <v>380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73846</v>
      </c>
      <c r="I17" s="31">
        <v>0</v>
      </c>
      <c r="J17" s="31">
        <v>0</v>
      </c>
      <c r="K17" s="31">
        <v>145406</v>
      </c>
      <c r="L17" s="31">
        <v>0</v>
      </c>
      <c r="M17" s="31">
        <v>0</v>
      </c>
      <c r="N17" s="31">
        <v>0</v>
      </c>
      <c r="O17" s="226">
        <f t="shared" si="1"/>
        <v>219252</v>
      </c>
      <c r="P17" s="225"/>
    </row>
    <row r="18" spans="1:18">
      <c r="A18" s="160">
        <f t="shared" si="0"/>
        <v>7</v>
      </c>
      <c r="B18" s="4" t="s">
        <v>381</v>
      </c>
      <c r="C18" s="31">
        <v>0</v>
      </c>
      <c r="D18" s="31">
        <v>80.5</v>
      </c>
      <c r="E18" s="31">
        <v>386.1</v>
      </c>
      <c r="F18" s="31">
        <v>75.599999999999994</v>
      </c>
      <c r="G18" s="31">
        <v>0</v>
      </c>
      <c r="H18" s="31">
        <v>85.05</v>
      </c>
      <c r="I18" s="31">
        <v>667</v>
      </c>
      <c r="J18" s="31">
        <v>0</v>
      </c>
      <c r="K18" s="31">
        <v>83</v>
      </c>
      <c r="L18" s="31">
        <v>651</v>
      </c>
      <c r="M18" s="31">
        <v>43</v>
      </c>
      <c r="N18" s="31">
        <v>0</v>
      </c>
      <c r="O18" s="226">
        <f t="shared" si="1"/>
        <v>2071.25</v>
      </c>
      <c r="P18" s="225"/>
    </row>
    <row r="19" spans="1:18" ht="17.25" customHeight="1">
      <c r="A19" s="160">
        <f t="shared" si="0"/>
        <v>8</v>
      </c>
      <c r="B19" s="4" t="s">
        <v>382</v>
      </c>
      <c r="C19" s="31">
        <v>29618.09</v>
      </c>
      <c r="D19" s="31">
        <v>29618.09</v>
      </c>
      <c r="E19" s="31">
        <v>29618.09</v>
      </c>
      <c r="F19" s="31">
        <v>29618.09</v>
      </c>
      <c r="G19" s="31">
        <v>29618.09</v>
      </c>
      <c r="H19" s="31">
        <v>29618.09</v>
      </c>
      <c r="I19" s="31">
        <v>29618</v>
      </c>
      <c r="J19" s="31">
        <v>29618</v>
      </c>
      <c r="K19" s="31">
        <v>29618</v>
      </c>
      <c r="L19" s="31">
        <v>29618</v>
      </c>
      <c r="M19" s="31">
        <v>29618</v>
      </c>
      <c r="N19" s="31">
        <v>29618</v>
      </c>
      <c r="O19" s="226">
        <f t="shared" si="1"/>
        <v>355416.54000000004</v>
      </c>
      <c r="P19" s="225"/>
    </row>
    <row r="20" spans="1:18">
      <c r="A20" s="160">
        <f t="shared" si="0"/>
        <v>9</v>
      </c>
      <c r="B20" s="4" t="s">
        <v>383</v>
      </c>
      <c r="C20" s="31">
        <v>10995.86</v>
      </c>
      <c r="D20" s="31">
        <v>29003.25</v>
      </c>
      <c r="E20" s="31">
        <v>15074.18</v>
      </c>
      <c r="F20" s="31">
        <v>14063.28</v>
      </c>
      <c r="G20" s="31">
        <v>12076.33</v>
      </c>
      <c r="H20" s="31">
        <v>13778.08</v>
      </c>
      <c r="I20" s="31">
        <f t="shared" ref="I20:N20" si="2">I52</f>
        <v>12129.432439596081</v>
      </c>
      <c r="J20" s="31">
        <f t="shared" si="2"/>
        <v>12129.432439596081</v>
      </c>
      <c r="K20" s="31">
        <f t="shared" si="2"/>
        <v>12129.432439596081</v>
      </c>
      <c r="L20" s="31">
        <f t="shared" si="2"/>
        <v>12129.432439596081</v>
      </c>
      <c r="M20" s="31">
        <f t="shared" si="2"/>
        <v>12129.432439596081</v>
      </c>
      <c r="N20" s="31">
        <f t="shared" si="2"/>
        <v>12129.432439596081</v>
      </c>
      <c r="O20" s="226">
        <f t="shared" si="1"/>
        <v>167767.57463757647</v>
      </c>
      <c r="P20" s="69"/>
      <c r="Q20" s="69"/>
      <c r="R20" s="165"/>
    </row>
    <row r="21" spans="1:18" ht="15.75">
      <c r="A21" s="160">
        <f t="shared" si="0"/>
        <v>10</v>
      </c>
      <c r="B21" s="4" t="s">
        <v>384</v>
      </c>
      <c r="C21" s="31">
        <v>17756.060000000001</v>
      </c>
      <c r="D21" s="31">
        <v>-19623.5</v>
      </c>
      <c r="E21" s="31">
        <v>27283.74</v>
      </c>
      <c r="F21" s="31">
        <v>45888.76</v>
      </c>
      <c r="G21" s="31">
        <v>17962.52</v>
      </c>
      <c r="H21" s="31">
        <v>20788.580000000002</v>
      </c>
      <c r="I21" s="31">
        <f t="shared" ref="I21:N21" si="3">I39</f>
        <v>22293.525893089285</v>
      </c>
      <c r="J21" s="31">
        <f t="shared" si="3"/>
        <v>22293.525893089285</v>
      </c>
      <c r="K21" s="31">
        <f t="shared" si="3"/>
        <v>22293.525893089285</v>
      </c>
      <c r="L21" s="31">
        <f t="shared" si="3"/>
        <v>22293.525893089285</v>
      </c>
      <c r="M21" s="31">
        <f t="shared" si="3"/>
        <v>22293.525893089285</v>
      </c>
      <c r="N21" s="31">
        <f t="shared" si="3"/>
        <v>22293.525893089285</v>
      </c>
      <c r="O21" s="226">
        <f t="shared" si="1"/>
        <v>243817.31535853565</v>
      </c>
      <c r="P21" s="69"/>
      <c r="Q21" s="69"/>
      <c r="R21" s="168"/>
    </row>
    <row r="22" spans="1:18">
      <c r="A22" s="160">
        <f t="shared" si="0"/>
        <v>11</v>
      </c>
      <c r="B22" s="4" t="s">
        <v>385</v>
      </c>
      <c r="C22" s="31">
        <v>14019.55</v>
      </c>
      <c r="D22" s="31">
        <v>15927.77</v>
      </c>
      <c r="E22" s="31">
        <v>30994.04</v>
      </c>
      <c r="F22" s="31">
        <v>17752.890000000003</v>
      </c>
      <c r="G22" s="31">
        <v>17869.54</v>
      </c>
      <c r="H22" s="31">
        <v>21410.83</v>
      </c>
      <c r="I22" s="31">
        <f t="shared" ref="I22:N22" si="4">I67</f>
        <v>13836.796794494587</v>
      </c>
      <c r="J22" s="31">
        <f t="shared" si="4"/>
        <v>13836.796794494587</v>
      </c>
      <c r="K22" s="31">
        <f t="shared" si="4"/>
        <v>13836.796794494587</v>
      </c>
      <c r="L22" s="31">
        <f t="shared" si="4"/>
        <v>13836.796794494587</v>
      </c>
      <c r="M22" s="31">
        <f t="shared" si="4"/>
        <v>13836.796794494587</v>
      </c>
      <c r="N22" s="31">
        <f t="shared" si="4"/>
        <v>13836.796794494587</v>
      </c>
      <c r="O22" s="226">
        <f t="shared" si="1"/>
        <v>200995.40076696753</v>
      </c>
      <c r="P22" s="69"/>
      <c r="Q22" s="69"/>
      <c r="R22" s="165"/>
    </row>
    <row r="23" spans="1:18">
      <c r="A23" s="160">
        <f t="shared" si="0"/>
        <v>12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</row>
    <row r="24" spans="1:18">
      <c r="A24" s="160">
        <f t="shared" si="0"/>
        <v>13</v>
      </c>
      <c r="B24" s="4" t="s">
        <v>246</v>
      </c>
      <c r="C24" s="227">
        <f t="shared" ref="C24:H24" si="5">SUM(C12:C22)</f>
        <v>715614.16</v>
      </c>
      <c r="D24" s="227">
        <f t="shared" si="5"/>
        <v>736719.41999999993</v>
      </c>
      <c r="E24" s="227">
        <f t="shared" si="5"/>
        <v>756424.47</v>
      </c>
      <c r="F24" s="227">
        <f t="shared" si="5"/>
        <v>829075.95</v>
      </c>
      <c r="G24" s="227">
        <f t="shared" si="5"/>
        <v>796304.87</v>
      </c>
      <c r="H24" s="227">
        <f t="shared" si="5"/>
        <v>866805.94999999984</v>
      </c>
      <c r="I24" s="227">
        <f t="shared" ref="I24:N24" si="6">SUM(I12:I23)</f>
        <v>836895.7551271799</v>
      </c>
      <c r="J24" s="227">
        <f t="shared" si="6"/>
        <v>812262.7551271799</v>
      </c>
      <c r="K24" s="227">
        <f t="shared" si="6"/>
        <v>970035.7551271799</v>
      </c>
      <c r="L24" s="227">
        <f t="shared" si="6"/>
        <v>808367.7551271799</v>
      </c>
      <c r="M24" s="227">
        <f t="shared" si="6"/>
        <v>813612.7551271799</v>
      </c>
      <c r="N24" s="227">
        <f t="shared" si="6"/>
        <v>807183.7551271799</v>
      </c>
      <c r="O24" s="227">
        <f>SUM(C24:N24)</f>
        <v>9749303.3507630825</v>
      </c>
      <c r="P24" s="69"/>
    </row>
    <row r="25" spans="1:18">
      <c r="A25" s="160">
        <f t="shared" si="0"/>
        <v>14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</row>
    <row r="26" spans="1:18" ht="15.75">
      <c r="A26" s="160">
        <f t="shared" si="0"/>
        <v>15</v>
      </c>
      <c r="B26" s="223" t="s">
        <v>386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P26" s="165"/>
    </row>
    <row r="27" spans="1:18">
      <c r="A27" s="160">
        <f t="shared" si="0"/>
        <v>16</v>
      </c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Q27" s="165"/>
    </row>
    <row r="28" spans="1:18">
      <c r="A28" s="160">
        <f t="shared" si="0"/>
        <v>17</v>
      </c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</row>
    <row r="29" spans="1:18">
      <c r="A29" s="160">
        <f t="shared" si="0"/>
        <v>18</v>
      </c>
      <c r="B29" s="4" t="s">
        <v>377</v>
      </c>
      <c r="C29" s="224">
        <v>276702.61</v>
      </c>
      <c r="D29" s="224">
        <v>-481431.7900000001</v>
      </c>
      <c r="E29" s="224">
        <v>468412.7099999999</v>
      </c>
      <c r="F29" s="224">
        <v>381852.89</v>
      </c>
      <c r="G29" s="224">
        <v>320116.19999999995</v>
      </c>
      <c r="H29" s="224">
        <v>376962.47000000003</v>
      </c>
      <c r="I29" s="224">
        <v>295708.44555491535</v>
      </c>
      <c r="J29" s="224">
        <v>295708.44555491535</v>
      </c>
      <c r="K29" s="224">
        <v>295708.44555491535</v>
      </c>
      <c r="L29" s="224">
        <v>295708.44555491535</v>
      </c>
      <c r="M29" s="224">
        <v>295708.44555491535</v>
      </c>
      <c r="N29" s="224">
        <v>295708.44555491535</v>
      </c>
      <c r="O29" s="228">
        <f t="shared" ref="O29:O34" si="7">SUM(C29:N29)</f>
        <v>3116865.763329492</v>
      </c>
    </row>
    <row r="30" spans="1:18">
      <c r="A30" s="160">
        <f t="shared" si="0"/>
        <v>19</v>
      </c>
      <c r="B30" s="4" t="s">
        <v>387</v>
      </c>
      <c r="C30" s="31">
        <v>80400</v>
      </c>
      <c r="D30" s="31">
        <v>80400</v>
      </c>
      <c r="E30" s="31">
        <v>80400</v>
      </c>
      <c r="F30" s="31">
        <v>41200</v>
      </c>
      <c r="G30" s="31">
        <v>41200</v>
      </c>
      <c r="H30" s="31">
        <v>41200</v>
      </c>
      <c r="I30" s="31">
        <v>41200</v>
      </c>
      <c r="J30" s="31">
        <v>41200</v>
      </c>
      <c r="K30" s="31">
        <v>41200</v>
      </c>
      <c r="L30" s="31">
        <v>41200</v>
      </c>
      <c r="M30" s="31">
        <v>41200</v>
      </c>
      <c r="N30" s="31">
        <v>41200</v>
      </c>
      <c r="O30" s="226">
        <f t="shared" si="7"/>
        <v>612000</v>
      </c>
      <c r="P30" s="69"/>
    </row>
    <row r="31" spans="1:18">
      <c r="A31" s="160">
        <f t="shared" si="0"/>
        <v>20</v>
      </c>
      <c r="B31" s="4" t="s">
        <v>378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226">
        <f t="shared" si="7"/>
        <v>0</v>
      </c>
    </row>
    <row r="32" spans="1:18">
      <c r="A32" s="160">
        <f t="shared" si="0"/>
        <v>21</v>
      </c>
      <c r="B32" s="4" t="s">
        <v>388</v>
      </c>
      <c r="C32" s="31">
        <v>60.72</v>
      </c>
      <c r="D32" s="31">
        <v>6304.75</v>
      </c>
      <c r="E32" s="31">
        <v>0</v>
      </c>
      <c r="F32" s="31">
        <v>500000</v>
      </c>
      <c r="G32" s="31">
        <v>0</v>
      </c>
      <c r="H32" s="31">
        <v>0</v>
      </c>
      <c r="I32" s="31">
        <v>111526.04132907827</v>
      </c>
      <c r="J32" s="31">
        <v>111526.04132907827</v>
      </c>
      <c r="K32" s="31">
        <v>111526.04132907827</v>
      </c>
      <c r="L32" s="31">
        <v>111526.04132907827</v>
      </c>
      <c r="M32" s="31">
        <v>111526.04132907827</v>
      </c>
      <c r="N32" s="31">
        <v>111526.04132907827</v>
      </c>
      <c r="O32" s="226">
        <f t="shared" si="7"/>
        <v>1175521.7179744698</v>
      </c>
      <c r="Q32"/>
      <c r="R32" s="165"/>
    </row>
    <row r="33" spans="1:17">
      <c r="A33" s="160">
        <f t="shared" si="0"/>
        <v>22</v>
      </c>
      <c r="B33"/>
      <c r="C33" s="229"/>
      <c r="D33" s="229"/>
      <c r="E33" s="229"/>
      <c r="F33" s="31"/>
      <c r="G33" s="31"/>
      <c r="H33" s="31"/>
      <c r="I33" s="31"/>
      <c r="J33" s="31"/>
      <c r="K33" s="31"/>
      <c r="L33" s="31"/>
      <c r="M33" s="31"/>
      <c r="N33" s="31"/>
    </row>
    <row r="34" spans="1:17">
      <c r="A34" s="160">
        <f t="shared" si="0"/>
        <v>23</v>
      </c>
      <c r="B34" s="4" t="s">
        <v>389</v>
      </c>
      <c r="C34" s="227">
        <f t="shared" ref="C34:N34" si="8">SUM(C27:C32)</f>
        <v>357163.32999999996</v>
      </c>
      <c r="D34" s="227">
        <f t="shared" si="8"/>
        <v>-394727.0400000001</v>
      </c>
      <c r="E34" s="227">
        <f t="shared" si="8"/>
        <v>548812.71</v>
      </c>
      <c r="F34" s="227">
        <f t="shared" si="8"/>
        <v>923052.89</v>
      </c>
      <c r="G34" s="227">
        <f t="shared" si="8"/>
        <v>361316.19999999995</v>
      </c>
      <c r="H34" s="227">
        <f t="shared" si="8"/>
        <v>418162.47000000003</v>
      </c>
      <c r="I34" s="227">
        <f t="shared" si="8"/>
        <v>448434.48688399361</v>
      </c>
      <c r="J34" s="227">
        <f t="shared" si="8"/>
        <v>448434.48688399361</v>
      </c>
      <c r="K34" s="227">
        <f t="shared" si="8"/>
        <v>448434.48688399361</v>
      </c>
      <c r="L34" s="227">
        <f t="shared" si="8"/>
        <v>448434.48688399361</v>
      </c>
      <c r="M34" s="227">
        <f t="shared" si="8"/>
        <v>448434.48688399361</v>
      </c>
      <c r="N34" s="227">
        <f t="shared" si="8"/>
        <v>448434.48688399361</v>
      </c>
      <c r="O34" s="227">
        <f t="shared" si="7"/>
        <v>4904387.4813039619</v>
      </c>
    </row>
    <row r="35" spans="1:17">
      <c r="A35" s="160">
        <f t="shared" si="0"/>
        <v>24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</row>
    <row r="36" spans="1:17">
      <c r="A36" s="160">
        <f t="shared" si="0"/>
        <v>25</v>
      </c>
      <c r="B36" s="4" t="s">
        <v>390</v>
      </c>
      <c r="C36" s="219"/>
      <c r="D36" s="219"/>
      <c r="E36" s="219"/>
      <c r="F36" s="219"/>
      <c r="G36" s="219"/>
      <c r="H36" s="219"/>
      <c r="I36" s="219">
        <v>9.8599999999999993E-2</v>
      </c>
      <c r="J36" s="219">
        <v>9.8599999999999993E-2</v>
      </c>
      <c r="K36" s="219">
        <v>9.8599999999999993E-2</v>
      </c>
      <c r="L36" s="219">
        <v>9.8599999999999993E-2</v>
      </c>
      <c r="M36" s="219">
        <v>9.8599999999999993E-2</v>
      </c>
      <c r="N36" s="219">
        <v>9.8599999999999993E-2</v>
      </c>
    </row>
    <row r="37" spans="1:17">
      <c r="A37" s="160">
        <f t="shared" si="0"/>
        <v>26</v>
      </c>
      <c r="B37" s="4" t="s">
        <v>391</v>
      </c>
      <c r="C37" s="194"/>
      <c r="D37" s="194"/>
      <c r="E37" s="194"/>
      <c r="F37" s="194"/>
      <c r="G37" s="194"/>
      <c r="H37" s="194"/>
      <c r="I37" s="194">
        <v>0.50419999999999998</v>
      </c>
      <c r="J37" s="194">
        <v>0.50419999999999998</v>
      </c>
      <c r="K37" s="194">
        <v>0.50419999999999998</v>
      </c>
      <c r="L37" s="194">
        <v>0.50419999999999998</v>
      </c>
      <c r="M37" s="194">
        <v>0.50419999999999998</v>
      </c>
      <c r="N37" s="194">
        <v>0.50419999999999998</v>
      </c>
    </row>
    <row r="38" spans="1:17">
      <c r="A38" s="160">
        <f t="shared" si="0"/>
        <v>27</v>
      </c>
    </row>
    <row r="39" spans="1:17">
      <c r="A39" s="160">
        <f t="shared" si="0"/>
        <v>28</v>
      </c>
      <c r="B39" s="4" t="s">
        <v>352</v>
      </c>
      <c r="C39" s="227">
        <f t="shared" ref="C39:H39" si="9">C21</f>
        <v>17756.060000000001</v>
      </c>
      <c r="D39" s="227">
        <f t="shared" si="9"/>
        <v>-19623.5</v>
      </c>
      <c r="E39" s="227">
        <f t="shared" si="9"/>
        <v>27283.74</v>
      </c>
      <c r="F39" s="227">
        <f t="shared" si="9"/>
        <v>45888.76</v>
      </c>
      <c r="G39" s="227">
        <f t="shared" si="9"/>
        <v>17962.52</v>
      </c>
      <c r="H39" s="227">
        <f t="shared" si="9"/>
        <v>20788.580000000002</v>
      </c>
      <c r="I39" s="227">
        <f t="shared" ref="I39:N39" si="10">(I34)*I36*I37</f>
        <v>22293.525893089285</v>
      </c>
      <c r="J39" s="227">
        <f t="shared" si="10"/>
        <v>22293.525893089285</v>
      </c>
      <c r="K39" s="227">
        <f t="shared" si="10"/>
        <v>22293.525893089285</v>
      </c>
      <c r="L39" s="227">
        <f t="shared" si="10"/>
        <v>22293.525893089285</v>
      </c>
      <c r="M39" s="227">
        <f t="shared" si="10"/>
        <v>22293.525893089285</v>
      </c>
      <c r="N39" s="227">
        <f t="shared" si="10"/>
        <v>22293.525893089285</v>
      </c>
      <c r="O39" s="227">
        <f>SUM(C39:N39)</f>
        <v>243817.31535853565</v>
      </c>
    </row>
    <row r="40" spans="1:17">
      <c r="A40" s="160">
        <f t="shared" si="0"/>
        <v>29</v>
      </c>
    </row>
    <row r="41" spans="1:17" ht="15.75">
      <c r="A41" s="160">
        <f t="shared" si="0"/>
        <v>30</v>
      </c>
      <c r="B41" s="223" t="s">
        <v>392</v>
      </c>
    </row>
    <row r="42" spans="1:17">
      <c r="A42" s="160">
        <f t="shared" si="0"/>
        <v>31</v>
      </c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69"/>
    </row>
    <row r="43" spans="1:17">
      <c r="A43" s="160">
        <f t="shared" si="0"/>
        <v>32</v>
      </c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</row>
    <row r="44" spans="1:17">
      <c r="A44" s="160">
        <f t="shared" si="0"/>
        <v>33</v>
      </c>
      <c r="B44" s="4" t="s">
        <v>377</v>
      </c>
      <c r="C44" s="224">
        <v>149580.84000000003</v>
      </c>
      <c r="D44" s="224">
        <v>473313.3</v>
      </c>
      <c r="E44" s="224">
        <v>222900.01000000004</v>
      </c>
      <c r="F44" s="224">
        <v>224326.22000000003</v>
      </c>
      <c r="G44" s="224">
        <v>188605.39</v>
      </c>
      <c r="H44" s="224">
        <v>219199.00999999998</v>
      </c>
      <c r="I44" s="224">
        <v>189757.87230896112</v>
      </c>
      <c r="J44" s="224">
        <v>189757.87230896112</v>
      </c>
      <c r="K44" s="224">
        <v>189757.87230896112</v>
      </c>
      <c r="L44" s="224">
        <v>189757.87230896112</v>
      </c>
      <c r="M44" s="224">
        <v>189757.87230896112</v>
      </c>
      <c r="N44" s="224">
        <v>189757.87230896112</v>
      </c>
      <c r="O44" s="228">
        <f t="shared" ref="O44:O47" si="11">SUM(C44:N44)</f>
        <v>2616472.0038537672</v>
      </c>
    </row>
    <row r="45" spans="1:17">
      <c r="A45" s="160">
        <f t="shared" si="0"/>
        <v>34</v>
      </c>
      <c r="B45" s="4" t="s">
        <v>387</v>
      </c>
      <c r="C45" s="31">
        <v>48100</v>
      </c>
      <c r="D45" s="31">
        <v>48100</v>
      </c>
      <c r="E45" s="31">
        <v>48100</v>
      </c>
      <c r="F45" s="31">
        <v>28500</v>
      </c>
      <c r="G45" s="31">
        <v>28500</v>
      </c>
      <c r="H45" s="31">
        <v>28500</v>
      </c>
      <c r="I45" s="31">
        <v>28500</v>
      </c>
      <c r="J45" s="31">
        <v>28500</v>
      </c>
      <c r="K45" s="31">
        <v>28500</v>
      </c>
      <c r="L45" s="31">
        <v>28500</v>
      </c>
      <c r="M45" s="31">
        <v>28500</v>
      </c>
      <c r="N45" s="31">
        <v>28500</v>
      </c>
      <c r="O45" s="226">
        <f t="shared" si="11"/>
        <v>400800</v>
      </c>
      <c r="P45" s="69"/>
    </row>
    <row r="46" spans="1:17">
      <c r="A46" s="160">
        <f t="shared" si="0"/>
        <v>35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</row>
    <row r="47" spans="1:17">
      <c r="A47" s="160">
        <f t="shared" si="0"/>
        <v>36</v>
      </c>
      <c r="B47" s="4" t="s">
        <v>389</v>
      </c>
      <c r="C47" s="227">
        <f t="shared" ref="C47:N47" si="12">SUM(C42:C45)</f>
        <v>197680.84000000003</v>
      </c>
      <c r="D47" s="227">
        <f t="shared" si="12"/>
        <v>521413.3</v>
      </c>
      <c r="E47" s="227">
        <f t="shared" si="12"/>
        <v>271000.01</v>
      </c>
      <c r="F47" s="227">
        <f t="shared" si="12"/>
        <v>252826.22000000003</v>
      </c>
      <c r="G47" s="227">
        <f t="shared" si="12"/>
        <v>217105.39</v>
      </c>
      <c r="H47" s="227">
        <f t="shared" si="12"/>
        <v>247699.00999999998</v>
      </c>
      <c r="I47" s="227">
        <f t="shared" si="12"/>
        <v>218257.87230896112</v>
      </c>
      <c r="J47" s="227">
        <f>SUM(J42:J45)</f>
        <v>218257.87230896112</v>
      </c>
      <c r="K47" s="227">
        <f t="shared" si="12"/>
        <v>218257.87230896112</v>
      </c>
      <c r="L47" s="227">
        <f t="shared" si="12"/>
        <v>218257.87230896112</v>
      </c>
      <c r="M47" s="227">
        <f t="shared" si="12"/>
        <v>218257.87230896112</v>
      </c>
      <c r="N47" s="227">
        <f t="shared" si="12"/>
        <v>218257.87230896112</v>
      </c>
      <c r="O47" s="227">
        <f t="shared" si="11"/>
        <v>3017272.0038537672</v>
      </c>
      <c r="Q47"/>
    </row>
    <row r="48" spans="1:17">
      <c r="A48" s="160">
        <f t="shared" si="0"/>
        <v>37</v>
      </c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</row>
    <row r="49" spans="1:17">
      <c r="A49" s="160">
        <f t="shared" si="0"/>
        <v>38</v>
      </c>
      <c r="B49" s="4" t="s">
        <v>390</v>
      </c>
      <c r="C49" s="194"/>
      <c r="D49" s="194"/>
      <c r="E49" s="194"/>
      <c r="F49" s="194"/>
      <c r="G49" s="194"/>
      <c r="H49" s="194"/>
      <c r="I49" s="194">
        <v>0.11020000000000001</v>
      </c>
      <c r="J49" s="194">
        <v>0.11020000000000001</v>
      </c>
      <c r="K49" s="194">
        <v>0.11020000000000001</v>
      </c>
      <c r="L49" s="194">
        <v>0.11020000000000001</v>
      </c>
      <c r="M49" s="194">
        <v>0.11020000000000001</v>
      </c>
      <c r="N49" s="194">
        <v>0.11020000000000001</v>
      </c>
    </row>
    <row r="50" spans="1:17">
      <c r="A50" s="160">
        <f t="shared" si="0"/>
        <v>39</v>
      </c>
      <c r="B50" s="4" t="s">
        <v>391</v>
      </c>
      <c r="C50" s="194"/>
      <c r="D50" s="194"/>
      <c r="E50" s="194"/>
      <c r="F50" s="194"/>
      <c r="G50" s="194"/>
      <c r="H50" s="194"/>
      <c r="I50" s="194">
        <v>0.50429999999999997</v>
      </c>
      <c r="J50" s="194">
        <v>0.50429999999999997</v>
      </c>
      <c r="K50" s="194">
        <v>0.50429999999999997</v>
      </c>
      <c r="L50" s="194">
        <v>0.50429999999999997</v>
      </c>
      <c r="M50" s="194">
        <v>0.50429999999999997</v>
      </c>
      <c r="N50" s="194">
        <v>0.50429999999999997</v>
      </c>
    </row>
    <row r="51" spans="1:17">
      <c r="A51" s="160">
        <f t="shared" si="0"/>
        <v>40</v>
      </c>
      <c r="J51" s="194"/>
    </row>
    <row r="52" spans="1:17">
      <c r="A52" s="160">
        <f t="shared" si="0"/>
        <v>41</v>
      </c>
      <c r="B52" s="4" t="s">
        <v>352</v>
      </c>
      <c r="C52" s="227">
        <f t="shared" ref="C52:H52" si="13">C20</f>
        <v>10995.86</v>
      </c>
      <c r="D52" s="227">
        <f t="shared" si="13"/>
        <v>29003.25</v>
      </c>
      <c r="E52" s="227">
        <f t="shared" si="13"/>
        <v>15074.18</v>
      </c>
      <c r="F52" s="227">
        <f t="shared" si="13"/>
        <v>14063.28</v>
      </c>
      <c r="G52" s="227">
        <f t="shared" si="13"/>
        <v>12076.33</v>
      </c>
      <c r="H52" s="227">
        <f t="shared" si="13"/>
        <v>13778.08</v>
      </c>
      <c r="I52" s="227">
        <f t="shared" ref="I52:N52" si="14">(I47)*I49*I50</f>
        <v>12129.432439596081</v>
      </c>
      <c r="J52" s="227">
        <f t="shared" si="14"/>
        <v>12129.432439596081</v>
      </c>
      <c r="K52" s="227">
        <f t="shared" si="14"/>
        <v>12129.432439596081</v>
      </c>
      <c r="L52" s="227">
        <f t="shared" si="14"/>
        <v>12129.432439596081</v>
      </c>
      <c r="M52" s="227">
        <f t="shared" si="14"/>
        <v>12129.432439596081</v>
      </c>
      <c r="N52" s="227">
        <f t="shared" si="14"/>
        <v>12129.432439596081</v>
      </c>
      <c r="O52" s="227">
        <f>SUM(C52:N52)</f>
        <v>167767.57463757647</v>
      </c>
    </row>
    <row r="53" spans="1:17">
      <c r="A53" s="160">
        <f t="shared" si="0"/>
        <v>42</v>
      </c>
    </row>
    <row r="54" spans="1:17" ht="15.75">
      <c r="A54" s="160">
        <f t="shared" si="0"/>
        <v>43</v>
      </c>
      <c r="B54" s="223" t="s">
        <v>393</v>
      </c>
    </row>
    <row r="55" spans="1:17">
      <c r="A55" s="160">
        <f t="shared" si="0"/>
        <v>44</v>
      </c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</row>
    <row r="56" spans="1:17">
      <c r="A56" s="160">
        <f t="shared" si="0"/>
        <v>45</v>
      </c>
      <c r="C56" s="224"/>
      <c r="D56" s="224"/>
      <c r="E56" s="224"/>
      <c r="F56" s="224"/>
      <c r="G56" s="224"/>
      <c r="H56" s="224"/>
      <c r="I56" s="224"/>
      <c r="J56" s="224"/>
      <c r="K56" s="224"/>
      <c r="L56" s="224"/>
      <c r="M56" s="224"/>
      <c r="N56" s="224"/>
    </row>
    <row r="57" spans="1:17">
      <c r="A57" s="160">
        <f t="shared" si="0"/>
        <v>46</v>
      </c>
      <c r="B57" s="4" t="s">
        <v>377</v>
      </c>
      <c r="C57" s="224">
        <v>26858.569999999996</v>
      </c>
      <c r="D57" s="224">
        <v>31582.079999999994</v>
      </c>
      <c r="E57" s="224">
        <v>61474.640000000007</v>
      </c>
      <c r="F57" s="224">
        <v>32993.51</v>
      </c>
      <c r="G57" s="224">
        <v>35235.89</v>
      </c>
      <c r="H57" s="224">
        <v>42553.3</v>
      </c>
      <c r="I57" s="224">
        <v>27443.071785986886</v>
      </c>
      <c r="J57" s="224">
        <v>27443.071785986886</v>
      </c>
      <c r="K57" s="224">
        <v>27443.071785986886</v>
      </c>
      <c r="L57" s="224">
        <v>27443.071785986886</v>
      </c>
      <c r="M57" s="224">
        <v>27443.071785986886</v>
      </c>
      <c r="N57" s="224">
        <v>27443.071785986886</v>
      </c>
      <c r="O57" s="224">
        <f t="shared" ref="O57:O62" si="15">SUM(C57:N57)</f>
        <v>395356.42071592133</v>
      </c>
    </row>
    <row r="58" spans="1:17">
      <c r="A58" s="160">
        <f t="shared" si="0"/>
        <v>47</v>
      </c>
      <c r="B58" t="s">
        <v>378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226">
        <f t="shared" si="15"/>
        <v>0</v>
      </c>
    </row>
    <row r="59" spans="1:17">
      <c r="A59" s="160">
        <f t="shared" si="0"/>
        <v>48</v>
      </c>
      <c r="B59" s="4" t="s">
        <v>387</v>
      </c>
      <c r="C59" s="31">
        <v>0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226">
        <f t="shared" si="15"/>
        <v>0</v>
      </c>
    </row>
    <row r="60" spans="1:17">
      <c r="A60" s="160">
        <f t="shared" si="0"/>
        <v>49</v>
      </c>
      <c r="B60" t="s">
        <v>394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226">
        <f t="shared" si="15"/>
        <v>0</v>
      </c>
    </row>
    <row r="61" spans="1:17">
      <c r="A61" s="160">
        <f t="shared" si="0"/>
        <v>50</v>
      </c>
      <c r="B61"/>
      <c r="C61" s="31"/>
      <c r="D61" s="31"/>
      <c r="E61" s="229"/>
      <c r="F61" s="229"/>
      <c r="G61" s="31"/>
      <c r="H61" s="31"/>
      <c r="I61" s="31"/>
      <c r="J61" s="31"/>
      <c r="K61" s="31"/>
      <c r="L61" s="31"/>
      <c r="M61" s="31"/>
      <c r="N61" s="31"/>
      <c r="Q61"/>
    </row>
    <row r="62" spans="1:17">
      <c r="A62" s="160">
        <f t="shared" si="0"/>
        <v>51</v>
      </c>
      <c r="B62" s="4" t="s">
        <v>389</v>
      </c>
      <c r="C62" s="227">
        <f t="shared" ref="C62:N62" si="16">SUM(C55:C60)</f>
        <v>26858.569999999996</v>
      </c>
      <c r="D62" s="227">
        <f t="shared" si="16"/>
        <v>31582.079999999994</v>
      </c>
      <c r="E62" s="227">
        <f t="shared" si="16"/>
        <v>61474.640000000007</v>
      </c>
      <c r="F62" s="227">
        <f t="shared" si="16"/>
        <v>32993.51</v>
      </c>
      <c r="G62" s="227">
        <f t="shared" si="16"/>
        <v>35235.89</v>
      </c>
      <c r="H62" s="227">
        <f t="shared" si="16"/>
        <v>42553.3</v>
      </c>
      <c r="I62" s="227">
        <f t="shared" si="16"/>
        <v>27443.071785986886</v>
      </c>
      <c r="J62" s="227">
        <f t="shared" si="16"/>
        <v>27443.071785986886</v>
      </c>
      <c r="K62" s="227">
        <f t="shared" si="16"/>
        <v>27443.071785986886</v>
      </c>
      <c r="L62" s="227">
        <f t="shared" si="16"/>
        <v>27443.071785986886</v>
      </c>
      <c r="M62" s="227">
        <f t="shared" si="16"/>
        <v>27443.071785986886</v>
      </c>
      <c r="N62" s="227">
        <f t="shared" si="16"/>
        <v>27443.071785986886</v>
      </c>
      <c r="O62" s="227">
        <f t="shared" si="15"/>
        <v>395356.42071592133</v>
      </c>
    </row>
    <row r="63" spans="1:17">
      <c r="A63" s="160">
        <f t="shared" si="0"/>
        <v>52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</row>
    <row r="64" spans="1:17">
      <c r="A64" s="160">
        <f t="shared" si="0"/>
        <v>53</v>
      </c>
      <c r="B64" s="4" t="s">
        <v>390</v>
      </c>
      <c r="C64" s="194"/>
      <c r="D64" s="194"/>
      <c r="E64" s="194"/>
      <c r="F64" s="194"/>
      <c r="G64" s="194"/>
      <c r="H64" s="194"/>
      <c r="I64" s="194">
        <v>1</v>
      </c>
      <c r="J64" s="194">
        <v>1</v>
      </c>
      <c r="K64" s="194">
        <v>1</v>
      </c>
      <c r="L64" s="194">
        <v>1</v>
      </c>
      <c r="M64" s="194">
        <v>1</v>
      </c>
      <c r="N64" s="194">
        <v>1</v>
      </c>
    </row>
    <row r="65" spans="1:16">
      <c r="A65" s="160">
        <f t="shared" si="0"/>
        <v>54</v>
      </c>
      <c r="B65" s="4" t="s">
        <v>391</v>
      </c>
      <c r="C65" s="194"/>
      <c r="D65" s="194"/>
      <c r="E65" s="194"/>
      <c r="F65" s="194"/>
      <c r="G65" s="194"/>
      <c r="H65" s="194"/>
      <c r="I65" s="194">
        <v>0.50419999999999998</v>
      </c>
      <c r="J65" s="194">
        <v>0.50419999999999998</v>
      </c>
      <c r="K65" s="194">
        <v>0.50419999999999998</v>
      </c>
      <c r="L65" s="194">
        <v>0.50419999999999998</v>
      </c>
      <c r="M65" s="194">
        <v>0.50419999999999998</v>
      </c>
      <c r="N65" s="194">
        <v>0.50419999999999998</v>
      </c>
    </row>
    <row r="66" spans="1:16">
      <c r="A66" s="160">
        <f t="shared" si="0"/>
        <v>55</v>
      </c>
    </row>
    <row r="67" spans="1:16">
      <c r="A67" s="160">
        <f t="shared" si="0"/>
        <v>56</v>
      </c>
      <c r="B67" s="4" t="s">
        <v>352</v>
      </c>
      <c r="C67" s="227">
        <f t="shared" ref="C67:H67" si="17">C22</f>
        <v>14019.55</v>
      </c>
      <c r="D67" s="227">
        <f t="shared" si="17"/>
        <v>15927.77</v>
      </c>
      <c r="E67" s="227">
        <f t="shared" si="17"/>
        <v>30994.04</v>
      </c>
      <c r="F67" s="227">
        <f t="shared" si="17"/>
        <v>17752.890000000003</v>
      </c>
      <c r="G67" s="227">
        <f t="shared" si="17"/>
        <v>17869.54</v>
      </c>
      <c r="H67" s="227">
        <f t="shared" si="17"/>
        <v>21410.83</v>
      </c>
      <c r="I67" s="227">
        <f t="shared" ref="I67:N67" si="18">(I62)*I64*I65</f>
        <v>13836.796794494587</v>
      </c>
      <c r="J67" s="227">
        <f t="shared" si="18"/>
        <v>13836.796794494587</v>
      </c>
      <c r="K67" s="227">
        <f t="shared" si="18"/>
        <v>13836.796794494587</v>
      </c>
      <c r="L67" s="227">
        <f t="shared" si="18"/>
        <v>13836.796794494587</v>
      </c>
      <c r="M67" s="227">
        <f t="shared" si="18"/>
        <v>13836.796794494587</v>
      </c>
      <c r="N67" s="227">
        <f t="shared" si="18"/>
        <v>13836.796794494587</v>
      </c>
      <c r="O67" s="227">
        <f>SUM(C67:N67)</f>
        <v>200995.40076696753</v>
      </c>
    </row>
    <row r="68" spans="1:16">
      <c r="C68" s="69"/>
    </row>
    <row r="70" spans="1:16">
      <c r="B70" s="230" t="s">
        <v>395</v>
      </c>
      <c r="C70" s="194"/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69"/>
    </row>
    <row r="71" spans="1:16">
      <c r="B71" s="230" t="s">
        <v>396</v>
      </c>
      <c r="C71" s="194"/>
      <c r="D71" s="194"/>
      <c r="E71" s="194"/>
      <c r="F71" s="194"/>
      <c r="G71" s="194"/>
      <c r="H71" s="194"/>
      <c r="I71" s="194"/>
      <c r="J71" s="194"/>
      <c r="K71" s="194"/>
      <c r="L71" s="194"/>
      <c r="M71" s="194"/>
      <c r="N71" s="194"/>
      <c r="P71" s="69"/>
    </row>
    <row r="72" spans="1:16">
      <c r="B72" s="230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P72" s="69"/>
    </row>
    <row r="73" spans="1:16">
      <c r="P73" s="69"/>
    </row>
    <row r="74" spans="1:16">
      <c r="P74" s="69"/>
    </row>
    <row r="75" spans="1:16">
      <c r="E75" s="69"/>
      <c r="J75" s="165"/>
    </row>
    <row r="78" spans="1:16">
      <c r="J78" s="69"/>
      <c r="K78" s="69"/>
    </row>
    <row r="79" spans="1:16">
      <c r="J79" s="69"/>
      <c r="K79" s="69"/>
    </row>
    <row r="80" spans="1:16">
      <c r="J80" s="69"/>
      <c r="K80" s="69"/>
    </row>
    <row r="81" spans="10:11">
      <c r="J81" s="69"/>
      <c r="K81" s="69"/>
    </row>
    <row r="82" spans="10:11">
      <c r="J82" s="69"/>
      <c r="K82" s="69"/>
    </row>
    <row r="83" spans="10:11">
      <c r="J83" s="69"/>
      <c r="K83" s="69"/>
    </row>
    <row r="84" spans="10:11">
      <c r="J84" s="69"/>
      <c r="K84" s="69"/>
    </row>
  </sheetData>
  <mergeCells count="4">
    <mergeCell ref="A1:O1"/>
    <mergeCell ref="A2:O2"/>
    <mergeCell ref="A3:O3"/>
    <mergeCell ref="A4:O4"/>
  </mergeCells>
  <printOptions horizontalCentered="1"/>
  <pageMargins left="0.17" right="0.17" top="0.6" bottom="0.17" header="0.18" footer="0.42"/>
  <pageSetup scale="47" orientation="landscape" r:id="rId1"/>
  <headerFooter alignWithMargins="0">
    <oddHeader>&amp;RCASE NO. 2021-00214
FR_16(8)(c) 
ATTACHMENT 1</oddHeader>
    <oddFooter>&amp;RSchedule &amp;A
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24671-F292-45D4-BB21-A110851CC80E}">
  <sheetPr>
    <pageSetUpPr fitToPage="1"/>
  </sheetPr>
  <dimension ref="A1:S71"/>
  <sheetViews>
    <sheetView view="pageBreakPreview" zoomScale="80" zoomScaleNormal="100" zoomScaleSheetLayoutView="80" workbookViewId="0">
      <selection activeCell="C21" sqref="C21"/>
    </sheetView>
  </sheetViews>
  <sheetFormatPr defaultColWidth="8.88671875" defaultRowHeight="15"/>
  <cols>
    <col min="1" max="1" width="4.6640625" style="4" customWidth="1"/>
    <col min="2" max="2" width="40.6640625" style="4" customWidth="1"/>
    <col min="3" max="3" width="11" style="4" bestFit="1" customWidth="1"/>
    <col min="4" max="5" width="11.109375" style="4" bestFit="1" customWidth="1"/>
    <col min="6" max="7" width="11" style="4" bestFit="1" customWidth="1"/>
    <col min="8" max="8" width="11.109375" style="4" bestFit="1" customWidth="1"/>
    <col min="9" max="12" width="11" style="4" bestFit="1" customWidth="1"/>
    <col min="13" max="13" width="12" style="4" bestFit="1" customWidth="1"/>
    <col min="14" max="14" width="11" style="4" bestFit="1" customWidth="1"/>
    <col min="15" max="15" width="13.88671875" style="4" customWidth="1"/>
    <col min="16" max="16" width="13.109375" style="4" bestFit="1" customWidth="1"/>
    <col min="17" max="17" width="12" style="4" bestFit="1" customWidth="1"/>
    <col min="18" max="18" width="11.44140625" style="4" bestFit="1" customWidth="1"/>
    <col min="19" max="16384" width="8.88671875" style="4"/>
  </cols>
  <sheetData>
    <row r="1" spans="1:19">
      <c r="A1" s="237" t="s">
        <v>404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</row>
    <row r="2" spans="1:19">
      <c r="A2" s="237" t="s">
        <v>405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9">
      <c r="A3" s="242" t="s">
        <v>371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Q3" s="165"/>
    </row>
    <row r="4" spans="1:19">
      <c r="A4" s="237" t="s">
        <v>407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</row>
    <row r="5" spans="1:19">
      <c r="B5" s="130"/>
      <c r="C5" s="130"/>
      <c r="D5" s="130"/>
      <c r="E5" s="130"/>
      <c r="F5" s="182"/>
      <c r="G5" s="130"/>
      <c r="H5" s="130"/>
      <c r="I5" s="130"/>
      <c r="J5" s="130"/>
      <c r="K5" s="130"/>
      <c r="L5" s="130"/>
      <c r="M5" s="130"/>
      <c r="N5" s="130"/>
    </row>
    <row r="6" spans="1:19">
      <c r="A6" s="50" t="str">
        <f>'C.2.1 F'!A6</f>
        <v>Data:________Base Period___X____Forecasted Period</v>
      </c>
      <c r="O6" s="8" t="s">
        <v>372</v>
      </c>
    </row>
    <row r="7" spans="1:19">
      <c r="A7" s="50" t="str">
        <f>'C.2.1 F'!A7</f>
        <v>Type of Filing:___X____Original________Updated ________Revised</v>
      </c>
      <c r="N7" s="51"/>
      <c r="O7" s="52" t="s">
        <v>397</v>
      </c>
    </row>
    <row r="8" spans="1:19">
      <c r="A8" s="53" t="str">
        <f>'C.2.1 F'!A8</f>
        <v>Workpaper Reference No(s).____________________</v>
      </c>
      <c r="B8" s="2"/>
      <c r="C8" s="11"/>
      <c r="D8" s="11"/>
      <c r="E8" s="11"/>
      <c r="F8" s="11"/>
      <c r="G8" s="11"/>
      <c r="H8" s="11"/>
      <c r="I8" s="11"/>
      <c r="J8" s="11"/>
      <c r="K8" s="11"/>
      <c r="L8" s="2"/>
      <c r="M8" s="2"/>
      <c r="N8" s="54"/>
      <c r="O8" s="55" t="str">
        <f>'C.2.3 B'!O8</f>
        <v>Witness: Christian</v>
      </c>
    </row>
    <row r="9" spans="1:19">
      <c r="A9" s="212" t="s">
        <v>22</v>
      </c>
      <c r="C9" s="133" t="str">
        <f>'C.2.2-F 09'!D9</f>
        <v>Forecasted</v>
      </c>
      <c r="D9" s="133" t="str">
        <f>'C.2.2-F 09'!E9</f>
        <v>Forecasted</v>
      </c>
      <c r="E9" s="133" t="str">
        <f>'C.2.2-F 09'!F9</f>
        <v>Forecasted</v>
      </c>
      <c r="F9" s="133" t="str">
        <f>'C.2.2-F 09'!G9</f>
        <v>Forecasted</v>
      </c>
      <c r="G9" s="133" t="str">
        <f>'C.2.2-F 09'!H9</f>
        <v>Forecasted</v>
      </c>
      <c r="H9" s="133" t="str">
        <f>'C.2.2-F 09'!I9</f>
        <v>Forecasted</v>
      </c>
      <c r="I9" s="133" t="str">
        <f>'C.2.2-F 09'!J9</f>
        <v>Forecasted</v>
      </c>
      <c r="J9" s="133" t="str">
        <f>'C.2.2-F 09'!K9</f>
        <v>Forecasted</v>
      </c>
      <c r="K9" s="133" t="str">
        <f>'C.2.2-F 09'!L9</f>
        <v>Forecasted</v>
      </c>
      <c r="L9" s="133" t="str">
        <f>'C.2.2-F 09'!M9</f>
        <v>Forecasted</v>
      </c>
      <c r="M9" s="133" t="str">
        <f>'C.2.2-F 09'!N9</f>
        <v>Forecasted</v>
      </c>
      <c r="N9" s="133" t="str">
        <f>'C.2.2-F 09'!O9</f>
        <v>Forecasted</v>
      </c>
      <c r="O9" s="185"/>
    </row>
    <row r="10" spans="1:19">
      <c r="A10" s="215" t="s">
        <v>25</v>
      </c>
      <c r="B10" s="54" t="s">
        <v>375</v>
      </c>
      <c r="C10" s="231">
        <f>'C.2.2-F 09'!D10</f>
        <v>44562</v>
      </c>
      <c r="D10" s="231">
        <f>'C.2.2-F 09'!E10</f>
        <v>44593</v>
      </c>
      <c r="E10" s="231">
        <f>'C.2.2-F 09'!F10</f>
        <v>44621</v>
      </c>
      <c r="F10" s="231">
        <f>'C.2.2-F 09'!G10</f>
        <v>44652</v>
      </c>
      <c r="G10" s="231">
        <f>'C.2.2-F 09'!H10</f>
        <v>44682</v>
      </c>
      <c r="H10" s="231">
        <f>'C.2.2-F 09'!I10</f>
        <v>44713</v>
      </c>
      <c r="I10" s="231">
        <f>'C.2.2-F 09'!J10</f>
        <v>44743</v>
      </c>
      <c r="J10" s="231">
        <f>'C.2.2-F 09'!K10</f>
        <v>44774</v>
      </c>
      <c r="K10" s="231">
        <f>'C.2.2-F 09'!L10</f>
        <v>44805</v>
      </c>
      <c r="L10" s="231">
        <f>'C.2.2-F 09'!M10</f>
        <v>44835</v>
      </c>
      <c r="M10" s="231">
        <f>'C.2.2-F 09'!N10</f>
        <v>44866</v>
      </c>
      <c r="N10" s="231">
        <f>'C.2.2-F 09'!O10</f>
        <v>44896</v>
      </c>
      <c r="O10" s="186" t="str">
        <f>'C.2.2 B 09'!P10</f>
        <v>Total</v>
      </c>
      <c r="P10" s="3"/>
    </row>
    <row r="11" spans="1:19" ht="15.75">
      <c r="B11" s="22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9" ht="15.75">
      <c r="B12" s="223" t="s">
        <v>376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9">
      <c r="A13" s="3">
        <v>1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69"/>
      <c r="S13" s="165"/>
    </row>
    <row r="14" spans="1:19">
      <c r="A14" s="160">
        <f>A13+1</f>
        <v>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225"/>
    </row>
    <row r="15" spans="1:19">
      <c r="A15" s="160">
        <f t="shared" ref="A15:A68" si="0">A14+1</f>
        <v>3</v>
      </c>
      <c r="B15" s="4" t="s">
        <v>398</v>
      </c>
      <c r="C15" s="224">
        <v>64427.53</v>
      </c>
      <c r="D15" s="224">
        <v>41244.29</v>
      </c>
      <c r="E15" s="224">
        <v>53896.810000000005</v>
      </c>
      <c r="F15" s="224">
        <v>36561.910000000003</v>
      </c>
      <c r="G15" s="224">
        <v>42590.5</v>
      </c>
      <c r="H15" s="224">
        <v>36012.92</v>
      </c>
      <c r="I15" s="224">
        <v>37032.620000000003</v>
      </c>
      <c r="J15" s="224">
        <v>32207.07</v>
      </c>
      <c r="K15" s="224">
        <v>53449.79</v>
      </c>
      <c r="L15" s="224">
        <v>36700.959999999999</v>
      </c>
      <c r="M15" s="224">
        <v>102227.5</v>
      </c>
      <c r="N15" s="224">
        <v>24381.13</v>
      </c>
      <c r="O15" s="224">
        <f t="shared" ref="O15:O23" si="1">SUM(C15:N15)</f>
        <v>560733.03</v>
      </c>
      <c r="P15" s="225"/>
    </row>
    <row r="16" spans="1:19">
      <c r="A16" s="160">
        <f t="shared" si="0"/>
        <v>4</v>
      </c>
      <c r="B16" s="4" t="s">
        <v>378</v>
      </c>
      <c r="C16" s="31">
        <f>'C.2.3 B'!F15*1.03</f>
        <v>0</v>
      </c>
      <c r="D16" s="31">
        <f>'C.2.3 B'!G15*1.03</f>
        <v>0</v>
      </c>
      <c r="E16" s="31">
        <f>'C.2.3 B'!H15*1.03</f>
        <v>0</v>
      </c>
      <c r="F16" s="31">
        <f>'C.2.3 B'!I15</f>
        <v>0</v>
      </c>
      <c r="G16" s="31">
        <f>'C.2.3 B'!J15</f>
        <v>0</v>
      </c>
      <c r="H16" s="31">
        <f>'C.2.3 B'!K15</f>
        <v>0</v>
      </c>
      <c r="I16" s="31">
        <f>'C.2.3 B'!L15</f>
        <v>0</v>
      </c>
      <c r="J16" s="31">
        <f>'C.2.3 B'!M15</f>
        <v>0</v>
      </c>
      <c r="K16" s="31">
        <f>'C.2.3 B'!N15</f>
        <v>0</v>
      </c>
      <c r="L16" s="229">
        <f>'C.2.3 B'!C15*1.03</f>
        <v>0</v>
      </c>
      <c r="M16" s="229">
        <f>'C.2.3 B'!M15</f>
        <v>0</v>
      </c>
      <c r="N16" s="229">
        <f>'C.2.3 B'!N15</f>
        <v>0</v>
      </c>
      <c r="O16" s="31">
        <f t="shared" si="1"/>
        <v>0</v>
      </c>
      <c r="P16" s="69"/>
      <c r="R16" s="203"/>
    </row>
    <row r="17" spans="1:18">
      <c r="A17" s="160">
        <f t="shared" si="0"/>
        <v>5</v>
      </c>
      <c r="B17" s="4" t="s">
        <v>379</v>
      </c>
      <c r="C17" s="31">
        <v>721721.00559507392</v>
      </c>
      <c r="D17" s="31">
        <v>721721.00559507392</v>
      </c>
      <c r="E17" s="31">
        <v>721721.00559507392</v>
      </c>
      <c r="F17" s="31">
        <v>721721.00559507392</v>
      </c>
      <c r="G17" s="31">
        <v>721721.00559507392</v>
      </c>
      <c r="H17" s="31">
        <v>721721.00559507392</v>
      </c>
      <c r="I17" s="31">
        <v>721721.00559507392</v>
      </c>
      <c r="J17" s="31">
        <v>721721.00559507392</v>
      </c>
      <c r="K17" s="31">
        <v>721721.00559507392</v>
      </c>
      <c r="L17" s="31">
        <v>721721.00559507392</v>
      </c>
      <c r="M17" s="31">
        <v>721721.00559507392</v>
      </c>
      <c r="N17" s="31">
        <v>721721.00559507392</v>
      </c>
      <c r="O17" s="31">
        <f>SUM(C17:N17)</f>
        <v>8660652.0671408866</v>
      </c>
      <c r="P17" s="232"/>
      <c r="Q17" s="232"/>
      <c r="R17" s="69"/>
    </row>
    <row r="18" spans="1:18">
      <c r="A18" s="160">
        <f t="shared" si="0"/>
        <v>6</v>
      </c>
      <c r="B18" s="4" t="s">
        <v>380</v>
      </c>
      <c r="C18" s="31">
        <v>0</v>
      </c>
      <c r="D18" s="31">
        <v>0</v>
      </c>
      <c r="E18" s="31">
        <v>145406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f t="shared" si="1"/>
        <v>145406</v>
      </c>
      <c r="Q18" s="233"/>
    </row>
    <row r="19" spans="1:18">
      <c r="A19" s="160">
        <f t="shared" si="0"/>
        <v>7</v>
      </c>
      <c r="B19" s="4" t="s">
        <v>381</v>
      </c>
      <c r="C19" s="31">
        <v>667</v>
      </c>
      <c r="D19" s="31">
        <v>0</v>
      </c>
      <c r="E19" s="31">
        <v>83</v>
      </c>
      <c r="F19" s="31">
        <v>651</v>
      </c>
      <c r="G19" s="31">
        <v>43</v>
      </c>
      <c r="H19" s="31">
        <v>0</v>
      </c>
      <c r="I19" s="31">
        <v>16506</v>
      </c>
      <c r="J19" s="31">
        <v>212</v>
      </c>
      <c r="K19" s="31">
        <v>83</v>
      </c>
      <c r="L19" s="31">
        <v>782</v>
      </c>
      <c r="M19" s="31">
        <v>65</v>
      </c>
      <c r="N19" s="31">
        <v>383</v>
      </c>
      <c r="O19" s="31">
        <f t="shared" si="1"/>
        <v>19475</v>
      </c>
      <c r="P19" s="69"/>
      <c r="Q19" s="233"/>
    </row>
    <row r="20" spans="1:18">
      <c r="A20" s="160">
        <f t="shared" si="0"/>
        <v>8</v>
      </c>
      <c r="B20" s="4" t="s">
        <v>382</v>
      </c>
      <c r="C20" s="31">
        <f>$O20/12</f>
        <v>28911.153824944908</v>
      </c>
      <c r="D20" s="31">
        <f>C20</f>
        <v>28911.153824944908</v>
      </c>
      <c r="E20" s="31">
        <f t="shared" ref="E20:N20" si="2">D20</f>
        <v>28911.153824944908</v>
      </c>
      <c r="F20" s="31">
        <f t="shared" si="2"/>
        <v>28911.153824944908</v>
      </c>
      <c r="G20" s="31">
        <f t="shared" si="2"/>
        <v>28911.153824944908</v>
      </c>
      <c r="H20" s="31">
        <f t="shared" si="2"/>
        <v>28911.153824944908</v>
      </c>
      <c r="I20" s="31">
        <f t="shared" si="2"/>
        <v>28911.153824944908</v>
      </c>
      <c r="J20" s="31">
        <f t="shared" si="2"/>
        <v>28911.153824944908</v>
      </c>
      <c r="K20" s="31">
        <f t="shared" si="2"/>
        <v>28911.153824944908</v>
      </c>
      <c r="L20" s="31">
        <f t="shared" si="2"/>
        <v>28911.153824944908</v>
      </c>
      <c r="M20" s="31">
        <f t="shared" si="2"/>
        <v>28911.153824944908</v>
      </c>
      <c r="N20" s="31">
        <f t="shared" si="2"/>
        <v>28911.153824944908</v>
      </c>
      <c r="O20" s="31">
        <v>346933.84589933889</v>
      </c>
      <c r="P20" s="234"/>
      <c r="Q20" s="69"/>
      <c r="R20" s="69"/>
    </row>
    <row r="21" spans="1:18">
      <c r="A21" s="160">
        <f t="shared" si="0"/>
        <v>9</v>
      </c>
      <c r="B21" s="4" t="s">
        <v>383</v>
      </c>
      <c r="C21" s="31">
        <f>C53</f>
        <v>12445.799762483966</v>
      </c>
      <c r="D21" s="31">
        <f t="shared" ref="D21:N21" si="3">D53</f>
        <v>12445.799762483966</v>
      </c>
      <c r="E21" s="31">
        <f t="shared" si="3"/>
        <v>12445.799762483966</v>
      </c>
      <c r="F21" s="31">
        <f t="shared" si="3"/>
        <v>12445.799762483966</v>
      </c>
      <c r="G21" s="31">
        <f t="shared" si="3"/>
        <v>12445.799762483966</v>
      </c>
      <c r="H21" s="31">
        <f t="shared" si="3"/>
        <v>12445.799762483966</v>
      </c>
      <c r="I21" s="31">
        <f t="shared" si="3"/>
        <v>12445.799762483966</v>
      </c>
      <c r="J21" s="31">
        <f t="shared" si="3"/>
        <v>12445.799762483966</v>
      </c>
      <c r="K21" s="31">
        <f t="shared" si="3"/>
        <v>12445.799762483966</v>
      </c>
      <c r="L21" s="31">
        <f t="shared" si="3"/>
        <v>12445.799762483966</v>
      </c>
      <c r="M21" s="31">
        <f t="shared" si="3"/>
        <v>12445.799762483966</v>
      </c>
      <c r="N21" s="31">
        <f t="shared" si="3"/>
        <v>12445.799762483966</v>
      </c>
      <c r="O21" s="31">
        <f t="shared" si="1"/>
        <v>149349.59714980758</v>
      </c>
      <c r="P21" s="232"/>
      <c r="Q21" s="69"/>
    </row>
    <row r="22" spans="1:18">
      <c r="A22" s="160">
        <f t="shared" si="0"/>
        <v>10</v>
      </c>
      <c r="B22" s="4" t="s">
        <v>384</v>
      </c>
      <c r="C22" s="31">
        <f>C40</f>
        <v>22734.552447509199</v>
      </c>
      <c r="D22" s="31">
        <f t="shared" ref="D22:N22" si="4">D40</f>
        <v>22734.552447509199</v>
      </c>
      <c r="E22" s="31">
        <f t="shared" si="4"/>
        <v>22734.552447509199</v>
      </c>
      <c r="F22" s="31">
        <f t="shared" si="4"/>
        <v>22734.552447509199</v>
      </c>
      <c r="G22" s="31">
        <f t="shared" si="4"/>
        <v>22734.552447509199</v>
      </c>
      <c r="H22" s="31">
        <f t="shared" si="4"/>
        <v>22734.552447509199</v>
      </c>
      <c r="I22" s="31">
        <f t="shared" si="4"/>
        <v>22734.552447509199</v>
      </c>
      <c r="J22" s="31">
        <f t="shared" si="4"/>
        <v>22734.552447509199</v>
      </c>
      <c r="K22" s="31">
        <f t="shared" si="4"/>
        <v>22734.552447509199</v>
      </c>
      <c r="L22" s="31">
        <f t="shared" si="4"/>
        <v>22734.552447509199</v>
      </c>
      <c r="M22" s="31">
        <f t="shared" si="4"/>
        <v>22734.552447509199</v>
      </c>
      <c r="N22" s="31">
        <f t="shared" si="4"/>
        <v>22734.552447509199</v>
      </c>
      <c r="O22" s="31">
        <f t="shared" si="1"/>
        <v>272814.6293701104</v>
      </c>
      <c r="P22" s="232"/>
      <c r="Q22" s="69"/>
    </row>
    <row r="23" spans="1:18">
      <c r="A23" s="160">
        <f t="shared" si="0"/>
        <v>11</v>
      </c>
      <c r="B23" s="4" t="s">
        <v>385</v>
      </c>
      <c r="C23" s="31">
        <f>C68</f>
        <v>14251.900698329426</v>
      </c>
      <c r="D23" s="31">
        <f t="shared" ref="D23:N23" si="5">D68</f>
        <v>14251.900698329426</v>
      </c>
      <c r="E23" s="31">
        <f t="shared" si="5"/>
        <v>14251.900698329426</v>
      </c>
      <c r="F23" s="31">
        <f t="shared" si="5"/>
        <v>14251.900698329426</v>
      </c>
      <c r="G23" s="31">
        <f t="shared" si="5"/>
        <v>14251.900698329426</v>
      </c>
      <c r="H23" s="31">
        <f t="shared" si="5"/>
        <v>14251.900698329426</v>
      </c>
      <c r="I23" s="31">
        <f t="shared" si="5"/>
        <v>14251.900698329426</v>
      </c>
      <c r="J23" s="31">
        <f t="shared" si="5"/>
        <v>14251.900698329426</v>
      </c>
      <c r="K23" s="31">
        <f t="shared" si="5"/>
        <v>14251.900698329426</v>
      </c>
      <c r="L23" s="31">
        <f t="shared" si="5"/>
        <v>14251.900698329426</v>
      </c>
      <c r="M23" s="31">
        <f t="shared" si="5"/>
        <v>14251.900698329426</v>
      </c>
      <c r="N23" s="31">
        <f t="shared" si="5"/>
        <v>14251.900698329426</v>
      </c>
      <c r="O23" s="31">
        <f t="shared" si="1"/>
        <v>171022.80837995315</v>
      </c>
      <c r="P23" s="232"/>
      <c r="Q23" s="69"/>
    </row>
    <row r="24" spans="1:18">
      <c r="A24" s="160">
        <f t="shared" si="0"/>
        <v>12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</row>
    <row r="25" spans="1:18">
      <c r="A25" s="160">
        <f t="shared" si="0"/>
        <v>13</v>
      </c>
      <c r="B25" s="4" t="s">
        <v>246</v>
      </c>
      <c r="C25" s="227">
        <f t="shared" ref="C25:N25" si="6">SUM(C13:C24)</f>
        <v>865158.94232834142</v>
      </c>
      <c r="D25" s="227">
        <f t="shared" si="6"/>
        <v>841308.70232834143</v>
      </c>
      <c r="E25" s="227">
        <f t="shared" si="6"/>
        <v>999450.22232834145</v>
      </c>
      <c r="F25" s="227">
        <f t="shared" si="6"/>
        <v>837277.32232834143</v>
      </c>
      <c r="G25" s="227">
        <f t="shared" si="6"/>
        <v>842697.91232834139</v>
      </c>
      <c r="H25" s="227">
        <f t="shared" si="6"/>
        <v>836077.33232834144</v>
      </c>
      <c r="I25" s="227">
        <f t="shared" si="6"/>
        <v>853603.03232834139</v>
      </c>
      <c r="J25" s="227">
        <f t="shared" si="6"/>
        <v>832483.48232834134</v>
      </c>
      <c r="K25" s="227">
        <f t="shared" si="6"/>
        <v>853597.20232834143</v>
      </c>
      <c r="L25" s="227">
        <f t="shared" si="6"/>
        <v>837547.37232834136</v>
      </c>
      <c r="M25" s="227">
        <f t="shared" si="6"/>
        <v>902356.91232834139</v>
      </c>
      <c r="N25" s="227">
        <f t="shared" si="6"/>
        <v>824828.5423283414</v>
      </c>
      <c r="O25" s="227">
        <f>SUM(C25:N25)</f>
        <v>10326386.977940097</v>
      </c>
      <c r="P25" s="233"/>
    </row>
    <row r="26" spans="1:18">
      <c r="A26" s="160">
        <f t="shared" si="0"/>
        <v>14</v>
      </c>
    </row>
    <row r="27" spans="1:18" ht="15.75">
      <c r="A27" s="160">
        <f t="shared" si="0"/>
        <v>15</v>
      </c>
      <c r="B27" s="223" t="s">
        <v>386</v>
      </c>
    </row>
    <row r="28" spans="1:18">
      <c r="A28" s="160">
        <f t="shared" si="0"/>
        <v>16</v>
      </c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</row>
    <row r="29" spans="1:18">
      <c r="A29" s="160">
        <f t="shared" si="0"/>
        <v>17</v>
      </c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31"/>
    </row>
    <row r="30" spans="1:18">
      <c r="A30" s="160">
        <f t="shared" si="0"/>
        <v>18</v>
      </c>
      <c r="B30" s="4" t="s">
        <v>377</v>
      </c>
      <c r="C30" s="224">
        <f>'C.2.3 B'!$N29*1.03</f>
        <v>304579.69892156281</v>
      </c>
      <c r="D30" s="224">
        <f>C30</f>
        <v>304579.69892156281</v>
      </c>
      <c r="E30" s="224">
        <f t="shared" ref="E30:N30" si="7">D30</f>
        <v>304579.69892156281</v>
      </c>
      <c r="F30" s="224">
        <f t="shared" si="7"/>
        <v>304579.69892156281</v>
      </c>
      <c r="G30" s="224">
        <f t="shared" si="7"/>
        <v>304579.69892156281</v>
      </c>
      <c r="H30" s="224">
        <f t="shared" si="7"/>
        <v>304579.69892156281</v>
      </c>
      <c r="I30" s="224">
        <f t="shared" si="7"/>
        <v>304579.69892156281</v>
      </c>
      <c r="J30" s="224">
        <f t="shared" si="7"/>
        <v>304579.69892156281</v>
      </c>
      <c r="K30" s="224">
        <f t="shared" si="7"/>
        <v>304579.69892156281</v>
      </c>
      <c r="L30" s="224">
        <f t="shared" si="7"/>
        <v>304579.69892156281</v>
      </c>
      <c r="M30" s="224">
        <f t="shared" si="7"/>
        <v>304579.69892156281</v>
      </c>
      <c r="N30" s="224">
        <f t="shared" si="7"/>
        <v>304579.69892156281</v>
      </c>
      <c r="O30" s="224">
        <f t="shared" ref="O30:O35" si="8">SUM(C30:N30)</f>
        <v>3654956.3870587531</v>
      </c>
    </row>
    <row r="31" spans="1:18">
      <c r="A31" s="160">
        <f t="shared" si="0"/>
        <v>19</v>
      </c>
      <c r="B31" s="4" t="s">
        <v>387</v>
      </c>
      <c r="C31" s="31">
        <f>'C.2.3 B'!$N30</f>
        <v>41200</v>
      </c>
      <c r="D31" s="31">
        <f>'C.2.3 B'!$N30</f>
        <v>41200</v>
      </c>
      <c r="E31" s="31">
        <f>'C.2.3 B'!$N30</f>
        <v>41200</v>
      </c>
      <c r="F31" s="31">
        <f>'C.2.3 B'!$N30</f>
        <v>41200</v>
      </c>
      <c r="G31" s="31">
        <f>'C.2.3 B'!$N30</f>
        <v>41200</v>
      </c>
      <c r="H31" s="31">
        <f>'C.2.3 B'!$N30</f>
        <v>41200</v>
      </c>
      <c r="I31" s="31">
        <f>'C.2.3 B'!$N30</f>
        <v>41200</v>
      </c>
      <c r="J31" s="31">
        <f>'C.2.3 B'!$N30</f>
        <v>41200</v>
      </c>
      <c r="K31" s="31">
        <f>'C.2.3 B'!$N30</f>
        <v>41200</v>
      </c>
      <c r="L31" s="31">
        <f>'C.2.3 B'!$N30</f>
        <v>41200</v>
      </c>
      <c r="M31" s="31">
        <f>'C.2.3 B'!$N30</f>
        <v>41200</v>
      </c>
      <c r="N31" s="31">
        <f>'C.2.3 B'!$N30</f>
        <v>41200</v>
      </c>
      <c r="O31" s="31">
        <f>SUM(C31:N31)</f>
        <v>494400</v>
      </c>
      <c r="P31" s="232"/>
      <c r="Q31" s="232"/>
      <c r="R31" s="69"/>
    </row>
    <row r="32" spans="1:18">
      <c r="A32" s="160">
        <f t="shared" si="0"/>
        <v>20</v>
      </c>
      <c r="B32" s="4" t="s">
        <v>399</v>
      </c>
      <c r="C32" s="31">
        <f>'C.2.3 B'!N31</f>
        <v>0</v>
      </c>
      <c r="D32" s="31">
        <f>C32</f>
        <v>0</v>
      </c>
      <c r="E32" s="31">
        <f t="shared" ref="E32:N33" si="9">D32</f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8"/>
        <v>0</v>
      </c>
    </row>
    <row r="33" spans="1:18">
      <c r="A33" s="160">
        <f t="shared" si="0"/>
        <v>21</v>
      </c>
      <c r="B33" s="4" t="s">
        <v>388</v>
      </c>
      <c r="C33" s="31">
        <f>'C.2.3 B'!N32</f>
        <v>111526.04132907827</v>
      </c>
      <c r="D33" s="31">
        <f>C33</f>
        <v>111526.04132907827</v>
      </c>
      <c r="E33" s="31">
        <f t="shared" si="9"/>
        <v>111526.04132907827</v>
      </c>
      <c r="F33" s="31">
        <f t="shared" si="9"/>
        <v>111526.04132907827</v>
      </c>
      <c r="G33" s="31">
        <f t="shared" si="9"/>
        <v>111526.04132907827</v>
      </c>
      <c r="H33" s="31">
        <f t="shared" si="9"/>
        <v>111526.04132907827</v>
      </c>
      <c r="I33" s="31">
        <f t="shared" si="9"/>
        <v>111526.04132907827</v>
      </c>
      <c r="J33" s="31">
        <f t="shared" si="9"/>
        <v>111526.04132907827</v>
      </c>
      <c r="K33" s="31">
        <f t="shared" si="9"/>
        <v>111526.04132907827</v>
      </c>
      <c r="L33" s="31">
        <f t="shared" si="9"/>
        <v>111526.04132907827</v>
      </c>
      <c r="M33" s="31">
        <f t="shared" si="9"/>
        <v>111526.04132907827</v>
      </c>
      <c r="N33" s="31">
        <f t="shared" si="9"/>
        <v>111526.04132907827</v>
      </c>
      <c r="O33" s="31">
        <f t="shared" si="8"/>
        <v>1338312.4959489396</v>
      </c>
    </row>
    <row r="34" spans="1:18">
      <c r="A34" s="160">
        <f t="shared" si="0"/>
        <v>22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1:18">
      <c r="A35" s="160">
        <f t="shared" si="0"/>
        <v>23</v>
      </c>
      <c r="B35" s="4" t="s">
        <v>389</v>
      </c>
      <c r="C35" s="227">
        <f t="shared" ref="C35:N35" si="10">SUM(C28:C34)</f>
        <v>457305.74025064107</v>
      </c>
      <c r="D35" s="227">
        <f t="shared" si="10"/>
        <v>457305.74025064107</v>
      </c>
      <c r="E35" s="227">
        <f t="shared" si="10"/>
        <v>457305.74025064107</v>
      </c>
      <c r="F35" s="227">
        <f t="shared" si="10"/>
        <v>457305.74025064107</v>
      </c>
      <c r="G35" s="227">
        <f t="shared" si="10"/>
        <v>457305.74025064107</v>
      </c>
      <c r="H35" s="227">
        <f t="shared" si="10"/>
        <v>457305.74025064107</v>
      </c>
      <c r="I35" s="227">
        <f t="shared" si="10"/>
        <v>457305.74025064107</v>
      </c>
      <c r="J35" s="227">
        <f t="shared" si="10"/>
        <v>457305.74025064107</v>
      </c>
      <c r="K35" s="227">
        <f t="shared" si="10"/>
        <v>457305.74025064107</v>
      </c>
      <c r="L35" s="227">
        <f t="shared" si="10"/>
        <v>457305.74025064107</v>
      </c>
      <c r="M35" s="227">
        <f t="shared" si="10"/>
        <v>457305.74025064107</v>
      </c>
      <c r="N35" s="227">
        <f t="shared" si="10"/>
        <v>457305.74025064107</v>
      </c>
      <c r="O35" s="227">
        <f t="shared" si="8"/>
        <v>5487668.883007694</v>
      </c>
    </row>
    <row r="36" spans="1:18">
      <c r="A36" s="160">
        <f t="shared" si="0"/>
        <v>24</v>
      </c>
    </row>
    <row r="37" spans="1:18">
      <c r="A37" s="160">
        <f t="shared" si="0"/>
        <v>25</v>
      </c>
      <c r="B37" s="4" t="s">
        <v>390</v>
      </c>
      <c r="C37" s="219">
        <v>9.8599999999999993E-2</v>
      </c>
      <c r="D37" s="219">
        <f>$C$37</f>
        <v>9.8599999999999993E-2</v>
      </c>
      <c r="E37" s="219">
        <f t="shared" ref="E37:N37" si="11">$C$37</f>
        <v>9.8599999999999993E-2</v>
      </c>
      <c r="F37" s="219">
        <f t="shared" si="11"/>
        <v>9.8599999999999993E-2</v>
      </c>
      <c r="G37" s="219">
        <f t="shared" si="11"/>
        <v>9.8599999999999993E-2</v>
      </c>
      <c r="H37" s="219">
        <f t="shared" si="11"/>
        <v>9.8599999999999993E-2</v>
      </c>
      <c r="I37" s="219">
        <f t="shared" si="11"/>
        <v>9.8599999999999993E-2</v>
      </c>
      <c r="J37" s="219">
        <f t="shared" si="11"/>
        <v>9.8599999999999993E-2</v>
      </c>
      <c r="K37" s="219">
        <f t="shared" si="11"/>
        <v>9.8599999999999993E-2</v>
      </c>
      <c r="L37" s="219">
        <f t="shared" si="11"/>
        <v>9.8599999999999993E-2</v>
      </c>
      <c r="M37" s="219">
        <f t="shared" si="11"/>
        <v>9.8599999999999993E-2</v>
      </c>
      <c r="N37" s="219">
        <f t="shared" si="11"/>
        <v>9.8599999999999993E-2</v>
      </c>
    </row>
    <row r="38" spans="1:18">
      <c r="A38" s="160">
        <f t="shared" si="0"/>
        <v>26</v>
      </c>
      <c r="B38" s="4" t="s">
        <v>391</v>
      </c>
      <c r="C38" s="194">
        <v>0.50419999999999998</v>
      </c>
      <c r="D38" s="194">
        <f>$C$38</f>
        <v>0.50419999999999998</v>
      </c>
      <c r="E38" s="194">
        <f t="shared" ref="E38:N38" si="12">$C$38</f>
        <v>0.50419999999999998</v>
      </c>
      <c r="F38" s="194">
        <f t="shared" si="12"/>
        <v>0.50419999999999998</v>
      </c>
      <c r="G38" s="194">
        <f t="shared" si="12"/>
        <v>0.50419999999999998</v>
      </c>
      <c r="H38" s="194">
        <f t="shared" si="12"/>
        <v>0.50419999999999998</v>
      </c>
      <c r="I38" s="194">
        <f t="shared" si="12"/>
        <v>0.50419999999999998</v>
      </c>
      <c r="J38" s="194">
        <f t="shared" si="12"/>
        <v>0.50419999999999998</v>
      </c>
      <c r="K38" s="194">
        <f t="shared" si="12"/>
        <v>0.50419999999999998</v>
      </c>
      <c r="L38" s="194">
        <f t="shared" si="12"/>
        <v>0.50419999999999998</v>
      </c>
      <c r="M38" s="194">
        <f t="shared" si="12"/>
        <v>0.50419999999999998</v>
      </c>
      <c r="N38" s="194">
        <f t="shared" si="12"/>
        <v>0.50419999999999998</v>
      </c>
    </row>
    <row r="39" spans="1:18">
      <c r="A39" s="160">
        <f t="shared" si="0"/>
        <v>27</v>
      </c>
    </row>
    <row r="40" spans="1:18">
      <c r="A40" s="160">
        <f t="shared" si="0"/>
        <v>28</v>
      </c>
      <c r="B40" s="4" t="s">
        <v>400</v>
      </c>
      <c r="C40" s="235">
        <f>C35*C37*C38</f>
        <v>22734.552447509199</v>
      </c>
      <c r="D40" s="235">
        <f t="shared" ref="D40:N40" si="13">D35*D37*D38</f>
        <v>22734.552447509199</v>
      </c>
      <c r="E40" s="235">
        <f t="shared" si="13"/>
        <v>22734.552447509199</v>
      </c>
      <c r="F40" s="235">
        <f t="shared" si="13"/>
        <v>22734.552447509199</v>
      </c>
      <c r="G40" s="235">
        <f t="shared" si="13"/>
        <v>22734.552447509199</v>
      </c>
      <c r="H40" s="235">
        <f t="shared" si="13"/>
        <v>22734.552447509199</v>
      </c>
      <c r="I40" s="235">
        <f t="shared" si="13"/>
        <v>22734.552447509199</v>
      </c>
      <c r="J40" s="235">
        <f t="shared" si="13"/>
        <v>22734.552447509199</v>
      </c>
      <c r="K40" s="235">
        <f t="shared" si="13"/>
        <v>22734.552447509199</v>
      </c>
      <c r="L40" s="235">
        <f t="shared" si="13"/>
        <v>22734.552447509199</v>
      </c>
      <c r="M40" s="235">
        <f t="shared" si="13"/>
        <v>22734.552447509199</v>
      </c>
      <c r="N40" s="235">
        <f t="shared" si="13"/>
        <v>22734.552447509199</v>
      </c>
      <c r="O40" s="227">
        <f>SUM(C40:N40)</f>
        <v>272814.6293701104</v>
      </c>
    </row>
    <row r="41" spans="1:18">
      <c r="A41" s="160">
        <f t="shared" si="0"/>
        <v>29</v>
      </c>
    </row>
    <row r="42" spans="1:18" ht="15.75">
      <c r="A42" s="160">
        <f t="shared" si="0"/>
        <v>30</v>
      </c>
      <c r="B42" s="223" t="s">
        <v>392</v>
      </c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</row>
    <row r="43" spans="1:18">
      <c r="A43" s="160">
        <f t="shared" si="0"/>
        <v>31</v>
      </c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69"/>
    </row>
    <row r="44" spans="1:18">
      <c r="A44" s="160">
        <f t="shared" si="0"/>
        <v>32</v>
      </c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31"/>
    </row>
    <row r="45" spans="1:18">
      <c r="A45" s="160">
        <f t="shared" si="0"/>
        <v>33</v>
      </c>
      <c r="B45" s="4" t="s">
        <v>377</v>
      </c>
      <c r="C45" s="224">
        <f>'C.2.3 B'!$N44*1.03</f>
        <v>195450.60847822996</v>
      </c>
      <c r="D45" s="224">
        <f>C45</f>
        <v>195450.60847822996</v>
      </c>
      <c r="E45" s="224">
        <f t="shared" ref="E45:N46" si="14">D45</f>
        <v>195450.60847822996</v>
      </c>
      <c r="F45" s="224">
        <f t="shared" si="14"/>
        <v>195450.60847822996</v>
      </c>
      <c r="G45" s="224">
        <f t="shared" si="14"/>
        <v>195450.60847822996</v>
      </c>
      <c r="H45" s="224">
        <f t="shared" si="14"/>
        <v>195450.60847822996</v>
      </c>
      <c r="I45" s="224">
        <f t="shared" si="14"/>
        <v>195450.60847822996</v>
      </c>
      <c r="J45" s="224">
        <f t="shared" si="14"/>
        <v>195450.60847822996</v>
      </c>
      <c r="K45" s="224">
        <f t="shared" si="14"/>
        <v>195450.60847822996</v>
      </c>
      <c r="L45" s="224">
        <f t="shared" si="14"/>
        <v>195450.60847822996</v>
      </c>
      <c r="M45" s="224">
        <f t="shared" si="14"/>
        <v>195450.60847822996</v>
      </c>
      <c r="N45" s="224">
        <f t="shared" si="14"/>
        <v>195450.60847822996</v>
      </c>
      <c r="O45" s="224">
        <f t="shared" ref="O45:O48" si="15">SUM(C45:N45)</f>
        <v>2345407.3017387595</v>
      </c>
    </row>
    <row r="46" spans="1:18">
      <c r="A46" s="160">
        <f t="shared" si="0"/>
        <v>34</v>
      </c>
      <c r="B46" s="4" t="s">
        <v>387</v>
      </c>
      <c r="C46" s="31">
        <f>'C.2.3 B'!$N45</f>
        <v>28500</v>
      </c>
      <c r="D46" s="31">
        <f>C46</f>
        <v>28500</v>
      </c>
      <c r="E46" s="31">
        <f t="shared" si="14"/>
        <v>28500</v>
      </c>
      <c r="F46" s="31">
        <f t="shared" si="14"/>
        <v>28500</v>
      </c>
      <c r="G46" s="31">
        <f t="shared" si="14"/>
        <v>28500</v>
      </c>
      <c r="H46" s="31">
        <f t="shared" si="14"/>
        <v>28500</v>
      </c>
      <c r="I46" s="31">
        <f t="shared" si="14"/>
        <v>28500</v>
      </c>
      <c r="J46" s="31">
        <f t="shared" si="14"/>
        <v>28500</v>
      </c>
      <c r="K46" s="31">
        <f t="shared" si="14"/>
        <v>28500</v>
      </c>
      <c r="L46" s="31">
        <f t="shared" si="14"/>
        <v>28500</v>
      </c>
      <c r="M46" s="31">
        <f t="shared" si="14"/>
        <v>28500</v>
      </c>
      <c r="N46" s="31">
        <f t="shared" si="14"/>
        <v>28500</v>
      </c>
      <c r="O46" s="31">
        <f>SUM(C46:N46)</f>
        <v>342000</v>
      </c>
      <c r="P46" s="232"/>
      <c r="Q46" s="232"/>
      <c r="R46" s="69"/>
    </row>
    <row r="47" spans="1:18">
      <c r="A47" s="160">
        <f t="shared" si="0"/>
        <v>35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</row>
    <row r="48" spans="1:18">
      <c r="A48" s="160">
        <f t="shared" si="0"/>
        <v>36</v>
      </c>
      <c r="B48" s="4" t="s">
        <v>389</v>
      </c>
      <c r="C48" s="227">
        <f t="shared" ref="C48:N48" si="16">SUM(C43:C46)</f>
        <v>223950.60847822996</v>
      </c>
      <c r="D48" s="227">
        <f t="shared" si="16"/>
        <v>223950.60847822996</v>
      </c>
      <c r="E48" s="227">
        <f t="shared" si="16"/>
        <v>223950.60847822996</v>
      </c>
      <c r="F48" s="227">
        <f t="shared" si="16"/>
        <v>223950.60847822996</v>
      </c>
      <c r="G48" s="227">
        <f t="shared" si="16"/>
        <v>223950.60847822996</v>
      </c>
      <c r="H48" s="227">
        <f t="shared" si="16"/>
        <v>223950.60847822996</v>
      </c>
      <c r="I48" s="227">
        <f t="shared" si="16"/>
        <v>223950.60847822996</v>
      </c>
      <c r="J48" s="227">
        <f t="shared" si="16"/>
        <v>223950.60847822996</v>
      </c>
      <c r="K48" s="227">
        <f t="shared" si="16"/>
        <v>223950.60847822996</v>
      </c>
      <c r="L48" s="227">
        <f t="shared" si="16"/>
        <v>223950.60847822996</v>
      </c>
      <c r="M48" s="227">
        <f t="shared" si="16"/>
        <v>223950.60847822996</v>
      </c>
      <c r="N48" s="227">
        <f t="shared" si="16"/>
        <v>223950.60847822996</v>
      </c>
      <c r="O48" s="227">
        <f t="shared" si="15"/>
        <v>2687407.3017387595</v>
      </c>
    </row>
    <row r="49" spans="1:18">
      <c r="A49" s="160">
        <f t="shared" si="0"/>
        <v>37</v>
      </c>
    </row>
    <row r="50" spans="1:18">
      <c r="A50" s="160">
        <f t="shared" si="0"/>
        <v>38</v>
      </c>
      <c r="B50" s="4" t="s">
        <v>390</v>
      </c>
      <c r="C50" s="194">
        <v>0.11020000000000001</v>
      </c>
      <c r="D50" s="194">
        <f>$C$50</f>
        <v>0.11020000000000001</v>
      </c>
      <c r="E50" s="194">
        <f t="shared" ref="E50:N50" si="17">$C$50</f>
        <v>0.11020000000000001</v>
      </c>
      <c r="F50" s="194">
        <f t="shared" si="17"/>
        <v>0.11020000000000001</v>
      </c>
      <c r="G50" s="194">
        <f t="shared" si="17"/>
        <v>0.11020000000000001</v>
      </c>
      <c r="H50" s="194">
        <f t="shared" si="17"/>
        <v>0.11020000000000001</v>
      </c>
      <c r="I50" s="194">
        <f t="shared" si="17"/>
        <v>0.11020000000000001</v>
      </c>
      <c r="J50" s="194">
        <f t="shared" si="17"/>
        <v>0.11020000000000001</v>
      </c>
      <c r="K50" s="194">
        <f t="shared" si="17"/>
        <v>0.11020000000000001</v>
      </c>
      <c r="L50" s="194">
        <f t="shared" si="17"/>
        <v>0.11020000000000001</v>
      </c>
      <c r="M50" s="194">
        <f t="shared" si="17"/>
        <v>0.11020000000000001</v>
      </c>
      <c r="N50" s="194">
        <f t="shared" si="17"/>
        <v>0.11020000000000001</v>
      </c>
    </row>
    <row r="51" spans="1:18">
      <c r="A51" s="160">
        <f t="shared" si="0"/>
        <v>39</v>
      </c>
      <c r="B51" s="4" t="s">
        <v>391</v>
      </c>
      <c r="C51" s="194">
        <v>0.50429999999999997</v>
      </c>
      <c r="D51" s="194">
        <f>$C$51</f>
        <v>0.50429999999999997</v>
      </c>
      <c r="E51" s="194">
        <f t="shared" ref="E51:N51" si="18">$C$51</f>
        <v>0.50429999999999997</v>
      </c>
      <c r="F51" s="194">
        <f t="shared" si="18"/>
        <v>0.50429999999999997</v>
      </c>
      <c r="G51" s="194">
        <f t="shared" si="18"/>
        <v>0.50429999999999997</v>
      </c>
      <c r="H51" s="194">
        <f t="shared" si="18"/>
        <v>0.50429999999999997</v>
      </c>
      <c r="I51" s="194">
        <f t="shared" si="18"/>
        <v>0.50429999999999997</v>
      </c>
      <c r="J51" s="194">
        <f t="shared" si="18"/>
        <v>0.50429999999999997</v>
      </c>
      <c r="K51" s="194">
        <f t="shared" si="18"/>
        <v>0.50429999999999997</v>
      </c>
      <c r="L51" s="194">
        <f t="shared" si="18"/>
        <v>0.50429999999999997</v>
      </c>
      <c r="M51" s="194">
        <f t="shared" si="18"/>
        <v>0.50429999999999997</v>
      </c>
      <c r="N51" s="194">
        <f t="shared" si="18"/>
        <v>0.50429999999999997</v>
      </c>
    </row>
    <row r="52" spans="1:18">
      <c r="A52" s="160">
        <f t="shared" si="0"/>
        <v>40</v>
      </c>
    </row>
    <row r="53" spans="1:18">
      <c r="A53" s="160">
        <f t="shared" si="0"/>
        <v>41</v>
      </c>
      <c r="B53" s="4" t="s">
        <v>401</v>
      </c>
      <c r="C53" s="235">
        <f t="shared" ref="C53:N53" si="19">C48*C50*C51</f>
        <v>12445.799762483966</v>
      </c>
      <c r="D53" s="235">
        <f t="shared" si="19"/>
        <v>12445.799762483966</v>
      </c>
      <c r="E53" s="235">
        <f t="shared" si="19"/>
        <v>12445.799762483966</v>
      </c>
      <c r="F53" s="235">
        <f t="shared" si="19"/>
        <v>12445.799762483966</v>
      </c>
      <c r="G53" s="235">
        <f t="shared" si="19"/>
        <v>12445.799762483966</v>
      </c>
      <c r="H53" s="235">
        <f t="shared" si="19"/>
        <v>12445.799762483966</v>
      </c>
      <c r="I53" s="235">
        <f t="shared" si="19"/>
        <v>12445.799762483966</v>
      </c>
      <c r="J53" s="235">
        <f t="shared" si="19"/>
        <v>12445.799762483966</v>
      </c>
      <c r="K53" s="235">
        <f t="shared" si="19"/>
        <v>12445.799762483966</v>
      </c>
      <c r="L53" s="235">
        <f t="shared" si="19"/>
        <v>12445.799762483966</v>
      </c>
      <c r="M53" s="235">
        <f t="shared" si="19"/>
        <v>12445.799762483966</v>
      </c>
      <c r="N53" s="235">
        <f t="shared" si="19"/>
        <v>12445.799762483966</v>
      </c>
      <c r="O53" s="227">
        <f>SUM(C53:N53)</f>
        <v>149349.59714980758</v>
      </c>
    </row>
    <row r="54" spans="1:18">
      <c r="A54" s="160">
        <f t="shared" si="0"/>
        <v>42</v>
      </c>
    </row>
    <row r="55" spans="1:18" ht="15.75">
      <c r="A55" s="160">
        <f t="shared" si="0"/>
        <v>43</v>
      </c>
      <c r="B55" s="223" t="s">
        <v>393</v>
      </c>
    </row>
    <row r="56" spans="1:18">
      <c r="A56" s="160">
        <f t="shared" si="0"/>
        <v>44</v>
      </c>
      <c r="C56" s="224"/>
      <c r="D56" s="224"/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</row>
    <row r="57" spans="1:18">
      <c r="A57" s="160">
        <f t="shared" si="0"/>
        <v>45</v>
      </c>
      <c r="C57" s="224"/>
      <c r="D57" s="224"/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31"/>
    </row>
    <row r="58" spans="1:18">
      <c r="A58" s="160">
        <f t="shared" si="0"/>
        <v>46</v>
      </c>
      <c r="B58" s="4" t="s">
        <v>377</v>
      </c>
      <c r="C58" s="224">
        <f>'C.2.3 B'!N57*1.03</f>
        <v>28266.363939566494</v>
      </c>
      <c r="D58" s="224">
        <f>C58</f>
        <v>28266.363939566494</v>
      </c>
      <c r="E58" s="224">
        <f t="shared" ref="E58:N61" si="20">D58</f>
        <v>28266.363939566494</v>
      </c>
      <c r="F58" s="224">
        <f t="shared" si="20"/>
        <v>28266.363939566494</v>
      </c>
      <c r="G58" s="224">
        <f t="shared" si="20"/>
        <v>28266.363939566494</v>
      </c>
      <c r="H58" s="224">
        <f t="shared" si="20"/>
        <v>28266.363939566494</v>
      </c>
      <c r="I58" s="224">
        <f t="shared" si="20"/>
        <v>28266.363939566494</v>
      </c>
      <c r="J58" s="224">
        <f t="shared" si="20"/>
        <v>28266.363939566494</v>
      </c>
      <c r="K58" s="224">
        <f t="shared" si="20"/>
        <v>28266.363939566494</v>
      </c>
      <c r="L58" s="224">
        <f t="shared" si="20"/>
        <v>28266.363939566494</v>
      </c>
      <c r="M58" s="224">
        <f t="shared" si="20"/>
        <v>28266.363939566494</v>
      </c>
      <c r="N58" s="224">
        <f t="shared" si="20"/>
        <v>28266.363939566494</v>
      </c>
      <c r="O58" s="224">
        <f t="shared" ref="O58:O63" si="21">SUM(C58:N58)</f>
        <v>339196.36727479781</v>
      </c>
    </row>
    <row r="59" spans="1:18">
      <c r="A59" s="160">
        <f t="shared" si="0"/>
        <v>47</v>
      </c>
      <c r="B59" t="s">
        <v>378</v>
      </c>
      <c r="C59" s="31">
        <f>'C.2.3 B'!F58*1.03</f>
        <v>0</v>
      </c>
      <c r="D59" s="31">
        <f>C59</f>
        <v>0</v>
      </c>
      <c r="E59" s="31">
        <f t="shared" si="20"/>
        <v>0</v>
      </c>
      <c r="F59" s="31">
        <f t="shared" si="20"/>
        <v>0</v>
      </c>
      <c r="G59" s="31">
        <f t="shared" si="20"/>
        <v>0</v>
      </c>
      <c r="H59" s="31">
        <f t="shared" si="20"/>
        <v>0</v>
      </c>
      <c r="I59" s="31">
        <f t="shared" si="20"/>
        <v>0</v>
      </c>
      <c r="J59" s="31">
        <f t="shared" si="20"/>
        <v>0</v>
      </c>
      <c r="K59" s="31">
        <f t="shared" si="20"/>
        <v>0</v>
      </c>
      <c r="L59" s="31">
        <f t="shared" si="20"/>
        <v>0</v>
      </c>
      <c r="M59" s="31">
        <f t="shared" si="20"/>
        <v>0</v>
      </c>
      <c r="N59" s="31">
        <f t="shared" si="20"/>
        <v>0</v>
      </c>
      <c r="O59" s="31">
        <f t="shared" si="21"/>
        <v>0</v>
      </c>
    </row>
    <row r="60" spans="1:18">
      <c r="A60" s="160">
        <f t="shared" si="0"/>
        <v>48</v>
      </c>
      <c r="B60" s="4" t="s">
        <v>387</v>
      </c>
      <c r="C60" s="31">
        <f>'C.2.3 B'!C59</f>
        <v>0</v>
      </c>
      <c r="D60" s="31">
        <f>C60</f>
        <v>0</v>
      </c>
      <c r="E60" s="31">
        <f t="shared" si="20"/>
        <v>0</v>
      </c>
      <c r="F60" s="31">
        <f t="shared" si="20"/>
        <v>0</v>
      </c>
      <c r="G60" s="31">
        <f t="shared" si="20"/>
        <v>0</v>
      </c>
      <c r="H60" s="31">
        <f t="shared" si="20"/>
        <v>0</v>
      </c>
      <c r="I60" s="31">
        <f t="shared" si="20"/>
        <v>0</v>
      </c>
      <c r="J60" s="31">
        <f t="shared" si="20"/>
        <v>0</v>
      </c>
      <c r="K60" s="31">
        <f t="shared" si="20"/>
        <v>0</v>
      </c>
      <c r="L60" s="31">
        <f t="shared" si="20"/>
        <v>0</v>
      </c>
      <c r="M60" s="31">
        <f t="shared" si="20"/>
        <v>0</v>
      </c>
      <c r="N60" s="31">
        <f t="shared" si="20"/>
        <v>0</v>
      </c>
      <c r="O60" s="31">
        <f>SUM(C60:N60)</f>
        <v>0</v>
      </c>
      <c r="P60" s="232"/>
      <c r="Q60" s="232"/>
      <c r="R60" s="69"/>
    </row>
    <row r="61" spans="1:18">
      <c r="A61" s="160">
        <f t="shared" si="0"/>
        <v>49</v>
      </c>
      <c r="B61" t="s">
        <v>394</v>
      </c>
      <c r="C61" s="31">
        <f>'C.2.3 B'!C60</f>
        <v>0</v>
      </c>
      <c r="D61" s="31">
        <f>C61</f>
        <v>0</v>
      </c>
      <c r="E61" s="31">
        <f t="shared" si="20"/>
        <v>0</v>
      </c>
      <c r="F61" s="31">
        <f t="shared" si="20"/>
        <v>0</v>
      </c>
      <c r="G61" s="31">
        <f t="shared" si="20"/>
        <v>0</v>
      </c>
      <c r="H61" s="31">
        <f t="shared" si="20"/>
        <v>0</v>
      </c>
      <c r="I61" s="31">
        <f t="shared" si="20"/>
        <v>0</v>
      </c>
      <c r="J61" s="31">
        <f t="shared" si="20"/>
        <v>0</v>
      </c>
      <c r="K61" s="31">
        <f t="shared" si="20"/>
        <v>0</v>
      </c>
      <c r="L61" s="31">
        <f t="shared" si="20"/>
        <v>0</v>
      </c>
      <c r="M61" s="31">
        <f t="shared" si="20"/>
        <v>0</v>
      </c>
      <c r="N61" s="31">
        <f t="shared" si="20"/>
        <v>0</v>
      </c>
      <c r="O61" s="31">
        <f t="shared" si="21"/>
        <v>0</v>
      </c>
      <c r="P61" s="233"/>
    </row>
    <row r="62" spans="1:18">
      <c r="A62" s="160">
        <f t="shared" si="0"/>
        <v>50</v>
      </c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</row>
    <row r="63" spans="1:18">
      <c r="A63" s="160">
        <f t="shared" si="0"/>
        <v>51</v>
      </c>
      <c r="B63" s="4" t="s">
        <v>389</v>
      </c>
      <c r="C63" s="227">
        <f t="shared" ref="C63:N63" si="22">SUM(C56:C62)</f>
        <v>28266.363939566494</v>
      </c>
      <c r="D63" s="227">
        <f t="shared" si="22"/>
        <v>28266.363939566494</v>
      </c>
      <c r="E63" s="227">
        <f t="shared" si="22"/>
        <v>28266.363939566494</v>
      </c>
      <c r="F63" s="227">
        <f t="shared" si="22"/>
        <v>28266.363939566494</v>
      </c>
      <c r="G63" s="227">
        <f t="shared" si="22"/>
        <v>28266.363939566494</v>
      </c>
      <c r="H63" s="227">
        <f t="shared" si="22"/>
        <v>28266.363939566494</v>
      </c>
      <c r="I63" s="227">
        <f t="shared" si="22"/>
        <v>28266.363939566494</v>
      </c>
      <c r="J63" s="227">
        <f t="shared" si="22"/>
        <v>28266.363939566494</v>
      </c>
      <c r="K63" s="227">
        <f t="shared" si="22"/>
        <v>28266.363939566494</v>
      </c>
      <c r="L63" s="227">
        <f t="shared" si="22"/>
        <v>28266.363939566494</v>
      </c>
      <c r="M63" s="227">
        <f t="shared" si="22"/>
        <v>28266.363939566494</v>
      </c>
      <c r="N63" s="227">
        <f t="shared" si="22"/>
        <v>28266.363939566494</v>
      </c>
      <c r="O63" s="227">
        <f t="shared" si="21"/>
        <v>339196.36727479781</v>
      </c>
    </row>
    <row r="64" spans="1:18">
      <c r="A64" s="160">
        <f t="shared" si="0"/>
        <v>52</v>
      </c>
      <c r="G64" s="225"/>
    </row>
    <row r="65" spans="1:15">
      <c r="A65" s="160">
        <f t="shared" si="0"/>
        <v>53</v>
      </c>
      <c r="B65" s="4" t="s">
        <v>390</v>
      </c>
      <c r="C65" s="194">
        <v>1</v>
      </c>
      <c r="D65" s="194">
        <f>$C$65</f>
        <v>1</v>
      </c>
      <c r="E65" s="194">
        <f t="shared" ref="E65:N65" si="23">$C$65</f>
        <v>1</v>
      </c>
      <c r="F65" s="194">
        <f t="shared" si="23"/>
        <v>1</v>
      </c>
      <c r="G65" s="194">
        <f t="shared" si="23"/>
        <v>1</v>
      </c>
      <c r="H65" s="194">
        <f t="shared" si="23"/>
        <v>1</v>
      </c>
      <c r="I65" s="194">
        <f t="shared" si="23"/>
        <v>1</v>
      </c>
      <c r="J65" s="194">
        <f t="shared" si="23"/>
        <v>1</v>
      </c>
      <c r="K65" s="194">
        <f t="shared" si="23"/>
        <v>1</v>
      </c>
      <c r="L65" s="194">
        <f t="shared" si="23"/>
        <v>1</v>
      </c>
      <c r="M65" s="194">
        <f t="shared" si="23"/>
        <v>1</v>
      </c>
      <c r="N65" s="194">
        <f t="shared" si="23"/>
        <v>1</v>
      </c>
    </row>
    <row r="66" spans="1:15">
      <c r="A66" s="160">
        <f t="shared" si="0"/>
        <v>54</v>
      </c>
      <c r="B66" s="4" t="s">
        <v>391</v>
      </c>
      <c r="C66" s="194">
        <v>0.50419999999999998</v>
      </c>
      <c r="D66" s="194">
        <f>$C$66</f>
        <v>0.50419999999999998</v>
      </c>
      <c r="E66" s="194">
        <f t="shared" ref="E66:N66" si="24">$C$66</f>
        <v>0.50419999999999998</v>
      </c>
      <c r="F66" s="194">
        <f t="shared" si="24"/>
        <v>0.50419999999999998</v>
      </c>
      <c r="G66" s="194">
        <f t="shared" si="24"/>
        <v>0.50419999999999998</v>
      </c>
      <c r="H66" s="194">
        <f t="shared" si="24"/>
        <v>0.50419999999999998</v>
      </c>
      <c r="I66" s="194">
        <f t="shared" si="24"/>
        <v>0.50419999999999998</v>
      </c>
      <c r="J66" s="194">
        <f t="shared" si="24"/>
        <v>0.50419999999999998</v>
      </c>
      <c r="K66" s="194">
        <f t="shared" si="24"/>
        <v>0.50419999999999998</v>
      </c>
      <c r="L66" s="194">
        <f t="shared" si="24"/>
        <v>0.50419999999999998</v>
      </c>
      <c r="M66" s="194">
        <f t="shared" si="24"/>
        <v>0.50419999999999998</v>
      </c>
      <c r="N66" s="194">
        <f t="shared" si="24"/>
        <v>0.50419999999999998</v>
      </c>
    </row>
    <row r="67" spans="1:15">
      <c r="A67" s="160">
        <f t="shared" si="0"/>
        <v>55</v>
      </c>
    </row>
    <row r="68" spans="1:15">
      <c r="A68" s="160">
        <f t="shared" si="0"/>
        <v>56</v>
      </c>
      <c r="B68" s="4" t="s">
        <v>402</v>
      </c>
      <c r="C68" s="235">
        <f>C63*C65*C66</f>
        <v>14251.900698329426</v>
      </c>
      <c r="D68" s="235">
        <f t="shared" ref="D68:N68" si="25">D63*D65*D66</f>
        <v>14251.900698329426</v>
      </c>
      <c r="E68" s="235">
        <f t="shared" si="25"/>
        <v>14251.900698329426</v>
      </c>
      <c r="F68" s="235">
        <f t="shared" si="25"/>
        <v>14251.900698329426</v>
      </c>
      <c r="G68" s="235">
        <f t="shared" si="25"/>
        <v>14251.900698329426</v>
      </c>
      <c r="H68" s="235">
        <f t="shared" si="25"/>
        <v>14251.900698329426</v>
      </c>
      <c r="I68" s="235">
        <f t="shared" si="25"/>
        <v>14251.900698329426</v>
      </c>
      <c r="J68" s="235">
        <f t="shared" si="25"/>
        <v>14251.900698329426</v>
      </c>
      <c r="K68" s="235">
        <f t="shared" si="25"/>
        <v>14251.900698329426</v>
      </c>
      <c r="L68" s="235">
        <f t="shared" si="25"/>
        <v>14251.900698329426</v>
      </c>
      <c r="M68" s="235">
        <f t="shared" si="25"/>
        <v>14251.900698329426</v>
      </c>
      <c r="N68" s="235">
        <f t="shared" si="25"/>
        <v>14251.900698329426</v>
      </c>
      <c r="O68" s="227">
        <f>SUM(C68:N68)</f>
        <v>171022.80837995315</v>
      </c>
    </row>
    <row r="69" spans="1:15">
      <c r="B69" s="236"/>
    </row>
    <row r="70" spans="1:15">
      <c r="B70" t="s">
        <v>403</v>
      </c>
    </row>
    <row r="71" spans="1:15">
      <c r="B71" s="4" t="s">
        <v>396</v>
      </c>
    </row>
  </sheetData>
  <mergeCells count="4">
    <mergeCell ref="A1:O1"/>
    <mergeCell ref="A2:O2"/>
    <mergeCell ref="A3:O3"/>
    <mergeCell ref="A4:O4"/>
  </mergeCells>
  <printOptions horizontalCentered="1"/>
  <pageMargins left="0.17" right="0.17" top="0.66" bottom="0.17" header="0.5" footer="0.44"/>
  <pageSetup scale="46" orientation="landscape" r:id="rId1"/>
  <headerFooter alignWithMargins="0">
    <oddHeader>&amp;RCASE NO. 2021-00214
FR_16(8)(c) 
ATTACHMENT 1</oddHeader>
    <oddFooter>&amp;RSchedule &amp;A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F86F2-DE40-4D25-A25D-D764C6528ABD}">
  <sheetPr>
    <pageSetUpPr fitToPage="1"/>
  </sheetPr>
  <dimension ref="A1:X35"/>
  <sheetViews>
    <sheetView view="pageBreakPreview" zoomScale="80" zoomScaleNormal="100" zoomScaleSheetLayoutView="80" workbookViewId="0">
      <selection activeCell="C21" sqref="C21"/>
    </sheetView>
  </sheetViews>
  <sheetFormatPr defaultColWidth="10.109375" defaultRowHeight="15"/>
  <cols>
    <col min="1" max="1" width="5.21875" style="4" customWidth="1"/>
    <col min="2" max="2" width="2.21875" style="4" customWidth="1"/>
    <col min="3" max="3" width="26.109375" style="4" customWidth="1"/>
    <col min="4" max="4" width="13.21875" style="4" customWidth="1"/>
    <col min="5" max="5" width="2.33203125" style="4" customWidth="1"/>
    <col min="6" max="6" width="13.21875" style="4" customWidth="1"/>
    <col min="7" max="7" width="2.109375" style="4" customWidth="1"/>
    <col min="8" max="8" width="12.88671875" style="4" customWidth="1"/>
    <col min="9" max="9" width="2.109375" style="4" customWidth="1"/>
    <col min="10" max="10" width="13.88671875" style="4" customWidth="1"/>
    <col min="11" max="11" width="4.88671875" style="4" customWidth="1"/>
    <col min="12" max="12" width="6.5546875" style="4" bestFit="1" customWidth="1"/>
    <col min="13" max="13" width="11.109375" style="4" customWidth="1"/>
    <col min="14" max="14" width="8" style="4" bestFit="1" customWidth="1"/>
    <col min="15" max="15" width="12" style="4" customWidth="1"/>
    <col min="16" max="16" width="10.109375" style="4" customWidth="1"/>
    <col min="17" max="17" width="3.21875" style="4" customWidth="1"/>
    <col min="18" max="18" width="11.88671875" style="4" customWidth="1"/>
    <col min="19" max="19" width="1.33203125" style="4" customWidth="1"/>
    <col min="20" max="20" width="12.33203125" style="4" customWidth="1"/>
    <col min="21" max="21" width="1.6640625" style="4" customWidth="1"/>
    <col min="22" max="22" width="10.5546875" style="4" bestFit="1" customWidth="1"/>
    <col min="23" max="23" width="0.88671875" style="4" customWidth="1"/>
    <col min="24" max="24" width="10.44140625" style="4" bestFit="1" customWidth="1"/>
    <col min="25" max="16384" width="10.109375" style="4"/>
  </cols>
  <sheetData>
    <row r="1" spans="1:24">
      <c r="A1" s="240" t="s">
        <v>404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24">
      <c r="A2" s="240" t="s">
        <v>405</v>
      </c>
      <c r="B2" s="240"/>
      <c r="C2" s="240"/>
      <c r="D2" s="240"/>
      <c r="E2" s="240"/>
      <c r="F2" s="240"/>
      <c r="G2" s="240"/>
      <c r="H2" s="240"/>
      <c r="I2" s="240"/>
      <c r="J2" s="240"/>
    </row>
    <row r="3" spans="1:24">
      <c r="A3" s="241" t="s">
        <v>1</v>
      </c>
      <c r="B3" s="241"/>
      <c r="C3" s="241"/>
      <c r="D3" s="241"/>
      <c r="E3" s="241"/>
      <c r="F3" s="241"/>
      <c r="G3" s="241"/>
      <c r="H3" s="241"/>
      <c r="I3" s="241"/>
      <c r="J3" s="241"/>
    </row>
    <row r="4" spans="1:24">
      <c r="A4" s="240" t="s">
        <v>407</v>
      </c>
      <c r="B4" s="240"/>
      <c r="C4" s="240"/>
      <c r="D4" s="240"/>
      <c r="E4" s="240"/>
      <c r="F4" s="240"/>
      <c r="G4" s="240"/>
      <c r="H4" s="240"/>
      <c r="I4" s="240"/>
      <c r="J4" s="240"/>
    </row>
    <row r="5" spans="1:24">
      <c r="A5" s="6"/>
      <c r="B5" s="6"/>
      <c r="C5" s="6"/>
      <c r="D5" s="6"/>
      <c r="E5" s="6"/>
      <c r="F5" s="6"/>
      <c r="G5" s="6"/>
      <c r="H5" s="6"/>
      <c r="I5" s="6"/>
      <c r="J5" s="6"/>
    </row>
    <row r="7" spans="1:24">
      <c r="A7" s="7" t="s">
        <v>14</v>
      </c>
      <c r="I7" s="7"/>
      <c r="J7" s="8" t="s">
        <v>15</v>
      </c>
    </row>
    <row r="8" spans="1:24">
      <c r="A8" s="7" t="s">
        <v>16</v>
      </c>
      <c r="H8" s="7"/>
      <c r="I8" s="7"/>
      <c r="J8" s="9" t="s">
        <v>17</v>
      </c>
    </row>
    <row r="9" spans="1:24">
      <c r="A9" s="10" t="s">
        <v>18</v>
      </c>
      <c r="B9" s="11"/>
      <c r="C9" s="11"/>
      <c r="D9" s="11"/>
      <c r="E9" s="11"/>
      <c r="F9" s="11"/>
      <c r="G9" s="11"/>
      <c r="H9" s="10"/>
      <c r="I9" s="10"/>
      <c r="J9" s="12" t="s">
        <v>19</v>
      </c>
    </row>
    <row r="10" spans="1:24">
      <c r="D10" s="3" t="s">
        <v>20</v>
      </c>
      <c r="F10" s="13" t="s">
        <v>21</v>
      </c>
      <c r="J10" s="13" t="s">
        <v>21</v>
      </c>
      <c r="R10" s="14"/>
      <c r="S10" s="14"/>
      <c r="T10" s="14"/>
      <c r="U10" s="14"/>
      <c r="V10" s="14"/>
      <c r="W10" s="14"/>
      <c r="X10" s="14"/>
    </row>
    <row r="11" spans="1:24">
      <c r="A11" s="13" t="s">
        <v>22</v>
      </c>
      <c r="D11" s="13" t="s">
        <v>23</v>
      </c>
      <c r="F11" s="13" t="s">
        <v>23</v>
      </c>
      <c r="H11" s="13" t="s">
        <v>24</v>
      </c>
      <c r="J11" s="13" t="s">
        <v>23</v>
      </c>
      <c r="R11" s="14"/>
      <c r="S11" s="14"/>
      <c r="T11" s="14"/>
      <c r="U11" s="14"/>
      <c r="V11" s="14"/>
      <c r="W11" s="14"/>
      <c r="X11" s="14"/>
    </row>
    <row r="12" spans="1:24">
      <c r="A12" s="15" t="s">
        <v>25</v>
      </c>
      <c r="B12" s="11"/>
      <c r="C12" s="10" t="s">
        <v>4</v>
      </c>
      <c r="D12" s="15" t="s">
        <v>26</v>
      </c>
      <c r="E12" s="11"/>
      <c r="F12" s="15" t="s">
        <v>26</v>
      </c>
      <c r="G12" s="11"/>
      <c r="H12" s="15" t="s">
        <v>27</v>
      </c>
      <c r="I12" s="11"/>
      <c r="J12" s="15" t="s">
        <v>28</v>
      </c>
      <c r="L12" s="14"/>
      <c r="O12" s="16"/>
      <c r="P12" s="17"/>
      <c r="R12" s="14"/>
      <c r="S12" s="14"/>
      <c r="T12" s="14"/>
      <c r="U12" s="14"/>
      <c r="V12" s="18"/>
      <c r="W12" s="18"/>
      <c r="X12" s="14"/>
    </row>
    <row r="13" spans="1:24">
      <c r="D13" s="13"/>
      <c r="F13" s="13"/>
      <c r="H13" s="13"/>
      <c r="J13" s="13"/>
      <c r="L13" s="14"/>
      <c r="O13" s="17"/>
      <c r="P13" s="17"/>
      <c r="R13" s="19"/>
      <c r="S13" s="14"/>
      <c r="T13" s="14"/>
      <c r="U13" s="14"/>
      <c r="V13" s="19"/>
      <c r="W13" s="19"/>
      <c r="X13" s="14"/>
    </row>
    <row r="14" spans="1:24">
      <c r="L14" s="14"/>
      <c r="O14" s="20"/>
      <c r="P14" s="20"/>
      <c r="R14" s="14"/>
      <c r="S14" s="14"/>
      <c r="T14" s="14"/>
      <c r="U14" s="14"/>
      <c r="V14" s="14"/>
      <c r="W14" s="14"/>
      <c r="X14" s="14"/>
    </row>
    <row r="15" spans="1:24">
      <c r="A15" s="13">
        <v>1</v>
      </c>
      <c r="C15" s="7" t="s">
        <v>29</v>
      </c>
      <c r="D15" s="21">
        <f>+'C.2'!D14</f>
        <v>166354705.66691414</v>
      </c>
      <c r="F15" s="21">
        <f>'C.2'!O14</f>
        <v>173466922.94966945</v>
      </c>
      <c r="G15" s="22"/>
      <c r="H15" s="23">
        <v>21798399</v>
      </c>
      <c r="I15" s="22"/>
      <c r="J15" s="23">
        <f>+F15+H15</f>
        <v>195265321.94966945</v>
      </c>
      <c r="K15" s="22"/>
      <c r="L15" s="24"/>
      <c r="M15" s="23"/>
      <c r="N15" s="22"/>
      <c r="O15" s="25"/>
      <c r="P15" s="26"/>
      <c r="Q15" s="22"/>
      <c r="R15" s="27"/>
      <c r="S15" s="27"/>
      <c r="T15" s="27"/>
      <c r="U15" s="14"/>
      <c r="V15" s="14"/>
      <c r="W15" s="14"/>
      <c r="X15" s="14"/>
    </row>
    <row r="16" spans="1:24">
      <c r="F16" s="22"/>
      <c r="G16" s="22"/>
      <c r="H16" s="22"/>
      <c r="I16" s="22"/>
      <c r="J16" s="22"/>
      <c r="K16" s="22"/>
      <c r="L16" s="28"/>
      <c r="M16" s="22"/>
      <c r="N16" s="22"/>
      <c r="O16" s="26"/>
      <c r="P16" s="26"/>
      <c r="Q16" s="22"/>
      <c r="R16" s="14"/>
      <c r="S16" s="14"/>
      <c r="T16" s="28"/>
      <c r="U16" s="14"/>
      <c r="V16" s="14"/>
      <c r="W16" s="14"/>
      <c r="X16" s="14"/>
    </row>
    <row r="17" spans="1:24">
      <c r="A17" s="13">
        <v>2</v>
      </c>
      <c r="C17" s="7" t="s">
        <v>30</v>
      </c>
      <c r="F17" s="22"/>
      <c r="G17" s="22"/>
      <c r="H17" s="22"/>
      <c r="I17" s="22"/>
      <c r="J17" s="22"/>
      <c r="K17" s="22"/>
      <c r="L17" s="28"/>
      <c r="M17" s="22"/>
      <c r="N17" s="22"/>
      <c r="O17" s="26"/>
      <c r="P17" s="26"/>
      <c r="Q17" s="22"/>
      <c r="R17" s="14"/>
      <c r="S17" s="14"/>
      <c r="T17" s="28"/>
      <c r="U17" s="14"/>
      <c r="V17" s="14"/>
      <c r="W17" s="14"/>
      <c r="X17" s="14"/>
    </row>
    <row r="18" spans="1:24">
      <c r="A18" s="13">
        <v>3</v>
      </c>
      <c r="C18" s="29" t="s">
        <v>31</v>
      </c>
      <c r="D18" s="30">
        <f>+'C.2'!D17</f>
        <v>70283865.695086718</v>
      </c>
      <c r="E18" s="31"/>
      <c r="F18" s="30">
        <f>'C.2'!O17</f>
        <v>77873656.336473569</v>
      </c>
      <c r="G18" s="30"/>
      <c r="H18" s="30"/>
      <c r="I18" s="30"/>
      <c r="J18" s="30">
        <f>+F18+H18</f>
        <v>77873656.336473569</v>
      </c>
      <c r="K18" s="22"/>
      <c r="L18" s="24"/>
      <c r="M18" s="22"/>
      <c r="O18" s="25"/>
      <c r="P18" s="26"/>
      <c r="Q18" s="22"/>
      <c r="R18" s="27"/>
      <c r="S18" s="32"/>
      <c r="T18" s="27"/>
      <c r="U18" s="14"/>
      <c r="V18" s="14"/>
      <c r="W18" s="14"/>
      <c r="X18" s="14"/>
    </row>
    <row r="19" spans="1:24">
      <c r="A19" s="13">
        <v>4</v>
      </c>
      <c r="C19" s="29" t="s">
        <v>32</v>
      </c>
      <c r="D19" s="30">
        <f>SUM('C.2'!D18:D25)</f>
        <v>31311659.436582312</v>
      </c>
      <c r="E19" s="31"/>
      <c r="F19" s="30">
        <f>SUM('C.2'!O18:O25)</f>
        <v>29047435.409500755</v>
      </c>
      <c r="G19" s="30"/>
      <c r="H19" s="30">
        <v>108991.995</v>
      </c>
      <c r="I19" s="30"/>
      <c r="J19" s="30">
        <f>+F19+H19</f>
        <v>29156427.404500756</v>
      </c>
      <c r="K19" s="22"/>
      <c r="L19" s="24"/>
      <c r="M19" s="26"/>
      <c r="N19" s="33"/>
      <c r="O19" s="25"/>
      <c r="P19" s="26"/>
      <c r="Q19" s="22"/>
      <c r="R19" s="27"/>
      <c r="S19" s="32"/>
      <c r="T19" s="27"/>
      <c r="U19" s="14"/>
      <c r="V19" s="14"/>
      <c r="W19" s="14"/>
      <c r="X19" s="14"/>
    </row>
    <row r="20" spans="1:24">
      <c r="A20" s="13">
        <v>5</v>
      </c>
      <c r="C20" s="7" t="s">
        <v>33</v>
      </c>
      <c r="D20" s="30">
        <f>+'C.2'!D26</f>
        <v>19295728.648829721</v>
      </c>
      <c r="E20" s="31"/>
      <c r="F20" s="30">
        <f>+'C.2'!O26</f>
        <v>20604446.98537245</v>
      </c>
      <c r="G20" s="34"/>
      <c r="H20" s="30"/>
      <c r="I20" s="34"/>
      <c r="J20" s="34">
        <f>+F20+H20</f>
        <v>20604446.98537245</v>
      </c>
      <c r="K20" s="22"/>
      <c r="L20" s="24"/>
      <c r="M20" s="22"/>
      <c r="N20" s="35"/>
      <c r="O20" s="25"/>
      <c r="P20" s="26"/>
      <c r="Q20" s="22"/>
      <c r="R20" s="27"/>
      <c r="S20" s="32"/>
      <c r="T20" s="27"/>
      <c r="U20" s="14"/>
      <c r="V20" s="14"/>
      <c r="W20" s="14"/>
      <c r="X20" s="14"/>
    </row>
    <row r="21" spans="1:24">
      <c r="A21" s="13">
        <v>6</v>
      </c>
      <c r="C21" s="7" t="s">
        <v>34</v>
      </c>
      <c r="D21" s="30">
        <f>+'C.2'!D27</f>
        <v>9749303.3507630825</v>
      </c>
      <c r="E21" s="31"/>
      <c r="F21" s="30">
        <f>+'C.2'!O27</f>
        <v>10232555.792246947</v>
      </c>
      <c r="G21" s="34"/>
      <c r="H21" s="30">
        <v>43596.798000000003</v>
      </c>
      <c r="I21" s="34"/>
      <c r="J21" s="34">
        <f>+F21+H21</f>
        <v>10276152.590246947</v>
      </c>
      <c r="K21" s="22"/>
      <c r="L21" s="24"/>
      <c r="M21" s="26"/>
      <c r="N21" s="33"/>
      <c r="O21" s="25"/>
      <c r="P21" s="26"/>
      <c r="Q21" s="22"/>
      <c r="R21" s="27"/>
      <c r="S21" s="32"/>
      <c r="T21" s="27"/>
      <c r="U21" s="14"/>
      <c r="V21" s="14"/>
      <c r="W21" s="14"/>
      <c r="X21" s="14"/>
    </row>
    <row r="22" spans="1:24">
      <c r="A22" s="13">
        <v>7</v>
      </c>
      <c r="C22" s="7"/>
      <c r="D22" s="36"/>
      <c r="E22" s="36"/>
      <c r="F22" s="34"/>
      <c r="G22" s="34"/>
      <c r="H22" s="30"/>
      <c r="I22" s="34"/>
      <c r="J22" s="34"/>
      <c r="K22" s="22"/>
      <c r="L22" s="28"/>
      <c r="M22" s="22"/>
      <c r="O22" s="25"/>
      <c r="P22" s="26"/>
      <c r="Q22" s="22"/>
      <c r="R22" s="37"/>
      <c r="S22" s="37"/>
      <c r="T22" s="38"/>
      <c r="U22" s="14"/>
      <c r="V22" s="14"/>
      <c r="W22" s="14"/>
      <c r="X22" s="14"/>
    </row>
    <row r="23" spans="1:24">
      <c r="A23" s="13">
        <v>8</v>
      </c>
      <c r="C23" s="7" t="s">
        <v>35</v>
      </c>
      <c r="D23" s="39">
        <v>6502637.9678139454</v>
      </c>
      <c r="E23" s="36"/>
      <c r="F23" s="39">
        <v>6290436.7297105687</v>
      </c>
      <c r="G23" s="34"/>
      <c r="H23" s="39">
        <f>((+H15-H19-H21)*0.05)+((+H15-H19-H21-((+H15-H19-H21)*0.05))*0.21)</f>
        <v>5400629.6466464996</v>
      </c>
      <c r="I23" s="34"/>
      <c r="J23" s="40">
        <f>+F23+H23</f>
        <v>11691066.376357067</v>
      </c>
      <c r="K23" s="22"/>
      <c r="L23" s="41"/>
      <c r="M23" s="22"/>
      <c r="N23" s="22"/>
      <c r="O23" s="25"/>
      <c r="P23" s="26"/>
      <c r="Q23" s="22"/>
      <c r="R23" s="27"/>
      <c r="S23" s="32"/>
      <c r="T23" s="27"/>
      <c r="U23" s="14"/>
      <c r="V23" s="14"/>
      <c r="W23" s="14"/>
      <c r="X23" s="14"/>
    </row>
    <row r="24" spans="1:24">
      <c r="A24" s="13">
        <v>9</v>
      </c>
      <c r="C24" s="7" t="s">
        <v>36</v>
      </c>
      <c r="D24" s="23">
        <f>SUM(D18:D23)</f>
        <v>137143195.09907576</v>
      </c>
      <c r="F24" s="21">
        <f>SUM(F18:F23)</f>
        <v>144048531.2533043</v>
      </c>
      <c r="G24" s="22"/>
      <c r="H24" s="23">
        <f>SUM(H18:H23)</f>
        <v>5553218.4396464992</v>
      </c>
      <c r="I24" s="22"/>
      <c r="J24" s="23">
        <f>SUM(J18:J23)</f>
        <v>149601749.69295081</v>
      </c>
      <c r="K24" s="22"/>
      <c r="L24" s="24"/>
      <c r="M24" s="22"/>
      <c r="N24" s="22"/>
      <c r="O24" s="25"/>
      <c r="P24" s="26"/>
      <c r="Q24" s="22"/>
      <c r="R24" s="27"/>
      <c r="S24" s="32"/>
      <c r="T24" s="27"/>
      <c r="U24" s="14"/>
      <c r="V24" s="14"/>
      <c r="W24" s="14"/>
      <c r="X24" s="14"/>
    </row>
    <row r="25" spans="1:24">
      <c r="D25" s="22"/>
      <c r="F25" s="22"/>
      <c r="G25" s="22"/>
      <c r="H25" s="22"/>
      <c r="I25" s="22"/>
      <c r="J25" s="22"/>
      <c r="K25" s="22"/>
      <c r="L25" s="28"/>
      <c r="M25" s="22"/>
      <c r="N25" s="22"/>
      <c r="O25" s="26"/>
      <c r="P25" s="26"/>
      <c r="Q25" s="22"/>
      <c r="R25" s="27"/>
      <c r="S25" s="32"/>
      <c r="T25" s="27"/>
      <c r="U25" s="14"/>
      <c r="V25" s="14"/>
      <c r="W25" s="14"/>
      <c r="X25" s="14"/>
    </row>
    <row r="26" spans="1:24" ht="15.75" thickBot="1">
      <c r="A26" s="13">
        <v>10</v>
      </c>
      <c r="C26" s="7" t="s">
        <v>37</v>
      </c>
      <c r="D26" s="42">
        <f>D15-D24</f>
        <v>29211510.567838371</v>
      </c>
      <c r="F26" s="43">
        <f>F15-F24</f>
        <v>29418391.696365148</v>
      </c>
      <c r="G26" s="22"/>
      <c r="H26" s="43">
        <f>H15-H24</f>
        <v>16245180.560353501</v>
      </c>
      <c r="I26" s="22"/>
      <c r="J26" s="42">
        <f>J15-J24</f>
        <v>45663572.256718636</v>
      </c>
      <c r="K26" s="22"/>
      <c r="L26" s="24"/>
      <c r="M26" s="22"/>
      <c r="N26" s="22"/>
      <c r="O26" s="25"/>
      <c r="P26" s="26"/>
      <c r="Q26" s="22"/>
      <c r="R26" s="27"/>
      <c r="S26" s="32"/>
      <c r="T26" s="27"/>
      <c r="U26" s="14"/>
      <c r="V26" s="14"/>
      <c r="W26" s="14"/>
      <c r="X26" s="14"/>
    </row>
    <row r="27" spans="1:24" ht="15.75" thickTop="1">
      <c r="F27" s="22"/>
      <c r="G27" s="22"/>
      <c r="H27" s="22"/>
      <c r="I27" s="22"/>
      <c r="J27" s="22"/>
      <c r="K27" s="22"/>
      <c r="L27" s="28"/>
      <c r="M27" s="22"/>
      <c r="N27" s="22"/>
      <c r="O27" s="22"/>
      <c r="P27" s="22"/>
      <c r="Q27" s="22"/>
      <c r="R27" s="14"/>
      <c r="S27" s="37"/>
      <c r="T27" s="28"/>
      <c r="U27" s="14"/>
      <c r="V27" s="14"/>
      <c r="W27" s="14"/>
      <c r="X27" s="14"/>
    </row>
    <row r="28" spans="1:24">
      <c r="A28" s="13">
        <v>11</v>
      </c>
      <c r="C28" s="7" t="s">
        <v>38</v>
      </c>
      <c r="D28" s="30">
        <v>547733497.68499041</v>
      </c>
      <c r="E28" s="36"/>
      <c r="F28" s="30">
        <v>596130007.08261716</v>
      </c>
      <c r="G28" s="34"/>
      <c r="H28" s="34"/>
      <c r="I28" s="34"/>
      <c r="J28" s="34">
        <v>596130007.08261716</v>
      </c>
      <c r="K28" s="22"/>
      <c r="L28" s="28"/>
      <c r="M28" s="22"/>
      <c r="N28" s="22"/>
      <c r="O28" s="22"/>
      <c r="P28" s="22"/>
      <c r="Q28" s="22"/>
      <c r="R28" s="27"/>
      <c r="S28" s="37"/>
      <c r="T28" s="27"/>
      <c r="U28" s="14"/>
      <c r="V28" s="14"/>
      <c r="W28" s="14"/>
      <c r="X28" s="14"/>
    </row>
    <row r="29" spans="1:24"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14"/>
      <c r="S29" s="14"/>
      <c r="T29" s="28"/>
      <c r="U29" s="14"/>
      <c r="V29" s="14"/>
      <c r="W29" s="14"/>
      <c r="X29" s="14"/>
    </row>
    <row r="30" spans="1:24">
      <c r="A30" s="13">
        <v>12</v>
      </c>
      <c r="C30" s="7" t="s">
        <v>39</v>
      </c>
      <c r="D30" s="44">
        <f>(D26/D28)</f>
        <v>5.3331612346700662E-2</v>
      </c>
      <c r="F30" s="44">
        <f>(F26/F28)</f>
        <v>4.9348952991537763E-2</v>
      </c>
      <c r="H30" s="45"/>
      <c r="J30" s="44">
        <f>(J26/J28)</f>
        <v>7.6600023005367959E-2</v>
      </c>
      <c r="K30" s="22"/>
      <c r="L30" s="22"/>
      <c r="M30" s="22"/>
      <c r="R30" s="46"/>
      <c r="S30" s="14"/>
      <c r="T30" s="46"/>
      <c r="U30" s="14"/>
      <c r="V30" s="46"/>
      <c r="W30" s="46"/>
      <c r="X30" s="46"/>
    </row>
    <row r="31" spans="1:24">
      <c r="F31" s="22"/>
      <c r="H31" s="45"/>
      <c r="J31" s="22"/>
      <c r="K31" s="22"/>
      <c r="L31" s="22"/>
      <c r="M31" s="22"/>
      <c r="R31" s="14"/>
      <c r="S31" s="14"/>
      <c r="T31" s="14"/>
      <c r="U31" s="14"/>
      <c r="V31" s="14"/>
      <c r="W31" s="14"/>
      <c r="X31" s="14"/>
    </row>
    <row r="32" spans="1:24">
      <c r="F32" s="22"/>
      <c r="H32" s="22"/>
      <c r="J32" s="22"/>
      <c r="K32" s="22"/>
      <c r="L32" s="22"/>
      <c r="M32" s="22"/>
      <c r="R32" s="14"/>
      <c r="S32" s="14"/>
      <c r="T32" s="14"/>
      <c r="U32" s="14"/>
      <c r="V32" s="14"/>
      <c r="W32" s="14"/>
      <c r="X32" s="14"/>
    </row>
    <row r="33" spans="3:24">
      <c r="C33" s="47"/>
      <c r="D33" s="48"/>
      <c r="E33" s="48"/>
      <c r="F33" s="48"/>
      <c r="G33" s="48"/>
      <c r="H33" s="48"/>
      <c r="I33" s="48"/>
      <c r="J33" s="48"/>
      <c r="K33" s="22"/>
      <c r="L33" s="22"/>
      <c r="M33" s="22"/>
      <c r="R33" s="14"/>
      <c r="S33" s="14"/>
      <c r="T33" s="14"/>
      <c r="U33" s="14"/>
      <c r="V33" s="14"/>
      <c r="W33" s="14"/>
      <c r="X33" s="14"/>
    </row>
    <row r="34" spans="3:24">
      <c r="F34" s="22"/>
      <c r="K34" s="22"/>
      <c r="L34" s="22"/>
      <c r="M34" s="22"/>
    </row>
    <row r="35" spans="3:24">
      <c r="F35" s="22"/>
      <c r="K35" s="22"/>
      <c r="L35" s="22"/>
      <c r="M35" s="22"/>
    </row>
  </sheetData>
  <mergeCells count="4">
    <mergeCell ref="A1:J1"/>
    <mergeCell ref="A2:J2"/>
    <mergeCell ref="A3:J3"/>
    <mergeCell ref="A4:J4"/>
  </mergeCells>
  <printOptions horizontalCentered="1"/>
  <pageMargins left="0.75" right="0.69" top="0.8" bottom="0.5" header="0.5" footer="0.5"/>
  <pageSetup orientation="landscape" verticalDpi="300" r:id="rId1"/>
  <headerFooter alignWithMargins="0">
    <oddHeader>&amp;RCASE NO. 2021-00214
FR_16(8)(c) 
ATTACHMENT 1</oddHeader>
    <oddFooter>&amp;RSchedule &amp;A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EF6FF-CCC1-491D-A856-4A996EE9701D}">
  <sheetPr>
    <pageSetUpPr fitToPage="1"/>
  </sheetPr>
  <dimension ref="A1:W95"/>
  <sheetViews>
    <sheetView view="pageBreakPreview" zoomScale="80" zoomScaleNormal="100" zoomScaleSheetLayoutView="80" workbookViewId="0">
      <selection sqref="A1:O1"/>
    </sheetView>
  </sheetViews>
  <sheetFormatPr defaultColWidth="7.109375" defaultRowHeight="15"/>
  <cols>
    <col min="1" max="1" width="3.5546875" style="4" customWidth="1"/>
    <col min="2" max="2" width="2.21875" style="4" customWidth="1"/>
    <col min="3" max="3" width="27.5546875" style="4" customWidth="1"/>
    <col min="4" max="4" width="13.109375" style="4" bestFit="1" customWidth="1"/>
    <col min="5" max="5" width="1.33203125" style="4" customWidth="1"/>
    <col min="6" max="6" width="12.6640625" style="4" customWidth="1"/>
    <col min="7" max="7" width="6.21875" style="4" bestFit="1" customWidth="1"/>
    <col min="8" max="8" width="7.33203125" style="4" customWidth="1"/>
    <col min="9" max="9" width="6" style="4" customWidth="1"/>
    <col min="10" max="10" width="1.44140625" style="4" customWidth="1"/>
    <col min="11" max="11" width="12.88671875" style="4" customWidth="1"/>
    <col min="12" max="12" width="1.44140625" style="4" customWidth="1"/>
    <col min="13" max="13" width="11.5546875" style="4" customWidth="1"/>
    <col min="14" max="14" width="23.77734375" style="4" bestFit="1" customWidth="1"/>
    <col min="15" max="15" width="13.44140625" style="4" customWidth="1"/>
    <col min="16" max="16" width="11.77734375" style="4" bestFit="1" customWidth="1"/>
    <col min="17" max="17" width="2.109375" style="4" customWidth="1"/>
    <col min="18" max="18" width="8.5546875" style="4" customWidth="1"/>
    <col min="19" max="21" width="7.109375" style="4"/>
    <col min="22" max="22" width="8" style="4" bestFit="1" customWidth="1"/>
    <col min="23" max="23" width="9.21875" style="4" customWidth="1"/>
    <col min="24" max="16384" width="7.109375" style="4"/>
  </cols>
  <sheetData>
    <row r="1" spans="1:20">
      <c r="A1" s="237" t="s">
        <v>404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</row>
    <row r="2" spans="1:20">
      <c r="A2" s="237" t="s">
        <v>405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20">
      <c r="A3" s="242" t="s">
        <v>40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</row>
    <row r="4" spans="1:20">
      <c r="A4" s="237" t="s">
        <v>406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</row>
    <row r="5" spans="1:20">
      <c r="A5" s="237" t="s">
        <v>407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</row>
    <row r="6" spans="1:20">
      <c r="C6" s="49"/>
    </row>
    <row r="7" spans="1:20">
      <c r="A7" s="50" t="str">
        <f>'C.1'!A7</f>
        <v>Data:__X____Base Period___X___Forecasted Period</v>
      </c>
      <c r="K7" s="51"/>
      <c r="O7" s="8" t="s">
        <v>41</v>
      </c>
    </row>
    <row r="8" spans="1:20">
      <c r="A8" s="50" t="str">
        <f>'C.1'!A8</f>
        <v>Type of Filing:___X____Original________Updated ________Revised</v>
      </c>
      <c r="K8" s="51"/>
      <c r="O8" s="52" t="s">
        <v>42</v>
      </c>
    </row>
    <row r="9" spans="1:20">
      <c r="A9" s="53" t="str">
        <f>'C.1'!A9</f>
        <v>Workpaper Reference No(s).____________________</v>
      </c>
      <c r="B9" s="11"/>
      <c r="C9" s="11"/>
      <c r="D9" s="11"/>
      <c r="E9" s="11"/>
      <c r="F9" s="11"/>
      <c r="G9" s="11"/>
      <c r="H9" s="11"/>
      <c r="I9" s="11"/>
      <c r="J9" s="11"/>
      <c r="K9" s="54"/>
      <c r="L9" s="11"/>
      <c r="M9" s="2"/>
      <c r="N9" s="2"/>
      <c r="O9" s="55" t="str">
        <f>'C.1'!J9</f>
        <v>Witness: Christian, Densman</v>
      </c>
    </row>
    <row r="10" spans="1:20">
      <c r="D10" s="13" t="s">
        <v>43</v>
      </c>
      <c r="G10" s="56"/>
      <c r="H10" s="3" t="s">
        <v>44</v>
      </c>
      <c r="K10" s="13" t="s">
        <v>21</v>
      </c>
      <c r="O10" s="3" t="s">
        <v>45</v>
      </c>
    </row>
    <row r="11" spans="1:20">
      <c r="A11" s="6" t="s">
        <v>22</v>
      </c>
      <c r="C11" s="13" t="s">
        <v>46</v>
      </c>
      <c r="D11" s="6" t="s">
        <v>47</v>
      </c>
      <c r="F11" s="3" t="s">
        <v>48</v>
      </c>
      <c r="G11" s="3" t="s">
        <v>49</v>
      </c>
      <c r="H11" s="13" t="s">
        <v>50</v>
      </c>
      <c r="I11" s="3" t="s">
        <v>49</v>
      </c>
      <c r="K11" s="6" t="s">
        <v>47</v>
      </c>
      <c r="M11" s="3" t="s">
        <v>51</v>
      </c>
      <c r="N11" s="3" t="s">
        <v>49</v>
      </c>
      <c r="O11" s="3" t="s">
        <v>52</v>
      </c>
    </row>
    <row r="12" spans="1:20">
      <c r="A12" s="57" t="s">
        <v>25</v>
      </c>
      <c r="B12" s="11"/>
      <c r="C12" s="57" t="s">
        <v>53</v>
      </c>
      <c r="D12" s="15" t="s">
        <v>54</v>
      </c>
      <c r="E12" s="11"/>
      <c r="F12" s="15" t="s">
        <v>55</v>
      </c>
      <c r="G12" s="58" t="s">
        <v>56</v>
      </c>
      <c r="H12" s="15" t="s">
        <v>57</v>
      </c>
      <c r="I12" s="58" t="s">
        <v>56</v>
      </c>
      <c r="J12" s="11"/>
      <c r="K12" s="15" t="s">
        <v>54</v>
      </c>
      <c r="L12" s="11"/>
      <c r="M12" s="59" t="s">
        <v>55</v>
      </c>
      <c r="N12" s="58" t="s">
        <v>56</v>
      </c>
      <c r="O12" s="1" t="s">
        <v>58</v>
      </c>
    </row>
    <row r="13" spans="1:20">
      <c r="C13" s="60"/>
      <c r="D13" s="13"/>
      <c r="F13" s="13"/>
      <c r="H13" s="13"/>
      <c r="K13" s="13"/>
      <c r="M13" s="61"/>
      <c r="O13" s="13"/>
    </row>
    <row r="14" spans="1:20">
      <c r="A14" s="62">
        <v>1</v>
      </c>
      <c r="C14" s="7" t="s">
        <v>29</v>
      </c>
      <c r="D14" s="63">
        <f>+'C.2.1 B'!D33</f>
        <v>166354705.66691414</v>
      </c>
      <c r="F14" s="21">
        <f>+K14-D14</f>
        <v>7112217.2827553153</v>
      </c>
      <c r="G14" s="6" t="s">
        <v>59</v>
      </c>
      <c r="H14" s="22"/>
      <c r="K14" s="63">
        <f>'C.2.1 F'!D28</f>
        <v>173466922.94966945</v>
      </c>
      <c r="L14" s="49"/>
      <c r="M14" s="64"/>
      <c r="N14" s="6"/>
      <c r="O14" s="21">
        <f>+K14+M14</f>
        <v>173466922.94966945</v>
      </c>
      <c r="P14" s="49"/>
    </row>
    <row r="15" spans="1:20">
      <c r="A15" s="65">
        <v>2</v>
      </c>
      <c r="C15" s="56"/>
      <c r="D15" s="49"/>
      <c r="F15" s="49"/>
      <c r="G15" s="49"/>
      <c r="H15" s="49"/>
      <c r="K15" s="49"/>
      <c r="L15" s="49"/>
      <c r="N15" s="49"/>
      <c r="P15" s="49"/>
      <c r="T15" s="66"/>
    </row>
    <row r="16" spans="1:20">
      <c r="A16" s="62">
        <v>3</v>
      </c>
      <c r="C16" s="7" t="s">
        <v>30</v>
      </c>
      <c r="P16" s="49"/>
      <c r="Q16" s="45"/>
      <c r="S16" s="45"/>
      <c r="T16" s="49"/>
    </row>
    <row r="17" spans="1:23">
      <c r="A17" s="65">
        <v>4</v>
      </c>
      <c r="C17" s="29" t="s">
        <v>31</v>
      </c>
      <c r="D17" s="67">
        <f>+'C.2.1 B'!D105</f>
        <v>70283865.695086718</v>
      </c>
      <c r="F17" s="30">
        <f t="shared" ref="F17:F28" si="0">+K17-D17-H17</f>
        <v>7589790.6413868517</v>
      </c>
      <c r="G17" s="6" t="s">
        <v>59</v>
      </c>
      <c r="H17" s="22"/>
      <c r="K17" s="67">
        <f>'C.2.1 F'!D100</f>
        <v>77873656.336473569</v>
      </c>
      <c r="L17" s="49"/>
      <c r="M17" s="30">
        <v>0</v>
      </c>
      <c r="N17" s="49"/>
      <c r="O17" s="30">
        <f t="shared" ref="O17:O22" si="1">+K17+M17</f>
        <v>77873656.336473569</v>
      </c>
      <c r="P17" s="49"/>
      <c r="Q17" s="45"/>
      <c r="S17" s="45"/>
      <c r="T17" s="49"/>
    </row>
    <row r="18" spans="1:23">
      <c r="A18" s="62">
        <v>5</v>
      </c>
      <c r="C18" s="29" t="s">
        <v>60</v>
      </c>
      <c r="D18" s="68">
        <f>+'C.2.1 B'!D39+'C.2.1 B'!D43</f>
        <v>0</v>
      </c>
      <c r="F18" s="30">
        <f t="shared" si="0"/>
        <v>0</v>
      </c>
      <c r="G18" s="6" t="s">
        <v>59</v>
      </c>
      <c r="H18" s="22"/>
      <c r="K18" s="67">
        <f>'C.2.1 F'!D34+'C.2.1 F'!D38</f>
        <v>0</v>
      </c>
      <c r="L18" s="22"/>
      <c r="M18" s="30">
        <v>0</v>
      </c>
      <c r="N18" s="22"/>
      <c r="O18" s="30">
        <f t="shared" si="1"/>
        <v>0</v>
      </c>
      <c r="P18" s="49"/>
    </row>
    <row r="19" spans="1:23">
      <c r="A19" s="65">
        <v>6</v>
      </c>
      <c r="C19" s="29" t="s">
        <v>61</v>
      </c>
      <c r="D19" s="68">
        <f>+'C.2.1 B'!D55+'C.2.1 B'!D65</f>
        <v>742884.54297584889</v>
      </c>
      <c r="F19" s="30">
        <f t="shared" si="0"/>
        <v>12773.005638504634</v>
      </c>
      <c r="G19" s="6" t="s">
        <v>59</v>
      </c>
      <c r="H19" s="22"/>
      <c r="K19" s="67">
        <f>'C.2.1 F'!D50+'C.2.1 F'!D60</f>
        <v>755657.54861435352</v>
      </c>
      <c r="L19" s="22"/>
      <c r="M19" s="30">
        <v>0</v>
      </c>
      <c r="N19" s="22"/>
      <c r="O19" s="30">
        <f t="shared" si="1"/>
        <v>755657.54861435352</v>
      </c>
      <c r="P19" s="49"/>
    </row>
    <row r="20" spans="1:23">
      <c r="A20" s="62">
        <v>7</v>
      </c>
      <c r="C20" s="29" t="s">
        <v>62</v>
      </c>
      <c r="D20" s="68">
        <f>+'C.2.1 B'!D75+'C.2.1 B'!D83</f>
        <v>201245.43671156355</v>
      </c>
      <c r="F20" s="30">
        <f t="shared" si="0"/>
        <v>5104.9120574531844</v>
      </c>
      <c r="G20" s="6" t="s">
        <v>59</v>
      </c>
      <c r="H20" s="22"/>
      <c r="K20" s="67">
        <f>'C.2.1 F'!D70+'C.2.1 F'!D78</f>
        <v>206350.34876901674</v>
      </c>
      <c r="L20" s="22"/>
      <c r="M20" s="30">
        <v>0</v>
      </c>
      <c r="N20" s="22"/>
      <c r="O20" s="30">
        <f t="shared" si="1"/>
        <v>206350.34876901674</v>
      </c>
      <c r="P20" s="49"/>
      <c r="R20" s="69"/>
      <c r="S20" s="69"/>
      <c r="T20" s="69"/>
      <c r="U20" s="69"/>
      <c r="V20" s="69"/>
      <c r="W20" s="69"/>
    </row>
    <row r="21" spans="1:23">
      <c r="A21" s="65">
        <v>8</v>
      </c>
      <c r="C21" s="70" t="s">
        <v>63</v>
      </c>
      <c r="D21" s="68">
        <f>+'C.2.1 B'!D120+'C.2.1 B'!D133</f>
        <v>9060381.4914577212</v>
      </c>
      <c r="F21" s="30">
        <f t="shared" si="0"/>
        <v>139317.89927778393</v>
      </c>
      <c r="G21" s="6" t="s">
        <v>59</v>
      </c>
      <c r="H21" s="22"/>
      <c r="I21" s="3" t="s">
        <v>64</v>
      </c>
      <c r="K21" s="71">
        <f>'C.2.1 F'!D115+'C.2.1 F'!D128</f>
        <v>9199699.3907355051</v>
      </c>
      <c r="L21" s="22"/>
      <c r="M21" s="30">
        <v>0</v>
      </c>
      <c r="N21" s="13"/>
      <c r="O21" s="30">
        <f t="shared" si="1"/>
        <v>9199699.3907355051</v>
      </c>
      <c r="P21" s="49"/>
      <c r="R21" s="69"/>
      <c r="S21" s="69"/>
      <c r="T21" s="69"/>
      <c r="U21" s="69"/>
      <c r="V21" s="69"/>
      <c r="W21" s="69"/>
    </row>
    <row r="22" spans="1:23">
      <c r="A22" s="62">
        <v>9</v>
      </c>
      <c r="C22" s="70" t="s">
        <v>65</v>
      </c>
      <c r="D22" s="68">
        <f>+'C.2.1 B'!D140</f>
        <v>2888691.1579940091</v>
      </c>
      <c r="F22" s="30">
        <f t="shared" si="0"/>
        <v>-489178.38204885693</v>
      </c>
      <c r="G22" s="6" t="s">
        <v>59</v>
      </c>
      <c r="H22" s="22"/>
      <c r="I22" s="3" t="s">
        <v>64</v>
      </c>
      <c r="K22" s="67">
        <f>'C.2.1 F'!D135</f>
        <v>2399512.7759451522</v>
      </c>
      <c r="L22" s="22"/>
      <c r="M22" s="30">
        <v>0</v>
      </c>
      <c r="N22" s="22"/>
      <c r="O22" s="30">
        <f t="shared" si="1"/>
        <v>2399512.7759451522</v>
      </c>
      <c r="P22" s="49"/>
      <c r="R22" s="69"/>
      <c r="S22" s="69"/>
      <c r="T22" s="72"/>
      <c r="U22" s="69"/>
      <c r="V22" s="69"/>
      <c r="W22" s="69"/>
    </row>
    <row r="23" spans="1:23">
      <c r="A23" s="65">
        <v>10</v>
      </c>
      <c r="C23" s="29" t="s">
        <v>66</v>
      </c>
      <c r="D23" s="67">
        <f>+'C.2.1 B'!D147</f>
        <v>170525.99226331359</v>
      </c>
      <c r="F23" s="30">
        <f t="shared" si="0"/>
        <v>4605.3183138320164</v>
      </c>
      <c r="G23" s="6" t="s">
        <v>59</v>
      </c>
      <c r="H23" s="22"/>
      <c r="I23" s="3" t="s">
        <v>64</v>
      </c>
      <c r="K23" s="67">
        <f>'C.2.1 F'!D142</f>
        <v>175131.3105771456</v>
      </c>
      <c r="L23" s="49"/>
      <c r="M23" s="30">
        <v>0</v>
      </c>
      <c r="N23" s="13"/>
      <c r="O23" s="30">
        <f>+K23+M23</f>
        <v>175131.3105771456</v>
      </c>
      <c r="P23" s="49"/>
      <c r="R23" s="69"/>
      <c r="S23" s="69"/>
      <c r="T23" s="73"/>
      <c r="U23" s="69"/>
      <c r="V23" s="69"/>
      <c r="W23" s="69"/>
    </row>
    <row r="24" spans="1:23">
      <c r="A24" s="62">
        <v>11</v>
      </c>
      <c r="C24" s="70" t="s">
        <v>67</v>
      </c>
      <c r="D24" s="67">
        <f>+'C.2.1 B'!D154</f>
        <v>323515.5802244044</v>
      </c>
      <c r="F24" s="30">
        <f t="shared" si="0"/>
        <v>4158.0839464988676</v>
      </c>
      <c r="G24" s="6" t="s">
        <v>59</v>
      </c>
      <c r="H24" s="22"/>
      <c r="I24" s="3" t="s">
        <v>64</v>
      </c>
      <c r="K24" s="67">
        <f>'C.2.1 F'!D149</f>
        <v>327673.66417090327</v>
      </c>
      <c r="L24" s="49"/>
      <c r="M24" s="30">
        <v>-172549.05559251021</v>
      </c>
      <c r="N24" s="13" t="s">
        <v>68</v>
      </c>
      <c r="O24" s="30">
        <f>+K24+M24</f>
        <v>155124.60857839306</v>
      </c>
      <c r="P24" s="49"/>
      <c r="R24" s="69"/>
      <c r="S24" s="69"/>
      <c r="T24" s="73"/>
      <c r="U24" s="69"/>
      <c r="V24" s="69"/>
      <c r="W24" s="69"/>
    </row>
    <row r="25" spans="1:23">
      <c r="A25" s="65">
        <v>12</v>
      </c>
      <c r="C25" s="70" t="s">
        <v>69</v>
      </c>
      <c r="D25" s="67">
        <f>+'C.2.1 B'!D168+'C.2.1 B'!D172</f>
        <v>17924415.234955449</v>
      </c>
      <c r="F25" s="30">
        <f t="shared" si="0"/>
        <v>182206.12395458668</v>
      </c>
      <c r="G25" s="6" t="s">
        <v>59</v>
      </c>
      <c r="H25" s="22"/>
      <c r="I25" s="3" t="s">
        <v>64</v>
      </c>
      <c r="K25" s="67">
        <f>'C.2.1 F'!D163+'C.2.1 F'!D167</f>
        <v>18106621.358910035</v>
      </c>
      <c r="L25" s="49"/>
      <c r="M25" s="30">
        <v>-1950661.9326288453</v>
      </c>
      <c r="N25" s="13" t="s">
        <v>70</v>
      </c>
      <c r="O25" s="30">
        <f>+K25+M25</f>
        <v>16155959.42628119</v>
      </c>
      <c r="P25" s="49"/>
      <c r="Q25" s="45"/>
      <c r="R25" s="69"/>
      <c r="S25" s="69"/>
      <c r="T25" s="73"/>
      <c r="U25" s="69"/>
      <c r="V25" s="69"/>
      <c r="W25" s="69"/>
    </row>
    <row r="26" spans="1:23">
      <c r="A26" s="62">
        <v>13</v>
      </c>
      <c r="C26" s="70" t="s">
        <v>71</v>
      </c>
      <c r="D26" s="67">
        <f>+'C.2.1 B'!D176</f>
        <v>19295728.648829721</v>
      </c>
      <c r="F26" s="30">
        <f t="shared" si="0"/>
        <v>1308718.3365427293</v>
      </c>
      <c r="G26" s="6" t="s">
        <v>59</v>
      </c>
      <c r="H26" s="22"/>
      <c r="K26" s="67">
        <f>'C.2.1 F'!D171</f>
        <v>20604446.98537245</v>
      </c>
      <c r="L26" s="49"/>
      <c r="M26" s="30">
        <f>O26-K26</f>
        <v>0</v>
      </c>
      <c r="N26" s="49"/>
      <c r="O26" s="67">
        <f>'C.2.1 F'!D171</f>
        <v>20604446.98537245</v>
      </c>
      <c r="P26" s="49"/>
      <c r="Q26" s="45"/>
      <c r="R26" s="69"/>
      <c r="S26" s="74"/>
      <c r="T26" s="73"/>
      <c r="U26" s="69"/>
      <c r="V26" s="69"/>
      <c r="W26" s="69"/>
    </row>
    <row r="27" spans="1:23">
      <c r="A27" s="65">
        <v>14</v>
      </c>
      <c r="C27" s="70" t="s">
        <v>72</v>
      </c>
      <c r="D27" s="67">
        <f>+'C.2.1 B'!D178</f>
        <v>9749303.3507630825</v>
      </c>
      <c r="F27" s="34">
        <f t="shared" si="0"/>
        <v>577083.62717701495</v>
      </c>
      <c r="G27" s="6" t="s">
        <v>59</v>
      </c>
      <c r="H27" s="22"/>
      <c r="K27" s="67">
        <f>'C.2.1 F'!D172</f>
        <v>10326386.977940097</v>
      </c>
      <c r="L27" s="22"/>
      <c r="M27" s="30">
        <v>-93831.185693149659</v>
      </c>
      <c r="N27" s="13" t="s">
        <v>73</v>
      </c>
      <c r="O27" s="34">
        <f>+K27+M27</f>
        <v>10232555.792246947</v>
      </c>
      <c r="P27" s="49"/>
      <c r="Q27" s="45"/>
      <c r="S27" s="45"/>
      <c r="T27" s="22"/>
    </row>
    <row r="28" spans="1:23">
      <c r="A28" s="62">
        <v>15</v>
      </c>
      <c r="C28" s="70" t="s">
        <v>74</v>
      </c>
      <c r="D28" s="67">
        <f>+'C.2.1 B'!D179</f>
        <v>6502637.9678139454</v>
      </c>
      <c r="F28" s="34">
        <f t="shared" si="0"/>
        <v>-212201.23810337763</v>
      </c>
      <c r="H28" s="22"/>
      <c r="K28" s="67">
        <f>'C.2.1 F'!D173</f>
        <v>6290436.7297105677</v>
      </c>
      <c r="L28" s="49"/>
      <c r="M28" s="67">
        <f>+O28-K28</f>
        <v>0</v>
      </c>
      <c r="N28" s="6"/>
      <c r="O28" s="67">
        <v>6290436.7297105687</v>
      </c>
      <c r="P28" s="49"/>
      <c r="Q28" s="45"/>
      <c r="S28" s="45"/>
      <c r="T28" s="49"/>
    </row>
    <row r="29" spans="1:23">
      <c r="A29" s="65">
        <v>16</v>
      </c>
      <c r="C29" s="51"/>
      <c r="D29" s="75"/>
      <c r="F29" s="76"/>
      <c r="H29" s="77"/>
      <c r="K29" s="75"/>
      <c r="L29" s="22"/>
      <c r="M29" s="78"/>
      <c r="N29" s="22"/>
      <c r="O29" s="78"/>
      <c r="P29" s="49"/>
    </row>
    <row r="30" spans="1:23">
      <c r="A30" s="62">
        <v>17</v>
      </c>
      <c r="C30" s="49"/>
      <c r="D30" s="22"/>
      <c r="F30" s="22"/>
      <c r="H30" s="22"/>
      <c r="K30" s="22"/>
      <c r="L30" s="22"/>
      <c r="N30" s="22"/>
      <c r="P30" s="49"/>
      <c r="T30" s="79"/>
    </row>
    <row r="31" spans="1:23">
      <c r="A31" s="65">
        <v>18</v>
      </c>
      <c r="C31" s="7" t="s">
        <v>36</v>
      </c>
      <c r="D31" s="23">
        <f>SUM(D17:D29)</f>
        <v>137143195.09907576</v>
      </c>
      <c r="F31" s="23">
        <f>SUM(F17:F29)</f>
        <v>9122378.3281430192</v>
      </c>
      <c r="H31" s="23">
        <f>SUM(H21:H29)</f>
        <v>0</v>
      </c>
      <c r="K31" s="23">
        <f>SUM(K17:K29)</f>
        <v>146265573.42721882</v>
      </c>
      <c r="L31" s="22"/>
      <c r="M31" s="23">
        <f>SUM(M17:M29)</f>
        <v>-2217042.1739145052</v>
      </c>
      <c r="N31" s="22"/>
      <c r="O31" s="23">
        <f>SUM(O17:O29)</f>
        <v>144048531.2533043</v>
      </c>
      <c r="P31" s="49"/>
    </row>
    <row r="32" spans="1:23">
      <c r="A32" s="62">
        <v>19</v>
      </c>
      <c r="D32" s="49"/>
      <c r="F32" s="49"/>
      <c r="H32" s="49"/>
      <c r="K32" s="49"/>
      <c r="L32" s="49"/>
      <c r="M32" s="49"/>
      <c r="N32" s="49"/>
      <c r="O32" s="49"/>
      <c r="P32" s="49"/>
    </row>
    <row r="33" spans="1:21" ht="15.75" thickBot="1">
      <c r="A33" s="65">
        <v>20</v>
      </c>
      <c r="C33" s="7" t="s">
        <v>75</v>
      </c>
      <c r="D33" s="42">
        <f>D14-D31</f>
        <v>29211510.567838371</v>
      </c>
      <c r="F33" s="42">
        <f>F14-F31</f>
        <v>-2010161.0453877039</v>
      </c>
      <c r="H33" s="42">
        <f>H14-H31</f>
        <v>0</v>
      </c>
      <c r="K33" s="42">
        <f>K14-K31</f>
        <v>27201349.522450626</v>
      </c>
      <c r="L33" s="22"/>
      <c r="M33" s="42">
        <f>M14-M31</f>
        <v>2217042.1739145052</v>
      </c>
      <c r="N33" s="22"/>
      <c r="O33" s="42">
        <f>O14-O31</f>
        <v>29418391.696365148</v>
      </c>
      <c r="P33" s="49"/>
      <c r="Q33" s="45"/>
      <c r="S33" s="45"/>
      <c r="T33" s="22"/>
      <c r="U33" s="22"/>
    </row>
    <row r="34" spans="1:21" ht="15.75" thickTop="1">
      <c r="A34" s="65"/>
      <c r="D34" s="22"/>
      <c r="F34" s="22"/>
      <c r="G34" s="22"/>
      <c r="H34" s="22"/>
      <c r="K34" s="13"/>
      <c r="L34" s="22"/>
      <c r="M34" s="13"/>
      <c r="N34" s="22"/>
      <c r="O34" s="22"/>
      <c r="P34" s="22"/>
      <c r="Q34" s="45"/>
      <c r="S34" s="45"/>
      <c r="T34" s="22"/>
      <c r="U34" s="22"/>
    </row>
    <row r="35" spans="1:21">
      <c r="A35" s="62"/>
      <c r="D35" s="80"/>
      <c r="F35" s="22"/>
      <c r="G35" s="22"/>
      <c r="H35" s="22"/>
      <c r="K35" s="80"/>
      <c r="L35" s="22"/>
      <c r="M35" s="45"/>
      <c r="N35" s="22"/>
      <c r="O35" s="80"/>
      <c r="P35" s="22"/>
    </row>
    <row r="36" spans="1:21">
      <c r="A36" s="62"/>
      <c r="C36" s="81"/>
      <c r="D36" s="26"/>
      <c r="E36" s="20"/>
      <c r="F36" s="26"/>
      <c r="G36" s="26"/>
      <c r="H36" s="26"/>
      <c r="I36" s="20"/>
      <c r="J36" s="20"/>
      <c r="K36" s="26"/>
      <c r="L36" s="22"/>
      <c r="M36" s="30"/>
      <c r="N36" s="22"/>
      <c r="O36" s="80"/>
      <c r="P36" s="22"/>
    </row>
    <row r="37" spans="1:21">
      <c r="A37" s="62"/>
      <c r="C37" s="20"/>
      <c r="D37" s="82"/>
      <c r="E37" s="20"/>
      <c r="F37" s="26"/>
      <c r="G37" s="26"/>
      <c r="H37" s="26"/>
      <c r="I37" s="20"/>
      <c r="J37" s="20"/>
      <c r="K37" s="82"/>
      <c r="L37" s="22"/>
      <c r="M37" s="45"/>
      <c r="N37" s="22"/>
      <c r="O37" s="80"/>
      <c r="P37" s="22"/>
    </row>
    <row r="38" spans="1:21">
      <c r="A38" s="65"/>
      <c r="B38" s="83"/>
      <c r="C38" s="81"/>
      <c r="D38" s="26"/>
      <c r="E38" s="20"/>
      <c r="F38" s="26"/>
      <c r="G38" s="26"/>
      <c r="H38" s="26"/>
      <c r="I38" s="20"/>
      <c r="J38" s="20"/>
      <c r="K38" s="26"/>
      <c r="L38" s="22"/>
      <c r="N38" s="22"/>
      <c r="P38" s="22"/>
    </row>
    <row r="39" spans="1:21">
      <c r="A39" s="62"/>
      <c r="B39" s="84"/>
      <c r="C39" s="81"/>
      <c r="D39" s="26"/>
      <c r="E39" s="20"/>
      <c r="F39" s="26"/>
      <c r="G39" s="26"/>
      <c r="H39" s="26"/>
      <c r="I39" s="20"/>
      <c r="J39" s="20"/>
      <c r="K39" s="26"/>
      <c r="L39" s="22"/>
      <c r="M39" s="45"/>
      <c r="N39" s="22"/>
      <c r="O39" s="45"/>
      <c r="P39" s="22"/>
      <c r="T39" s="79"/>
    </row>
    <row r="40" spans="1:21">
      <c r="D40" s="22"/>
      <c r="F40" s="22"/>
      <c r="G40" s="22"/>
      <c r="K40" s="22"/>
      <c r="L40" s="22"/>
      <c r="M40" s="26"/>
      <c r="N40" s="20"/>
    </row>
    <row r="41" spans="1:21">
      <c r="D41" s="22"/>
      <c r="F41" s="22"/>
      <c r="G41" s="22"/>
      <c r="H41" s="45"/>
      <c r="K41" s="22"/>
      <c r="L41" s="22"/>
      <c r="M41" s="26"/>
      <c r="N41" s="26"/>
      <c r="O41" s="45"/>
      <c r="P41" s="22"/>
    </row>
    <row r="42" spans="1:21">
      <c r="A42" s="49"/>
      <c r="D42" s="22"/>
      <c r="F42" s="22"/>
      <c r="G42" s="22"/>
      <c r="K42" s="22"/>
      <c r="L42" s="22"/>
      <c r="M42" s="26"/>
      <c r="N42" s="26"/>
      <c r="P42" s="22"/>
      <c r="Q42" s="45"/>
      <c r="S42" s="45"/>
      <c r="T42" s="22"/>
      <c r="U42" s="22"/>
    </row>
    <row r="43" spans="1:21">
      <c r="A43" s="49"/>
      <c r="D43" s="22"/>
      <c r="F43" s="22"/>
      <c r="G43" s="22"/>
      <c r="H43" s="45"/>
      <c r="K43" s="22"/>
      <c r="L43" s="22"/>
      <c r="N43" s="26"/>
      <c r="O43" s="45"/>
      <c r="P43" s="22"/>
      <c r="Q43" s="45"/>
      <c r="S43" s="45"/>
      <c r="T43" s="22"/>
      <c r="U43" s="22"/>
    </row>
    <row r="44" spans="1:21">
      <c r="A44" s="49"/>
      <c r="C44" s="49"/>
      <c r="D44" s="22"/>
      <c r="F44" s="22"/>
      <c r="G44" s="22"/>
      <c r="M44" s="26"/>
      <c r="N44" s="20"/>
    </row>
    <row r="45" spans="1:21">
      <c r="A45" s="49"/>
      <c r="C45" s="49"/>
      <c r="D45" s="22"/>
      <c r="F45" s="22"/>
      <c r="G45" s="22"/>
    </row>
    <row r="46" spans="1:21">
      <c r="D46" s="22"/>
      <c r="F46" s="22"/>
      <c r="G46" s="22"/>
      <c r="K46" s="79"/>
      <c r="L46" s="79"/>
      <c r="N46" s="79"/>
      <c r="P46" s="79"/>
      <c r="T46" s="79"/>
    </row>
    <row r="47" spans="1:21">
      <c r="A47" s="49"/>
      <c r="D47" s="22"/>
      <c r="F47" s="22"/>
      <c r="G47" s="22"/>
    </row>
    <row r="48" spans="1:21">
      <c r="C48" s="56"/>
      <c r="E48" s="22"/>
      <c r="G48" s="22"/>
    </row>
    <row r="49" spans="1:23">
      <c r="A49" s="49"/>
      <c r="C49" s="49"/>
      <c r="E49" s="22"/>
      <c r="F49" s="45"/>
      <c r="G49" s="22"/>
      <c r="H49" s="45"/>
      <c r="K49" s="45"/>
      <c r="L49" s="49"/>
      <c r="M49" s="45"/>
      <c r="N49" s="49"/>
      <c r="O49" s="45"/>
      <c r="P49" s="49"/>
      <c r="Q49" s="45"/>
      <c r="S49" s="45"/>
      <c r="T49" s="22"/>
      <c r="V49" s="49"/>
    </row>
    <row r="50" spans="1:23">
      <c r="C50" s="49"/>
      <c r="D50" s="45"/>
      <c r="E50" s="22"/>
      <c r="F50" s="45"/>
      <c r="G50" s="22"/>
      <c r="H50" s="45"/>
      <c r="K50" s="45"/>
      <c r="L50" s="49"/>
      <c r="M50" s="45"/>
      <c r="N50" s="49"/>
      <c r="O50" s="45"/>
      <c r="P50" s="49"/>
      <c r="Q50" s="45"/>
      <c r="S50" s="45"/>
      <c r="T50" s="22"/>
    </row>
    <row r="51" spans="1:23">
      <c r="D51" s="45"/>
      <c r="V51" s="49"/>
    </row>
    <row r="52" spans="1:23">
      <c r="V52" s="49"/>
      <c r="W52" s="22"/>
    </row>
    <row r="53" spans="1:23">
      <c r="V53" s="49"/>
      <c r="W53" s="22"/>
    </row>
    <row r="56" spans="1:23">
      <c r="V56" s="79"/>
    </row>
    <row r="58" spans="1:23">
      <c r="S58" s="22"/>
      <c r="T58" s="22"/>
    </row>
    <row r="59" spans="1:23">
      <c r="E59" s="49"/>
      <c r="R59" s="49"/>
      <c r="S59" s="22"/>
      <c r="T59" s="22"/>
    </row>
    <row r="62" spans="1:23">
      <c r="R62" s="79"/>
    </row>
    <row r="63" spans="1:23">
      <c r="R63" s="49"/>
    </row>
    <row r="64" spans="1:23">
      <c r="R64" s="49"/>
    </row>
    <row r="65" spans="1:18">
      <c r="R65" s="49"/>
    </row>
    <row r="67" spans="1:18">
      <c r="A67" s="49"/>
    </row>
    <row r="68" spans="1:18">
      <c r="A68" s="49"/>
      <c r="C68" s="49"/>
      <c r="G68" s="79"/>
      <c r="I68" s="79"/>
      <c r="J68" s="79"/>
      <c r="L68" s="79"/>
      <c r="N68" s="79"/>
      <c r="P68" s="79"/>
      <c r="R68" s="79"/>
    </row>
    <row r="69" spans="1:18">
      <c r="G69" s="49"/>
      <c r="R69" s="49"/>
    </row>
    <row r="70" spans="1:18">
      <c r="A70" s="49"/>
    </row>
    <row r="71" spans="1:18">
      <c r="A71" s="49"/>
    </row>
    <row r="72" spans="1:18">
      <c r="A72" s="49"/>
    </row>
    <row r="73" spans="1:18">
      <c r="A73" s="49"/>
    </row>
    <row r="75" spans="1:18">
      <c r="A75" s="49"/>
    </row>
    <row r="76" spans="1:18">
      <c r="A76" s="49"/>
    </row>
    <row r="79" spans="1:18">
      <c r="A79" s="49"/>
    </row>
    <row r="80" spans="1:18">
      <c r="C80" s="49"/>
    </row>
    <row r="86" spans="7:18">
      <c r="G86" s="49"/>
      <c r="I86" s="49"/>
      <c r="J86" s="49"/>
      <c r="L86" s="49"/>
      <c r="N86" s="49"/>
      <c r="P86" s="49"/>
      <c r="R86" s="49"/>
    </row>
    <row r="87" spans="7:18">
      <c r="G87" s="49"/>
      <c r="I87" s="49"/>
      <c r="J87" s="49"/>
      <c r="L87" s="49"/>
      <c r="N87" s="49"/>
      <c r="P87" s="49"/>
      <c r="R87" s="49"/>
    </row>
    <row r="88" spans="7:18">
      <c r="G88" s="49"/>
      <c r="I88" s="49"/>
      <c r="J88" s="49"/>
      <c r="L88" s="49"/>
      <c r="N88" s="49"/>
      <c r="P88" s="49"/>
      <c r="R88" s="49"/>
    </row>
    <row r="89" spans="7:18">
      <c r="G89" s="49"/>
      <c r="I89" s="49"/>
      <c r="J89" s="49"/>
      <c r="L89" s="49"/>
      <c r="N89" s="49"/>
      <c r="P89" s="49"/>
      <c r="R89" s="49"/>
    </row>
    <row r="90" spans="7:18">
      <c r="G90" s="49"/>
      <c r="I90" s="49"/>
      <c r="J90" s="49"/>
      <c r="L90" s="49"/>
      <c r="N90" s="49"/>
      <c r="P90" s="49"/>
      <c r="R90" s="49"/>
    </row>
    <row r="91" spans="7:18">
      <c r="G91" s="49"/>
      <c r="I91" s="49"/>
      <c r="J91" s="49"/>
      <c r="L91" s="49"/>
      <c r="N91" s="49"/>
      <c r="P91" s="49"/>
      <c r="R91" s="49"/>
    </row>
    <row r="92" spans="7:18">
      <c r="G92" s="49"/>
      <c r="I92" s="49"/>
      <c r="J92" s="49"/>
      <c r="L92" s="49"/>
      <c r="N92" s="49"/>
      <c r="P92" s="49"/>
      <c r="R92" s="49"/>
    </row>
    <row r="93" spans="7:18">
      <c r="G93" s="49"/>
      <c r="I93" s="49"/>
      <c r="J93" s="49"/>
      <c r="L93" s="49"/>
      <c r="N93" s="49"/>
      <c r="P93" s="49"/>
      <c r="R93" s="49"/>
    </row>
    <row r="94" spans="7:18">
      <c r="G94" s="49"/>
      <c r="I94" s="49"/>
      <c r="J94" s="49"/>
      <c r="L94" s="49"/>
      <c r="N94" s="49"/>
      <c r="P94" s="49"/>
      <c r="R94" s="49"/>
    </row>
    <row r="95" spans="7:18">
      <c r="G95" s="49"/>
      <c r="I95" s="49"/>
      <c r="J95" s="49"/>
      <c r="L95" s="49"/>
      <c r="N95" s="49"/>
      <c r="P95" s="49"/>
      <c r="R95" s="49"/>
    </row>
  </sheetData>
  <mergeCells count="5">
    <mergeCell ref="A1:O1"/>
    <mergeCell ref="A2:O2"/>
    <mergeCell ref="A3:O3"/>
    <mergeCell ref="A4:O4"/>
    <mergeCell ref="A5:O5"/>
  </mergeCells>
  <printOptions horizontalCentered="1"/>
  <pageMargins left="0.38" right="0.5" top="0.75" bottom="0.5" header="0.5" footer="0.5"/>
  <pageSetup scale="74" orientation="landscape" verticalDpi="300" r:id="rId1"/>
  <headerFooter alignWithMargins="0">
    <oddHeader>&amp;RCASE NO. 2021-00214
FR_16(8)(c) 
ATTACHMENT 1</oddHeader>
    <oddFooter>&amp;RSchedule &amp;A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A995A-A2BB-455C-B76D-AC01A8B2E12A}">
  <sheetPr>
    <pageSetUpPr fitToPage="1"/>
  </sheetPr>
  <dimension ref="A1:H192"/>
  <sheetViews>
    <sheetView view="pageBreakPreview" zoomScale="80" zoomScaleNormal="100" zoomScaleSheetLayoutView="80" workbookViewId="0">
      <selection sqref="A1:D1"/>
    </sheetView>
  </sheetViews>
  <sheetFormatPr defaultColWidth="8.44140625" defaultRowHeight="15.75" customHeight="1"/>
  <cols>
    <col min="1" max="1" width="4.77734375" style="85" customWidth="1"/>
    <col min="2" max="2" width="11.88671875" style="85" customWidth="1"/>
    <col min="3" max="3" width="49.109375" style="85" customWidth="1"/>
    <col min="4" max="4" width="15.5546875" style="85" customWidth="1"/>
    <col min="5" max="5" width="7.21875" style="85" customWidth="1"/>
    <col min="6" max="6" width="11.44140625" style="85" bestFit="1" customWidth="1"/>
    <col min="7" max="7" width="10" style="85" bestFit="1" customWidth="1"/>
    <col min="8" max="8" width="10.21875" style="85" customWidth="1"/>
    <col min="9" max="16384" width="8.44140625" style="85"/>
  </cols>
  <sheetData>
    <row r="1" spans="1:7" ht="15.75" customHeight="1">
      <c r="A1" s="243" t="s">
        <v>404</v>
      </c>
      <c r="B1" s="243"/>
      <c r="C1" s="243"/>
      <c r="D1" s="243"/>
    </row>
    <row r="2" spans="1:7" ht="15.75" customHeight="1">
      <c r="A2" s="243" t="s">
        <v>405</v>
      </c>
      <c r="B2" s="243"/>
      <c r="C2" s="243"/>
      <c r="D2" s="243"/>
    </row>
    <row r="3" spans="1:7" ht="15.75" customHeight="1">
      <c r="A3" s="243" t="s">
        <v>9</v>
      </c>
      <c r="B3" s="243"/>
      <c r="C3" s="243"/>
      <c r="D3" s="243"/>
    </row>
    <row r="4" spans="1:7" ht="15.75" customHeight="1">
      <c r="A4" s="243" t="s">
        <v>406</v>
      </c>
      <c r="B4" s="243"/>
      <c r="C4" s="243"/>
      <c r="D4" s="243"/>
    </row>
    <row r="5" spans="1:7" ht="15.75" customHeight="1">
      <c r="A5" s="86"/>
      <c r="B5" s="86"/>
      <c r="C5" s="87"/>
      <c r="D5" s="87"/>
    </row>
    <row r="6" spans="1:7" ht="15.75" customHeight="1">
      <c r="A6" s="88" t="s">
        <v>76</v>
      </c>
      <c r="D6" s="89" t="s">
        <v>77</v>
      </c>
    </row>
    <row r="7" spans="1:7" ht="15.75" customHeight="1">
      <c r="A7" s="7" t="s">
        <v>16</v>
      </c>
      <c r="D7" s="90" t="s">
        <v>78</v>
      </c>
    </row>
    <row r="8" spans="1:7" ht="15.75" customHeight="1">
      <c r="A8" s="91" t="s">
        <v>18</v>
      </c>
      <c r="B8" s="92"/>
      <c r="C8" s="92"/>
      <c r="D8" s="93" t="str">
        <f>'C.1'!J9</f>
        <v>Witness: Christian, Densman</v>
      </c>
    </row>
    <row r="9" spans="1:7" ht="15.75" customHeight="1">
      <c r="D9" s="94"/>
    </row>
    <row r="10" spans="1:7" ht="15.75" customHeight="1">
      <c r="A10" s="95" t="s">
        <v>22</v>
      </c>
      <c r="B10" s="94" t="s">
        <v>79</v>
      </c>
      <c r="C10" s="95" t="s">
        <v>79</v>
      </c>
      <c r="D10" s="94" t="s">
        <v>80</v>
      </c>
    </row>
    <row r="11" spans="1:7" ht="15.75" customHeight="1">
      <c r="A11" s="96" t="s">
        <v>25</v>
      </c>
      <c r="B11" s="97" t="s">
        <v>81</v>
      </c>
      <c r="C11" s="96" t="s">
        <v>82</v>
      </c>
      <c r="D11" s="97" t="s">
        <v>83</v>
      </c>
    </row>
    <row r="12" spans="1:7" ht="15.75" customHeight="1">
      <c r="D12" s="94" t="s">
        <v>84</v>
      </c>
    </row>
    <row r="13" spans="1:7" ht="15.75" customHeight="1">
      <c r="A13" s="94">
        <v>1</v>
      </c>
      <c r="B13" s="98"/>
      <c r="C13" s="99" t="s">
        <v>85</v>
      </c>
    </row>
    <row r="14" spans="1:7" ht="15.75" customHeight="1">
      <c r="A14" s="94">
        <f>A13+1</f>
        <v>2</v>
      </c>
      <c r="B14" s="98"/>
      <c r="C14" s="99" t="s">
        <v>86</v>
      </c>
    </row>
    <row r="15" spans="1:7" ht="15.75" customHeight="1">
      <c r="A15" s="94">
        <f t="shared" ref="A15:A78" si="0">A14+1</f>
        <v>3</v>
      </c>
      <c r="B15" s="100">
        <v>4800</v>
      </c>
      <c r="C15" s="101" t="s">
        <v>87</v>
      </c>
      <c r="D15" s="102">
        <f>-'C.2.2 B 09'!P17</f>
        <v>93481690.702966988</v>
      </c>
      <c r="F15" s="103"/>
      <c r="G15" s="103"/>
    </row>
    <row r="16" spans="1:7" ht="15.75" customHeight="1">
      <c r="A16" s="94">
        <f t="shared" si="0"/>
        <v>4</v>
      </c>
      <c r="B16" s="100">
        <v>4805</v>
      </c>
      <c r="C16" s="101" t="s">
        <v>88</v>
      </c>
      <c r="D16" s="104">
        <f>-'C.2.2 B 09'!P18</f>
        <v>2265575.4499999997</v>
      </c>
      <c r="F16" s="103"/>
      <c r="G16" s="103"/>
    </row>
    <row r="17" spans="1:8" ht="15.75" customHeight="1">
      <c r="A17" s="94">
        <f t="shared" si="0"/>
        <v>5</v>
      </c>
      <c r="B17" s="100">
        <v>4811</v>
      </c>
      <c r="C17" s="101" t="s">
        <v>89</v>
      </c>
      <c r="D17" s="104">
        <f>-'C.2.2 B 09'!P19</f>
        <v>40468226.853622571</v>
      </c>
      <c r="F17" s="103"/>
      <c r="G17" s="103"/>
    </row>
    <row r="18" spans="1:8" ht="15.75" customHeight="1">
      <c r="A18" s="94">
        <f t="shared" si="0"/>
        <v>6</v>
      </c>
      <c r="B18" s="100">
        <v>4812</v>
      </c>
      <c r="C18" s="101" t="s">
        <v>90</v>
      </c>
      <c r="D18" s="104">
        <f>-'C.2.2 B 09'!P20</f>
        <v>4548662.3270437289</v>
      </c>
      <c r="F18" s="103"/>
      <c r="G18" s="103"/>
    </row>
    <row r="19" spans="1:8" ht="15.75" customHeight="1">
      <c r="A19" s="94">
        <f t="shared" si="0"/>
        <v>7</v>
      </c>
      <c r="B19" s="100">
        <v>4815</v>
      </c>
      <c r="C19" s="101" t="s">
        <v>91</v>
      </c>
      <c r="D19" s="104">
        <f>-'C.2.2 B 09'!P21</f>
        <v>917459.40000000014</v>
      </c>
      <c r="F19" s="103"/>
      <c r="G19" s="103"/>
    </row>
    <row r="20" spans="1:8" ht="15.75" customHeight="1">
      <c r="A20" s="94">
        <f t="shared" si="0"/>
        <v>8</v>
      </c>
      <c r="B20" s="100">
        <v>4816</v>
      </c>
      <c r="C20" s="101" t="s">
        <v>92</v>
      </c>
      <c r="D20" s="104">
        <f>-'C.2.2 B 09'!P22</f>
        <v>16639.27</v>
      </c>
      <c r="F20" s="103"/>
      <c r="G20" s="103"/>
    </row>
    <row r="21" spans="1:8" ht="15.75" customHeight="1">
      <c r="A21" s="94">
        <f t="shared" si="0"/>
        <v>9</v>
      </c>
      <c r="B21" s="100">
        <v>4820</v>
      </c>
      <c r="C21" s="101" t="s">
        <v>93</v>
      </c>
      <c r="D21" s="104">
        <f>-'C.2.2 B 09'!P23</f>
        <v>5882491.037973485</v>
      </c>
      <c r="F21" s="103"/>
      <c r="G21" s="103"/>
    </row>
    <row r="22" spans="1:8" ht="15.75" customHeight="1">
      <c r="A22" s="94">
        <f t="shared" si="0"/>
        <v>10</v>
      </c>
      <c r="B22" s="100">
        <v>4825</v>
      </c>
      <c r="C22" s="101" t="s">
        <v>94</v>
      </c>
      <c r="D22" s="105">
        <f>-'C.2.2 B 09'!P24</f>
        <v>179716.08999999994</v>
      </c>
      <c r="F22" s="103"/>
      <c r="G22" s="103"/>
    </row>
    <row r="23" spans="1:8" ht="15.75" customHeight="1">
      <c r="A23" s="94">
        <f t="shared" si="0"/>
        <v>11</v>
      </c>
      <c r="B23" s="94"/>
      <c r="C23" s="95" t="s">
        <v>95</v>
      </c>
      <c r="D23" s="102">
        <f>SUM(D15:D22)</f>
        <v>147760461.13160682</v>
      </c>
    </row>
    <row r="24" spans="1:8" ht="15.75" customHeight="1">
      <c r="A24" s="94">
        <f t="shared" si="0"/>
        <v>12</v>
      </c>
      <c r="B24" s="94"/>
    </row>
    <row r="25" spans="1:8" ht="15.75" customHeight="1">
      <c r="A25" s="94">
        <f t="shared" si="0"/>
        <v>13</v>
      </c>
      <c r="B25" s="106"/>
      <c r="C25" s="99" t="s">
        <v>96</v>
      </c>
      <c r="D25" s="107"/>
    </row>
    <row r="26" spans="1:8" ht="15.75" customHeight="1">
      <c r="A26" s="94">
        <f t="shared" si="0"/>
        <v>14</v>
      </c>
      <c r="B26" s="100">
        <v>4870</v>
      </c>
      <c r="C26" s="101" t="s">
        <v>97</v>
      </c>
      <c r="D26" s="102">
        <f>-'C.2.2 B 09'!P25</f>
        <v>490350.28302817419</v>
      </c>
    </row>
    <row r="27" spans="1:8" ht="15.75" customHeight="1">
      <c r="A27" s="94">
        <f t="shared" si="0"/>
        <v>15</v>
      </c>
      <c r="B27" s="100">
        <v>4880</v>
      </c>
      <c r="C27" s="101" t="s">
        <v>98</v>
      </c>
      <c r="D27" s="104">
        <f>-'C.2.2 B 09'!P26</f>
        <v>234281</v>
      </c>
    </row>
    <row r="28" spans="1:8" ht="15.75" customHeight="1">
      <c r="A28" s="94">
        <f t="shared" si="0"/>
        <v>16</v>
      </c>
      <c r="B28" s="100">
        <v>4893</v>
      </c>
      <c r="C28" s="101" t="s">
        <v>99</v>
      </c>
      <c r="D28" s="104">
        <f>-'C.2.2 B 09'!P27</f>
        <v>16646735.096687652</v>
      </c>
      <c r="F28" s="108"/>
    </row>
    <row r="29" spans="1:8" ht="15.75" customHeight="1">
      <c r="A29" s="94">
        <f t="shared" si="0"/>
        <v>17</v>
      </c>
      <c r="B29" s="100">
        <v>4950</v>
      </c>
      <c r="C29" s="101" t="s">
        <v>100</v>
      </c>
      <c r="D29" s="104">
        <f>-'C.2.2 B 09'!P28</f>
        <v>1222878.1555915009</v>
      </c>
      <c r="H29" s="108"/>
    </row>
    <row r="30" spans="1:8" ht="15.75" customHeight="1">
      <c r="A30" s="94"/>
      <c r="B30" s="100">
        <v>4960</v>
      </c>
      <c r="C30" s="101" t="s">
        <v>101</v>
      </c>
      <c r="D30" s="104">
        <f>-'C.2.2 B 09'!P29</f>
        <v>0</v>
      </c>
      <c r="H30" s="108"/>
    </row>
    <row r="31" spans="1:8" ht="15.75" customHeight="1">
      <c r="A31" s="94">
        <f>A29+1</f>
        <v>18</v>
      </c>
      <c r="B31" s="106"/>
      <c r="C31" s="95" t="s">
        <v>102</v>
      </c>
      <c r="D31" s="109">
        <f>SUM(D26:D30)</f>
        <v>18594244.535307325</v>
      </c>
    </row>
    <row r="32" spans="1:8" ht="15.75" customHeight="1">
      <c r="A32" s="94">
        <f t="shared" si="0"/>
        <v>19</v>
      </c>
      <c r="B32" s="106"/>
      <c r="D32" s="107"/>
      <c r="F32" s="108"/>
    </row>
    <row r="33" spans="1:8" ht="15.75" customHeight="1">
      <c r="A33" s="94">
        <f t="shared" si="0"/>
        <v>20</v>
      </c>
      <c r="B33" s="94"/>
      <c r="C33" s="95" t="s">
        <v>103</v>
      </c>
      <c r="D33" s="102">
        <f>D23+D31</f>
        <v>166354705.66691414</v>
      </c>
      <c r="E33" s="110"/>
      <c r="H33" s="108"/>
    </row>
    <row r="34" spans="1:8" ht="15.75" customHeight="1">
      <c r="A34" s="94">
        <f t="shared" si="0"/>
        <v>21</v>
      </c>
      <c r="B34" s="106"/>
      <c r="D34" s="107"/>
    </row>
    <row r="35" spans="1:8" ht="15.75" customHeight="1">
      <c r="A35" s="94">
        <f t="shared" si="0"/>
        <v>22</v>
      </c>
      <c r="B35" s="106"/>
      <c r="C35" s="99" t="s">
        <v>104</v>
      </c>
      <c r="D35" s="107"/>
    </row>
    <row r="36" spans="1:8" ht="15.75" customHeight="1">
      <c r="A36" s="94">
        <f t="shared" si="0"/>
        <v>23</v>
      </c>
      <c r="B36" s="106"/>
      <c r="C36" s="111" t="s">
        <v>105</v>
      </c>
      <c r="D36" s="112"/>
    </row>
    <row r="37" spans="1:8" ht="15.75" customHeight="1">
      <c r="A37" s="94">
        <f t="shared" si="0"/>
        <v>24</v>
      </c>
      <c r="B37" s="113">
        <v>7560</v>
      </c>
      <c r="C37" s="101" t="s">
        <v>106</v>
      </c>
      <c r="D37" s="114">
        <f>'C.2.2 B 09'!P30</f>
        <v>0</v>
      </c>
    </row>
    <row r="38" spans="1:8" ht="15.75" customHeight="1">
      <c r="A38" s="94">
        <f t="shared" si="0"/>
        <v>25</v>
      </c>
      <c r="B38" s="113">
        <v>7590</v>
      </c>
      <c r="C38" s="101" t="s">
        <v>107</v>
      </c>
      <c r="D38" s="105">
        <f>'C.2.2 B 09'!P31</f>
        <v>0</v>
      </c>
    </row>
    <row r="39" spans="1:8" ht="15.75" customHeight="1">
      <c r="A39" s="94">
        <f t="shared" si="0"/>
        <v>26</v>
      </c>
      <c r="B39" s="106"/>
      <c r="C39" s="115" t="s">
        <v>108</v>
      </c>
      <c r="D39" s="102">
        <f>SUM(D37:D38)</f>
        <v>0</v>
      </c>
    </row>
    <row r="40" spans="1:8" ht="15.75" customHeight="1">
      <c r="A40" s="94">
        <f t="shared" si="0"/>
        <v>27</v>
      </c>
      <c r="B40" s="106"/>
      <c r="C40" s="115"/>
      <c r="D40" s="102"/>
    </row>
    <row r="41" spans="1:8" ht="15.75" customHeight="1">
      <c r="A41" s="94">
        <f t="shared" si="0"/>
        <v>28</v>
      </c>
      <c r="B41" s="106"/>
      <c r="C41" s="111" t="s">
        <v>109</v>
      </c>
      <c r="D41" s="104"/>
    </row>
    <row r="42" spans="1:8" ht="15.75" customHeight="1">
      <c r="A42" s="94">
        <f t="shared" si="0"/>
        <v>29</v>
      </c>
      <c r="B42" s="113">
        <v>7610</v>
      </c>
      <c r="C42" s="101" t="s">
        <v>110</v>
      </c>
      <c r="D42" s="116">
        <v>0</v>
      </c>
    </row>
    <row r="43" spans="1:8" ht="15.75" customHeight="1">
      <c r="A43" s="94">
        <f t="shared" si="0"/>
        <v>30</v>
      </c>
      <c r="B43" s="106"/>
      <c r="C43" s="88"/>
      <c r="D43" s="102">
        <f>SUM(D42)</f>
        <v>0</v>
      </c>
    </row>
    <row r="44" spans="1:8" ht="15.75" customHeight="1">
      <c r="A44" s="94">
        <f t="shared" si="0"/>
        <v>31</v>
      </c>
      <c r="B44" s="106"/>
      <c r="C44" s="111" t="s">
        <v>111</v>
      </c>
      <c r="D44" s="112"/>
    </row>
    <row r="45" spans="1:8" ht="15.75" customHeight="1">
      <c r="A45" s="94">
        <f t="shared" si="0"/>
        <v>32</v>
      </c>
      <c r="B45" s="113">
        <v>8140</v>
      </c>
      <c r="C45" s="101" t="s">
        <v>112</v>
      </c>
      <c r="D45" s="117">
        <f>'C.2.2 B 09'!P47</f>
        <v>652.79921909830921</v>
      </c>
    </row>
    <row r="46" spans="1:8" ht="15.75" customHeight="1">
      <c r="A46" s="94">
        <f t="shared" si="0"/>
        <v>33</v>
      </c>
      <c r="B46" s="113">
        <v>8150</v>
      </c>
      <c r="C46" s="101" t="s">
        <v>113</v>
      </c>
      <c r="D46" s="114">
        <v>0</v>
      </c>
    </row>
    <row r="47" spans="1:8" ht="15.75" customHeight="1">
      <c r="A47" s="94">
        <f t="shared" si="0"/>
        <v>34</v>
      </c>
      <c r="B47" s="113">
        <v>8160</v>
      </c>
      <c r="C47" s="101" t="s">
        <v>114</v>
      </c>
      <c r="D47" s="114">
        <f>'C.2.2 B 09'!P48</f>
        <v>369389.02369628148</v>
      </c>
    </row>
    <row r="48" spans="1:8" ht="15.75" customHeight="1">
      <c r="A48" s="94">
        <f t="shared" si="0"/>
        <v>35</v>
      </c>
      <c r="B48" s="113">
        <v>8170</v>
      </c>
      <c r="C48" s="101" t="s">
        <v>115</v>
      </c>
      <c r="D48" s="114">
        <f>'C.2.2 B 09'!P49</f>
        <v>40264.413116811884</v>
      </c>
    </row>
    <row r="49" spans="1:4" ht="15.75" customHeight="1">
      <c r="A49" s="94">
        <f t="shared" si="0"/>
        <v>36</v>
      </c>
      <c r="B49" s="113">
        <v>8180</v>
      </c>
      <c r="C49" s="101" t="s">
        <v>116</v>
      </c>
      <c r="D49" s="114">
        <f>'C.2.2 B 09'!P50</f>
        <v>50808.891728857488</v>
      </c>
    </row>
    <row r="50" spans="1:4" ht="15.75" customHeight="1">
      <c r="A50" s="94">
        <f t="shared" si="0"/>
        <v>37</v>
      </c>
      <c r="B50" s="118">
        <v>8190</v>
      </c>
      <c r="C50" s="119" t="s">
        <v>117</v>
      </c>
      <c r="D50" s="114">
        <f>'C.2.2 B 09'!P51</f>
        <v>990.76244810870321</v>
      </c>
    </row>
    <row r="51" spans="1:4" ht="15.75" customHeight="1">
      <c r="A51" s="94">
        <f t="shared" si="0"/>
        <v>38</v>
      </c>
      <c r="B51" s="118">
        <v>8200</v>
      </c>
      <c r="C51" s="119" t="s">
        <v>118</v>
      </c>
      <c r="D51" s="114">
        <f>'C.2.2 B 09'!P52</f>
        <v>7882.6273086040865</v>
      </c>
    </row>
    <row r="52" spans="1:4" ht="15.75" customHeight="1">
      <c r="A52" s="94">
        <f t="shared" si="0"/>
        <v>39</v>
      </c>
      <c r="B52" s="118">
        <v>8210</v>
      </c>
      <c r="C52" s="119" t="s">
        <v>119</v>
      </c>
      <c r="D52" s="114">
        <f>'C.2.2 B 09'!P53</f>
        <v>38457.93470080541</v>
      </c>
    </row>
    <row r="53" spans="1:4" ht="15.75" customHeight="1">
      <c r="A53" s="94">
        <f t="shared" si="0"/>
        <v>40</v>
      </c>
      <c r="B53" s="118">
        <v>8240</v>
      </c>
      <c r="C53" s="119" t="s">
        <v>120</v>
      </c>
      <c r="D53" s="114">
        <f>'C.2.2 B 09'!P54</f>
        <v>0</v>
      </c>
    </row>
    <row r="54" spans="1:4" ht="15.75" customHeight="1">
      <c r="A54" s="94">
        <f t="shared" si="0"/>
        <v>41</v>
      </c>
      <c r="B54" s="118">
        <v>8250</v>
      </c>
      <c r="C54" s="119" t="s">
        <v>121</v>
      </c>
      <c r="D54" s="105">
        <f>'C.2.2 B 09'!P55</f>
        <v>9209.3257488211129</v>
      </c>
    </row>
    <row r="55" spans="1:4" ht="15.75" customHeight="1">
      <c r="A55" s="94">
        <f t="shared" si="0"/>
        <v>42</v>
      </c>
      <c r="B55" s="106"/>
      <c r="C55" s="115" t="s">
        <v>122</v>
      </c>
      <c r="D55" s="102">
        <f>SUM(D45:D54)</f>
        <v>517655.77796738845</v>
      </c>
    </row>
    <row r="56" spans="1:4" ht="15.75" customHeight="1">
      <c r="A56" s="94">
        <f t="shared" si="0"/>
        <v>43</v>
      </c>
      <c r="B56" s="106"/>
      <c r="C56" s="88"/>
      <c r="D56" s="104"/>
    </row>
    <row r="57" spans="1:4" ht="15.75" customHeight="1">
      <c r="A57" s="94">
        <f t="shared" si="0"/>
        <v>44</v>
      </c>
      <c r="B57" s="106"/>
      <c r="C57" s="111" t="s">
        <v>123</v>
      </c>
      <c r="D57" s="104"/>
    </row>
    <row r="58" spans="1:4" ht="15.75" customHeight="1">
      <c r="A58" s="94">
        <f t="shared" si="0"/>
        <v>45</v>
      </c>
      <c r="B58" s="118">
        <v>8310</v>
      </c>
      <c r="C58" s="119" t="s">
        <v>124</v>
      </c>
      <c r="D58" s="117">
        <f>'C.2.2 B 09'!P56</f>
        <v>554.20453105239903</v>
      </c>
    </row>
    <row r="59" spans="1:4" ht="15.75" customHeight="1">
      <c r="A59" s="94">
        <f t="shared" si="0"/>
        <v>46</v>
      </c>
      <c r="B59" s="118">
        <v>8320</v>
      </c>
      <c r="C59" s="119" t="s">
        <v>125</v>
      </c>
      <c r="D59" s="114">
        <v>0</v>
      </c>
    </row>
    <row r="60" spans="1:4" ht="15.75" customHeight="1">
      <c r="A60" s="94">
        <f t="shared" si="0"/>
        <v>47</v>
      </c>
      <c r="B60" s="118">
        <v>8340</v>
      </c>
      <c r="C60" s="119" t="s">
        <v>126</v>
      </c>
      <c r="D60" s="114">
        <f>'C.2.2 B 09'!P57</f>
        <v>0</v>
      </c>
    </row>
    <row r="61" spans="1:4" ht="15.75" customHeight="1">
      <c r="A61" s="94">
        <f t="shared" si="0"/>
        <v>48</v>
      </c>
      <c r="B61" s="118">
        <v>8350</v>
      </c>
      <c r="C61" s="119" t="s">
        <v>127</v>
      </c>
      <c r="D61" s="114">
        <f>'C.2.2 B 09'!P58</f>
        <v>0</v>
      </c>
    </row>
    <row r="62" spans="1:4" ht="15.75" customHeight="1">
      <c r="A62" s="94">
        <f t="shared" si="0"/>
        <v>49</v>
      </c>
      <c r="B62" s="118">
        <v>8360</v>
      </c>
      <c r="C62" s="119" t="s">
        <v>128</v>
      </c>
      <c r="D62" s="114">
        <f>'C.2.2 B 09'!P59</f>
        <v>0</v>
      </c>
    </row>
    <row r="63" spans="1:4" ht="15.75" customHeight="1">
      <c r="A63" s="94">
        <f t="shared" si="0"/>
        <v>50</v>
      </c>
      <c r="B63" s="118">
        <v>8370</v>
      </c>
      <c r="C63" s="119" t="s">
        <v>129</v>
      </c>
      <c r="D63" s="114">
        <f>'C.2.2 B 09'!P60</f>
        <v>0</v>
      </c>
    </row>
    <row r="64" spans="1:4" ht="15.75" customHeight="1">
      <c r="A64" s="94">
        <f t="shared" si="0"/>
        <v>51</v>
      </c>
      <c r="B64" s="120" t="s">
        <v>130</v>
      </c>
      <c r="C64" s="119" t="s">
        <v>131</v>
      </c>
      <c r="D64" s="114">
        <f>'C.2.2 B 09'!P61</f>
        <v>224674.56047740806</v>
      </c>
    </row>
    <row r="65" spans="1:7" ht="15.75" customHeight="1">
      <c r="A65" s="94">
        <f t="shared" si="0"/>
        <v>52</v>
      </c>
      <c r="B65" s="106"/>
      <c r="C65" s="115" t="s">
        <v>132</v>
      </c>
      <c r="D65" s="109">
        <f>SUM(D58:D64)</f>
        <v>225228.76500846047</v>
      </c>
    </row>
    <row r="66" spans="1:7" ht="15.75" customHeight="1">
      <c r="A66" s="94">
        <f t="shared" si="0"/>
        <v>53</v>
      </c>
      <c r="B66" s="106"/>
      <c r="C66" s="88"/>
      <c r="D66" s="104"/>
    </row>
    <row r="67" spans="1:7" ht="15.75" customHeight="1">
      <c r="A67" s="94">
        <f t="shared" si="0"/>
        <v>54</v>
      </c>
      <c r="B67" s="106"/>
      <c r="C67" s="111" t="s">
        <v>133</v>
      </c>
      <c r="D67" s="104"/>
    </row>
    <row r="68" spans="1:7" ht="15.75" customHeight="1">
      <c r="A68" s="94">
        <f t="shared" si="0"/>
        <v>55</v>
      </c>
      <c r="B68" s="118">
        <v>8500</v>
      </c>
      <c r="C68" s="119" t="s">
        <v>112</v>
      </c>
      <c r="D68" s="117">
        <f>'C.2.2 B 09'!P62</f>
        <v>14402.042351015742</v>
      </c>
    </row>
    <row r="69" spans="1:7" ht="15.75" customHeight="1">
      <c r="A69" s="94">
        <f t="shared" si="0"/>
        <v>56</v>
      </c>
      <c r="B69" s="118">
        <v>8520</v>
      </c>
      <c r="C69" s="119" t="s">
        <v>134</v>
      </c>
      <c r="D69" s="114">
        <f>'C.2.2 B 09'!P63</f>
        <v>0</v>
      </c>
      <c r="G69" s="121"/>
    </row>
    <row r="70" spans="1:7" ht="15.75" customHeight="1">
      <c r="A70" s="94">
        <f t="shared" si="0"/>
        <v>57</v>
      </c>
      <c r="B70" s="118">
        <v>8550</v>
      </c>
      <c r="C70" s="119" t="s">
        <v>135</v>
      </c>
      <c r="D70" s="114">
        <f>'C.2.2 B 09'!P64</f>
        <v>206.00858813511107</v>
      </c>
      <c r="G70" s="121"/>
    </row>
    <row r="71" spans="1:7" ht="15.75" customHeight="1">
      <c r="A71" s="94">
        <f t="shared" si="0"/>
        <v>58</v>
      </c>
      <c r="B71" s="118">
        <v>8560</v>
      </c>
      <c r="C71" s="119" t="s">
        <v>136</v>
      </c>
      <c r="D71" s="114">
        <f>'C.2.2 B 09'!P65</f>
        <v>170757.24883325773</v>
      </c>
    </row>
    <row r="72" spans="1:7" ht="15.75" customHeight="1">
      <c r="A72" s="94">
        <f t="shared" si="0"/>
        <v>59</v>
      </c>
      <c r="B72" s="118">
        <v>8570</v>
      </c>
      <c r="C72" s="119" t="s">
        <v>137</v>
      </c>
      <c r="D72" s="114">
        <f>'C.2.2 B 09'!P66</f>
        <v>11888.465981015079</v>
      </c>
    </row>
    <row r="73" spans="1:7" ht="15.75" customHeight="1">
      <c r="A73" s="94">
        <f t="shared" si="0"/>
        <v>60</v>
      </c>
      <c r="B73" s="118">
        <v>8590</v>
      </c>
      <c r="C73" s="119" t="s">
        <v>138</v>
      </c>
      <c r="D73" s="114">
        <v>0</v>
      </c>
    </row>
    <row r="74" spans="1:7" ht="15.75" customHeight="1">
      <c r="A74" s="94">
        <f t="shared" si="0"/>
        <v>61</v>
      </c>
      <c r="B74" s="118">
        <v>8600</v>
      </c>
      <c r="C74" s="119" t="s">
        <v>139</v>
      </c>
      <c r="D74" s="105">
        <v>0</v>
      </c>
    </row>
    <row r="75" spans="1:7" ht="15.75" customHeight="1">
      <c r="A75" s="94">
        <f t="shared" si="0"/>
        <v>62</v>
      </c>
      <c r="B75" s="106"/>
      <c r="C75" s="115" t="s">
        <v>140</v>
      </c>
      <c r="D75" s="102">
        <f>SUM(D68:D74)</f>
        <v>197253.76575342368</v>
      </c>
    </row>
    <row r="76" spans="1:7" ht="15.75" customHeight="1">
      <c r="A76" s="94">
        <f t="shared" si="0"/>
        <v>63</v>
      </c>
      <c r="B76" s="106"/>
      <c r="C76" s="88"/>
      <c r="D76" s="104"/>
    </row>
    <row r="77" spans="1:7" ht="15.75" customHeight="1">
      <c r="A77" s="94">
        <f t="shared" si="0"/>
        <v>64</v>
      </c>
      <c r="B77" s="106"/>
      <c r="C77" s="111" t="s">
        <v>141</v>
      </c>
      <c r="D77" s="104"/>
    </row>
    <row r="78" spans="1:7" ht="15.75" customHeight="1">
      <c r="A78" s="94">
        <f t="shared" si="0"/>
        <v>65</v>
      </c>
      <c r="B78" s="118">
        <v>8620</v>
      </c>
      <c r="C78" s="119" t="s">
        <v>142</v>
      </c>
      <c r="D78" s="117">
        <v>0</v>
      </c>
    </row>
    <row r="79" spans="1:7" ht="15.75" customHeight="1">
      <c r="A79" s="94">
        <f t="shared" ref="A79:A142" si="1">A78+1</f>
        <v>66</v>
      </c>
      <c r="B79" s="118">
        <v>8630</v>
      </c>
      <c r="C79" s="119" t="s">
        <v>143</v>
      </c>
      <c r="D79" s="114">
        <f>'C.2.2 B 09'!P67</f>
        <v>3991.6709581398791</v>
      </c>
    </row>
    <row r="80" spans="1:7" ht="15.75" customHeight="1">
      <c r="A80" s="94">
        <f t="shared" si="1"/>
        <v>67</v>
      </c>
      <c r="B80" s="118">
        <v>8640</v>
      </c>
      <c r="C80" s="119" t="s">
        <v>144</v>
      </c>
      <c r="D80" s="114">
        <f>'C.2.2 B 09'!P68</f>
        <v>0</v>
      </c>
    </row>
    <row r="81" spans="1:5" ht="15.75" customHeight="1">
      <c r="A81" s="94">
        <f t="shared" si="1"/>
        <v>68</v>
      </c>
      <c r="B81" s="118">
        <v>8650</v>
      </c>
      <c r="C81" s="119" t="s">
        <v>145</v>
      </c>
      <c r="D81" s="114">
        <f>'C.2.2 B 09'!P69</f>
        <v>0</v>
      </c>
    </row>
    <row r="82" spans="1:5" ht="15.75" customHeight="1">
      <c r="A82" s="94">
        <f t="shared" si="1"/>
        <v>69</v>
      </c>
      <c r="B82" s="118">
        <v>8670</v>
      </c>
      <c r="C82" s="119" t="s">
        <v>146</v>
      </c>
      <c r="D82" s="105">
        <v>0</v>
      </c>
    </row>
    <row r="83" spans="1:5" ht="15.75" customHeight="1">
      <c r="A83" s="94">
        <f t="shared" si="1"/>
        <v>70</v>
      </c>
      <c r="B83" s="106"/>
      <c r="C83" s="115" t="s">
        <v>147</v>
      </c>
      <c r="D83" s="102">
        <f>SUM(D78:D82)</f>
        <v>3991.6709581398791</v>
      </c>
    </row>
    <row r="84" spans="1:5" ht="15.75" customHeight="1">
      <c r="A84" s="94">
        <f t="shared" si="1"/>
        <v>71</v>
      </c>
      <c r="B84" s="106"/>
      <c r="C84" s="88"/>
      <c r="D84" s="104"/>
    </row>
    <row r="85" spans="1:5" ht="15.75" customHeight="1">
      <c r="A85" s="94">
        <f t="shared" si="1"/>
        <v>72</v>
      </c>
      <c r="B85" s="106"/>
      <c r="C85" s="111" t="s">
        <v>148</v>
      </c>
      <c r="D85" s="107"/>
    </row>
    <row r="86" spans="1:5" ht="15.75" customHeight="1">
      <c r="A86" s="94">
        <f t="shared" si="1"/>
        <v>73</v>
      </c>
      <c r="B86" s="100">
        <v>8001</v>
      </c>
      <c r="C86" s="101" t="s">
        <v>149</v>
      </c>
      <c r="D86" s="117">
        <f>'C.2.2 B 09'!P32</f>
        <v>0</v>
      </c>
      <c r="E86" s="122"/>
    </row>
    <row r="87" spans="1:5" ht="15.75" customHeight="1">
      <c r="A87" s="94">
        <f t="shared" si="1"/>
        <v>74</v>
      </c>
      <c r="B87" s="100">
        <v>8010</v>
      </c>
      <c r="C87" t="s">
        <v>150</v>
      </c>
      <c r="D87" s="114">
        <f>'C.2.2 B 09'!P33</f>
        <v>95420.316587995243</v>
      </c>
      <c r="E87" s="122"/>
    </row>
    <row r="88" spans="1:5" ht="15.75" customHeight="1">
      <c r="A88" s="94">
        <f t="shared" si="1"/>
        <v>75</v>
      </c>
      <c r="B88" s="100">
        <v>8040</v>
      </c>
      <c r="C88" s="95" t="s">
        <v>151</v>
      </c>
      <c r="D88" s="114">
        <f>'C.2.2 B 09'!P34</f>
        <v>41885461.303493425</v>
      </c>
      <c r="E88" s="122"/>
    </row>
    <row r="89" spans="1:5" ht="15.75" customHeight="1">
      <c r="A89" s="94">
        <f t="shared" si="1"/>
        <v>76</v>
      </c>
      <c r="B89" s="100">
        <v>8045</v>
      </c>
      <c r="C89" s="95" t="s">
        <v>152</v>
      </c>
      <c r="D89" s="114">
        <v>0</v>
      </c>
      <c r="E89" s="122"/>
    </row>
    <row r="90" spans="1:5" ht="15.75" customHeight="1">
      <c r="A90" s="94">
        <f t="shared" si="1"/>
        <v>77</v>
      </c>
      <c r="B90" s="100">
        <v>8050</v>
      </c>
      <c r="C90" s="101" t="s">
        <v>153</v>
      </c>
      <c r="D90" s="114">
        <f>'C.2.2 B 09'!P35</f>
        <v>-29052.866696697703</v>
      </c>
      <c r="E90" s="122"/>
    </row>
    <row r="91" spans="1:5" ht="15.75" customHeight="1">
      <c r="A91" s="94">
        <f t="shared" si="1"/>
        <v>78</v>
      </c>
      <c r="B91" s="100">
        <v>8051</v>
      </c>
      <c r="C91" s="95" t="s">
        <v>154</v>
      </c>
      <c r="D91" s="114">
        <f>'C.2.2 B 09'!P36</f>
        <v>43006111.184041083</v>
      </c>
      <c r="E91" s="122"/>
    </row>
    <row r="92" spans="1:5" ht="15.75" customHeight="1">
      <c r="A92" s="94">
        <f t="shared" si="1"/>
        <v>79</v>
      </c>
      <c r="B92" s="100">
        <v>8052</v>
      </c>
      <c r="C92" s="95" t="s">
        <v>155</v>
      </c>
      <c r="D92" s="114">
        <f>'C.2.2 B 09'!P37</f>
        <v>21544384.186337348</v>
      </c>
      <c r="E92" s="122"/>
    </row>
    <row r="93" spans="1:5" ht="15.75" customHeight="1">
      <c r="A93" s="94">
        <f t="shared" si="1"/>
        <v>80</v>
      </c>
      <c r="B93" s="100">
        <v>8053</v>
      </c>
      <c r="C93" s="95" t="s">
        <v>156</v>
      </c>
      <c r="D93" s="114">
        <f>'C.2.2 B 09'!P38</f>
        <v>3981546.8873757222</v>
      </c>
      <c r="E93" s="122"/>
    </row>
    <row r="94" spans="1:5" ht="15.75" customHeight="1">
      <c r="A94" s="94">
        <f t="shared" si="1"/>
        <v>81</v>
      </c>
      <c r="B94" s="100">
        <v>8054</v>
      </c>
      <c r="C94" s="95" t="s">
        <v>157</v>
      </c>
      <c r="D94" s="114">
        <f>'C.2.2 B 09'!P39</f>
        <v>3926694.0571634956</v>
      </c>
      <c r="E94" s="122"/>
    </row>
    <row r="95" spans="1:5" ht="15.75" customHeight="1">
      <c r="A95" s="94">
        <f t="shared" si="1"/>
        <v>82</v>
      </c>
      <c r="B95" s="100">
        <v>8057</v>
      </c>
      <c r="C95" s="95" t="s">
        <v>158</v>
      </c>
      <c r="D95" s="114">
        <v>0</v>
      </c>
      <c r="E95" s="122"/>
    </row>
    <row r="96" spans="1:5" ht="15.75" customHeight="1">
      <c r="A96" s="94">
        <f t="shared" si="1"/>
        <v>83</v>
      </c>
      <c r="B96" s="100">
        <v>8058</v>
      </c>
      <c r="C96" s="95" t="s">
        <v>159</v>
      </c>
      <c r="D96" s="114">
        <f>'C.2.2 B 09'!P40</f>
        <v>-2164109.6599417925</v>
      </c>
      <c r="E96" s="122"/>
    </row>
    <row r="97" spans="1:6" ht="15.75" customHeight="1">
      <c r="A97" s="94">
        <f t="shared" si="1"/>
        <v>84</v>
      </c>
      <c r="B97" s="100">
        <v>8059</v>
      </c>
      <c r="C97" s="95" t="s">
        <v>160</v>
      </c>
      <c r="D97" s="114">
        <f>'C.2.2 B 09'!P41</f>
        <v>-74385845.407893091</v>
      </c>
      <c r="E97" s="122"/>
    </row>
    <row r="98" spans="1:6" ht="15.75" customHeight="1">
      <c r="A98" s="94">
        <f t="shared" si="1"/>
        <v>85</v>
      </c>
      <c r="B98" s="100">
        <v>8060</v>
      </c>
      <c r="C98" s="95" t="s">
        <v>161</v>
      </c>
      <c r="D98" s="114">
        <f>'C.2.2 B 09'!P42</f>
        <v>954716.42730625137</v>
      </c>
      <c r="E98" s="122"/>
    </row>
    <row r="99" spans="1:6" ht="15.75" customHeight="1">
      <c r="A99" s="94">
        <f t="shared" si="1"/>
        <v>86</v>
      </c>
      <c r="B99" s="100">
        <v>8081</v>
      </c>
      <c r="C99" s="95" t="s">
        <v>162</v>
      </c>
      <c r="D99" s="114">
        <f>'C.2.2 B 09'!P43</f>
        <v>12286131.091316184</v>
      </c>
      <c r="E99" s="122"/>
    </row>
    <row r="100" spans="1:6" ht="15.75" customHeight="1">
      <c r="A100" s="94">
        <f t="shared" si="1"/>
        <v>87</v>
      </c>
      <c r="B100" s="100">
        <v>8082</v>
      </c>
      <c r="C100" s="95" t="s">
        <v>163</v>
      </c>
      <c r="D100" s="114">
        <f>'C.2.2 B 09'!P44</f>
        <v>-11336098.562756769</v>
      </c>
      <c r="E100" s="122"/>
    </row>
    <row r="101" spans="1:6" ht="15.75" customHeight="1">
      <c r="A101" s="94">
        <f t="shared" si="1"/>
        <v>88</v>
      </c>
      <c r="B101" s="100">
        <v>8110</v>
      </c>
      <c r="C101" s="95" t="s">
        <v>164</v>
      </c>
      <c r="D101" s="114">
        <v>0</v>
      </c>
      <c r="E101" s="122"/>
    </row>
    <row r="102" spans="1:6" ht="15.75" customHeight="1">
      <c r="A102" s="94">
        <f t="shared" si="1"/>
        <v>89</v>
      </c>
      <c r="B102" s="100">
        <v>8120</v>
      </c>
      <c r="C102" s="95" t="s">
        <v>165</v>
      </c>
      <c r="D102" s="114">
        <f>'C.2.2 B 09'!P45</f>
        <v>-10760.959889134454</v>
      </c>
      <c r="E102" s="122"/>
    </row>
    <row r="103" spans="1:6" ht="15.75" customHeight="1">
      <c r="A103" s="94">
        <f t="shared" si="1"/>
        <v>90</v>
      </c>
      <c r="B103" s="100">
        <v>8130</v>
      </c>
      <c r="C103" s="95" t="s">
        <v>165</v>
      </c>
      <c r="D103" s="114">
        <v>0</v>
      </c>
      <c r="E103" s="122"/>
    </row>
    <row r="104" spans="1:6" ht="15.75" customHeight="1">
      <c r="A104" s="94">
        <f t="shared" si="1"/>
        <v>91</v>
      </c>
      <c r="B104" s="100">
        <v>8580</v>
      </c>
      <c r="C104" s="95" t="s">
        <v>166</v>
      </c>
      <c r="D104" s="105">
        <f>'C.2.2 B 09'!P46</f>
        <v>30529267.698642705</v>
      </c>
      <c r="E104" s="122"/>
      <c r="F104" s="69"/>
    </row>
    <row r="105" spans="1:6" ht="15.75" customHeight="1">
      <c r="A105" s="94">
        <f t="shared" si="1"/>
        <v>92</v>
      </c>
      <c r="B105" s="106"/>
      <c r="C105" s="111" t="s">
        <v>167</v>
      </c>
      <c r="D105" s="102">
        <f>SUM(D86:D104)</f>
        <v>70283865.695086718</v>
      </c>
      <c r="F105" s="123"/>
    </row>
    <row r="106" spans="1:6" ht="15.75" customHeight="1">
      <c r="A106" s="94">
        <f t="shared" si="1"/>
        <v>93</v>
      </c>
      <c r="B106" s="106"/>
      <c r="D106" s="112"/>
    </row>
    <row r="107" spans="1:6" ht="15.75" customHeight="1">
      <c r="A107" s="94">
        <f t="shared" si="1"/>
        <v>94</v>
      </c>
      <c r="B107" s="106"/>
      <c r="C107" s="111" t="s">
        <v>168</v>
      </c>
      <c r="D107" s="112"/>
    </row>
    <row r="108" spans="1:6" ht="15.75" customHeight="1">
      <c r="A108" s="94">
        <f t="shared" si="1"/>
        <v>95</v>
      </c>
      <c r="B108" s="100">
        <v>8700</v>
      </c>
      <c r="C108" s="101" t="s">
        <v>169</v>
      </c>
      <c r="D108" s="117">
        <f>'C.2.2 B 09'!P70</f>
        <v>1047733.6321712979</v>
      </c>
    </row>
    <row r="109" spans="1:6" ht="15.75" customHeight="1">
      <c r="A109" s="94">
        <f t="shared" si="1"/>
        <v>96</v>
      </c>
      <c r="B109" s="100">
        <v>8710</v>
      </c>
      <c r="C109" s="101" t="s">
        <v>170</v>
      </c>
      <c r="D109" s="114">
        <f>'C.2.2 B 09'!P71</f>
        <v>398.30229242484654</v>
      </c>
    </row>
    <row r="110" spans="1:6" ht="15.75" customHeight="1">
      <c r="A110" s="94">
        <f t="shared" si="1"/>
        <v>97</v>
      </c>
      <c r="B110" s="100">
        <v>8711</v>
      </c>
      <c r="C110" s="95" t="s">
        <v>171</v>
      </c>
      <c r="D110" s="114">
        <f>'C.2.2 B 09'!P72</f>
        <v>108130.06033341784</v>
      </c>
    </row>
    <row r="111" spans="1:6" ht="15.75" customHeight="1">
      <c r="A111" s="94">
        <f t="shared" si="1"/>
        <v>98</v>
      </c>
      <c r="B111" s="100">
        <v>8720</v>
      </c>
      <c r="C111" s="101" t="s">
        <v>172</v>
      </c>
      <c r="D111" s="114">
        <f>'C.2.2 B 09'!P73</f>
        <v>0</v>
      </c>
    </row>
    <row r="112" spans="1:6" ht="15.75" customHeight="1">
      <c r="A112" s="94">
        <f t="shared" si="1"/>
        <v>99</v>
      </c>
      <c r="B112" s="100">
        <v>8740</v>
      </c>
      <c r="C112" s="101" t="s">
        <v>173</v>
      </c>
      <c r="D112" s="114">
        <f>'C.2.2 B 09'!P74</f>
        <v>5883580.8375892984</v>
      </c>
    </row>
    <row r="113" spans="1:4" ht="15.75" customHeight="1">
      <c r="A113" s="94">
        <f t="shared" si="1"/>
        <v>100</v>
      </c>
      <c r="B113" s="100">
        <v>8750</v>
      </c>
      <c r="C113" s="101" t="s">
        <v>174</v>
      </c>
      <c r="D113" s="114">
        <f>'C.2.2 B 09'!P75</f>
        <v>489307.97897301236</v>
      </c>
    </row>
    <row r="114" spans="1:4" ht="15.75" customHeight="1">
      <c r="A114" s="94">
        <f t="shared" si="1"/>
        <v>101</v>
      </c>
      <c r="B114" s="100">
        <v>8760</v>
      </c>
      <c r="C114" s="101" t="s">
        <v>175</v>
      </c>
      <c r="D114" s="114">
        <f>'C.2.2 B 09'!P76</f>
        <v>26329.750437463888</v>
      </c>
    </row>
    <row r="115" spans="1:4" ht="15.75" customHeight="1">
      <c r="A115" s="94">
        <f t="shared" si="1"/>
        <v>102</v>
      </c>
      <c r="B115" s="100">
        <v>8770</v>
      </c>
      <c r="C115" s="101" t="s">
        <v>176</v>
      </c>
      <c r="D115" s="114">
        <f>'C.2.2 B 09'!P77</f>
        <v>3528.6627085332993</v>
      </c>
    </row>
    <row r="116" spans="1:4" ht="15.75" customHeight="1">
      <c r="A116" s="94">
        <f t="shared" si="1"/>
        <v>103</v>
      </c>
      <c r="B116" s="100">
        <v>8780</v>
      </c>
      <c r="C116" s="101" t="s">
        <v>177</v>
      </c>
      <c r="D116" s="114">
        <f>'C.2.2 B 09'!P78</f>
        <v>1048204.1291761572</v>
      </c>
    </row>
    <row r="117" spans="1:4" ht="15.75" customHeight="1">
      <c r="A117" s="94">
        <f t="shared" si="1"/>
        <v>104</v>
      </c>
      <c r="B117" s="100">
        <v>8790</v>
      </c>
      <c r="C117" s="101" t="s">
        <v>178</v>
      </c>
      <c r="D117" s="114">
        <f>'C.2.2 B 09'!P79</f>
        <v>0</v>
      </c>
    </row>
    <row r="118" spans="1:4" ht="15.75" customHeight="1">
      <c r="A118" s="94">
        <f t="shared" si="1"/>
        <v>105</v>
      </c>
      <c r="B118" s="100">
        <v>8800</v>
      </c>
      <c r="C118" s="101" t="s">
        <v>179</v>
      </c>
      <c r="D118" s="114">
        <f>'C.2.2 B 09'!P80</f>
        <v>1763.1729030686154</v>
      </c>
    </row>
    <row r="119" spans="1:4" ht="15.75" customHeight="1">
      <c r="A119" s="94">
        <f t="shared" si="1"/>
        <v>106</v>
      </c>
      <c r="B119" s="100">
        <v>8810</v>
      </c>
      <c r="C119" s="101" t="s">
        <v>139</v>
      </c>
      <c r="D119" s="105">
        <f>'C.2.2 B 09'!P81</f>
        <v>360992.15024819155</v>
      </c>
    </row>
    <row r="120" spans="1:4" ht="15.75" customHeight="1">
      <c r="A120" s="94">
        <f t="shared" si="1"/>
        <v>107</v>
      </c>
      <c r="B120" s="106"/>
      <c r="C120" s="115" t="s">
        <v>180</v>
      </c>
      <c r="D120" s="102">
        <f>SUM(D108:D119)</f>
        <v>8969968.6768328659</v>
      </c>
    </row>
    <row r="121" spans="1:4" ht="15.75" customHeight="1">
      <c r="A121" s="94">
        <f t="shared" si="1"/>
        <v>108</v>
      </c>
      <c r="B121" s="106"/>
      <c r="C121" s="88"/>
      <c r="D121" s="104"/>
    </row>
    <row r="122" spans="1:4" ht="15.75" customHeight="1">
      <c r="A122" s="94">
        <f t="shared" si="1"/>
        <v>109</v>
      </c>
      <c r="B122" s="94"/>
      <c r="C122" s="111" t="s">
        <v>181</v>
      </c>
      <c r="D122" s="107"/>
    </row>
    <row r="123" spans="1:4" ht="15.75" customHeight="1">
      <c r="A123" s="94">
        <f t="shared" si="1"/>
        <v>110</v>
      </c>
      <c r="B123" s="100">
        <v>8850</v>
      </c>
      <c r="C123" s="101" t="s">
        <v>169</v>
      </c>
      <c r="D123" s="117">
        <f>'C.2.2 B 09'!P82</f>
        <v>179.81142107718031</v>
      </c>
    </row>
    <row r="124" spans="1:4" ht="15.75" customHeight="1">
      <c r="A124" s="94">
        <f t="shared" si="1"/>
        <v>111</v>
      </c>
      <c r="B124" s="100">
        <v>8860</v>
      </c>
      <c r="C124" s="101" t="s">
        <v>142</v>
      </c>
      <c r="D124" s="114">
        <f>'C.2.2 B 09'!P83</f>
        <v>0</v>
      </c>
    </row>
    <row r="125" spans="1:4" ht="15.75" customHeight="1">
      <c r="A125" s="94">
        <f t="shared" si="1"/>
        <v>112</v>
      </c>
      <c r="B125" s="100">
        <v>8870</v>
      </c>
      <c r="C125" s="101" t="s">
        <v>143</v>
      </c>
      <c r="D125" s="114">
        <f>'C.2.2 B 09'!P84</f>
        <v>17839.213183980395</v>
      </c>
    </row>
    <row r="126" spans="1:4" ht="15.75" customHeight="1">
      <c r="A126" s="94">
        <f t="shared" si="1"/>
        <v>113</v>
      </c>
      <c r="B126" s="100">
        <v>8890</v>
      </c>
      <c r="C126" s="101" t="s">
        <v>174</v>
      </c>
      <c r="D126" s="114">
        <f>'C.2.2 B 09'!P85</f>
        <v>60064.995009882761</v>
      </c>
    </row>
    <row r="127" spans="1:4" ht="15.75" customHeight="1">
      <c r="A127" s="94">
        <f t="shared" si="1"/>
        <v>114</v>
      </c>
      <c r="B127" s="100">
        <v>8900</v>
      </c>
      <c r="C127" s="101" t="s">
        <v>175</v>
      </c>
      <c r="D127" s="114">
        <f>'C.2.2 B 09'!P86</f>
        <v>0</v>
      </c>
    </row>
    <row r="128" spans="1:4" ht="15.75" customHeight="1">
      <c r="A128" s="94">
        <f t="shared" si="1"/>
        <v>115</v>
      </c>
      <c r="B128" s="100">
        <v>8910</v>
      </c>
      <c r="C128" s="101" t="s">
        <v>176</v>
      </c>
      <c r="D128" s="114">
        <f>'C.2.2 B 09'!P87</f>
        <v>2086.6285678884633</v>
      </c>
    </row>
    <row r="129" spans="1:5" ht="15.75" customHeight="1">
      <c r="A129" s="94">
        <f t="shared" si="1"/>
        <v>116</v>
      </c>
      <c r="B129" s="100">
        <v>8920</v>
      </c>
      <c r="C129" s="101" t="s">
        <v>182</v>
      </c>
      <c r="D129" s="114">
        <f>'C.2.2 B 09'!P88</f>
        <v>1242.4432562449874</v>
      </c>
    </row>
    <row r="130" spans="1:5" ht="15.75" customHeight="1">
      <c r="A130" s="94">
        <f t="shared" si="1"/>
        <v>117</v>
      </c>
      <c r="B130" s="100">
        <v>8930</v>
      </c>
      <c r="C130" s="101" t="s">
        <v>183</v>
      </c>
      <c r="D130" s="114">
        <f>'C.2.2 B 09'!P89</f>
        <v>8086.7084515030847</v>
      </c>
    </row>
    <row r="131" spans="1:5" ht="15.75" customHeight="1">
      <c r="A131" s="94">
        <f t="shared" si="1"/>
        <v>118</v>
      </c>
      <c r="B131" s="100">
        <v>8940</v>
      </c>
      <c r="C131" s="101" t="s">
        <v>146</v>
      </c>
      <c r="D131" s="114">
        <f>'C.2.2 B 09'!P90</f>
        <v>913.01473427814244</v>
      </c>
    </row>
    <row r="132" spans="1:5" ht="15.75" customHeight="1">
      <c r="A132" s="94">
        <f t="shared" si="1"/>
        <v>119</v>
      </c>
      <c r="B132" s="100">
        <v>8950</v>
      </c>
      <c r="C132" s="101" t="s">
        <v>184</v>
      </c>
      <c r="D132" s="105">
        <v>0</v>
      </c>
    </row>
    <row r="133" spans="1:5" ht="15.75" customHeight="1">
      <c r="A133" s="94">
        <f t="shared" si="1"/>
        <v>120</v>
      </c>
      <c r="B133" s="106"/>
      <c r="C133" s="115" t="s">
        <v>185</v>
      </c>
      <c r="D133" s="102">
        <f>SUM(D123:D132)</f>
        <v>90412.814624855018</v>
      </c>
    </row>
    <row r="134" spans="1:5" ht="15.75" customHeight="1">
      <c r="A134" s="94">
        <f t="shared" si="1"/>
        <v>121</v>
      </c>
      <c r="B134" s="106"/>
      <c r="C134" s="115"/>
      <c r="D134" s="104"/>
    </row>
    <row r="135" spans="1:5" ht="15.75" customHeight="1">
      <c r="A135" s="94">
        <f t="shared" si="1"/>
        <v>122</v>
      </c>
      <c r="B135" s="94"/>
      <c r="C135" s="111" t="s">
        <v>186</v>
      </c>
      <c r="D135" s="107"/>
    </row>
    <row r="136" spans="1:5" ht="15.75" customHeight="1">
      <c r="A136" s="94">
        <f t="shared" si="1"/>
        <v>123</v>
      </c>
      <c r="B136" s="100">
        <v>9010</v>
      </c>
      <c r="C136" s="101" t="s">
        <v>187</v>
      </c>
      <c r="D136" s="117">
        <f>'C.2.2 B 09'!P91</f>
        <v>0</v>
      </c>
    </row>
    <row r="137" spans="1:5" ht="15.75" customHeight="1">
      <c r="A137" s="94">
        <f t="shared" si="1"/>
        <v>124</v>
      </c>
      <c r="B137" s="100">
        <v>9020</v>
      </c>
      <c r="C137" s="101" t="s">
        <v>188</v>
      </c>
      <c r="D137" s="114">
        <f>'C.2.2 B 09'!P92</f>
        <v>905449.44301402231</v>
      </c>
    </row>
    <row r="138" spans="1:5" ht="15.75" customHeight="1">
      <c r="A138" s="94">
        <f t="shared" si="1"/>
        <v>125</v>
      </c>
      <c r="B138" s="100">
        <v>9030</v>
      </c>
      <c r="C138" s="101" t="s">
        <v>189</v>
      </c>
      <c r="D138" s="114">
        <f>'C.2.2 B 09'!P93</f>
        <v>1103205.2549799869</v>
      </c>
    </row>
    <row r="139" spans="1:5" ht="15.75" customHeight="1">
      <c r="A139" s="94">
        <f t="shared" si="1"/>
        <v>126</v>
      </c>
      <c r="B139" s="100">
        <v>9040</v>
      </c>
      <c r="C139" s="101" t="s">
        <v>190</v>
      </c>
      <c r="D139" s="105">
        <f>'C.2.2 B 09'!P94</f>
        <v>880036.46</v>
      </c>
      <c r="E139" s="124"/>
    </row>
    <row r="140" spans="1:5" ht="15.75" customHeight="1">
      <c r="A140" s="94">
        <f t="shared" si="1"/>
        <v>127</v>
      </c>
      <c r="B140" s="94"/>
      <c r="C140" s="115" t="s">
        <v>191</v>
      </c>
      <c r="D140" s="102">
        <f>SUM(D136:D139)</f>
        <v>2888691.1579940091</v>
      </c>
    </row>
    <row r="141" spans="1:5" ht="15.75" customHeight="1">
      <c r="A141" s="94">
        <f t="shared" si="1"/>
        <v>128</v>
      </c>
      <c r="B141" s="106"/>
      <c r="C141" s="115"/>
      <c r="D141" s="104"/>
    </row>
    <row r="142" spans="1:5" ht="15.75" customHeight="1">
      <c r="A142" s="94">
        <f t="shared" si="1"/>
        <v>129</v>
      </c>
      <c r="B142" s="106"/>
      <c r="C142" s="111" t="s">
        <v>192</v>
      </c>
      <c r="D142" s="112"/>
    </row>
    <row r="143" spans="1:5" ht="15.75" customHeight="1">
      <c r="A143" s="94">
        <f t="shared" ref="A143:A183" si="2">A142+1</f>
        <v>130</v>
      </c>
      <c r="B143" s="100">
        <v>9070</v>
      </c>
      <c r="C143" s="101" t="s">
        <v>187</v>
      </c>
      <c r="D143" s="117">
        <v>0</v>
      </c>
    </row>
    <row r="144" spans="1:5" ht="15.75" customHeight="1">
      <c r="A144" s="94">
        <f t="shared" si="2"/>
        <v>131</v>
      </c>
      <c r="B144" s="100">
        <v>9080</v>
      </c>
      <c r="C144" s="101" t="s">
        <v>193</v>
      </c>
      <c r="D144" s="114">
        <v>0</v>
      </c>
    </row>
    <row r="145" spans="1:4" ht="15.75" customHeight="1">
      <c r="A145" s="94">
        <f t="shared" si="2"/>
        <v>132</v>
      </c>
      <c r="B145" s="100">
        <v>9090</v>
      </c>
      <c r="C145" s="101" t="s">
        <v>194</v>
      </c>
      <c r="D145" s="114">
        <f>'C.2.2 B 09'!P95</f>
        <v>170409.79010111588</v>
      </c>
    </row>
    <row r="146" spans="1:4" ht="15.75" customHeight="1">
      <c r="A146" s="94">
        <f t="shared" si="2"/>
        <v>133</v>
      </c>
      <c r="B146" s="100">
        <v>9100</v>
      </c>
      <c r="C146" s="101" t="s">
        <v>195</v>
      </c>
      <c r="D146" s="105">
        <f>'C.2.2 B 09'!P96</f>
        <v>116.20216219769976</v>
      </c>
    </row>
    <row r="147" spans="1:4" ht="15.75" customHeight="1">
      <c r="A147" s="94">
        <f t="shared" si="2"/>
        <v>134</v>
      </c>
      <c r="B147" s="94"/>
      <c r="C147" s="115" t="s">
        <v>196</v>
      </c>
      <c r="D147" s="102">
        <f>SUM(D143:D146)</f>
        <v>170525.99226331359</v>
      </c>
    </row>
    <row r="148" spans="1:4" ht="15.75" customHeight="1">
      <c r="A148" s="94">
        <f t="shared" si="2"/>
        <v>135</v>
      </c>
      <c r="B148" s="94"/>
      <c r="C148" s="98"/>
      <c r="D148" s="107"/>
    </row>
    <row r="149" spans="1:4" ht="15.75" customHeight="1">
      <c r="A149" s="94">
        <f t="shared" si="2"/>
        <v>136</v>
      </c>
      <c r="B149" s="94"/>
      <c r="C149" s="111" t="s">
        <v>67</v>
      </c>
      <c r="D149" s="107"/>
    </row>
    <row r="150" spans="1:4" ht="15.75" customHeight="1">
      <c r="A150" s="94">
        <f t="shared" si="2"/>
        <v>137</v>
      </c>
      <c r="B150" s="100">
        <v>9110</v>
      </c>
      <c r="C150" s="101" t="s">
        <v>187</v>
      </c>
      <c r="D150" s="117">
        <f>'C.2.2 B 09'!P97</f>
        <v>217036.03087186429</v>
      </c>
    </row>
    <row r="151" spans="1:4" ht="15.75" customHeight="1">
      <c r="A151" s="94">
        <f t="shared" si="2"/>
        <v>138</v>
      </c>
      <c r="B151" s="100">
        <v>9120</v>
      </c>
      <c r="C151" s="101" t="s">
        <v>197</v>
      </c>
      <c r="D151" s="114">
        <f>'C.2.2 B 09'!P98</f>
        <v>58954.974529856161</v>
      </c>
    </row>
    <row r="152" spans="1:4" ht="15.75" customHeight="1">
      <c r="A152" s="94">
        <f t="shared" si="2"/>
        <v>139</v>
      </c>
      <c r="B152" s="100">
        <v>9130</v>
      </c>
      <c r="C152" s="101" t="s">
        <v>198</v>
      </c>
      <c r="D152" s="114">
        <f>'C.2.2 B 09'!P99</f>
        <v>47524.574822683928</v>
      </c>
    </row>
    <row r="153" spans="1:4" ht="15.75" customHeight="1">
      <c r="A153" s="94">
        <f t="shared" si="2"/>
        <v>140</v>
      </c>
      <c r="B153" s="100">
        <v>9160</v>
      </c>
      <c r="C153" s="101" t="s">
        <v>199</v>
      </c>
      <c r="D153" s="105">
        <v>0</v>
      </c>
    </row>
    <row r="154" spans="1:4" ht="15.75" customHeight="1">
      <c r="A154" s="94">
        <f t="shared" si="2"/>
        <v>141</v>
      </c>
      <c r="B154" s="94"/>
      <c r="C154" s="115" t="s">
        <v>200</v>
      </c>
      <c r="D154" s="102">
        <f>SUM(D150:D153)</f>
        <v>323515.5802244044</v>
      </c>
    </row>
    <row r="155" spans="1:4" ht="15.75" customHeight="1">
      <c r="A155" s="94">
        <f t="shared" si="2"/>
        <v>142</v>
      </c>
      <c r="B155" s="106"/>
      <c r="D155" s="107"/>
    </row>
    <row r="156" spans="1:4" ht="15.75" customHeight="1">
      <c r="A156" s="94">
        <f t="shared" si="2"/>
        <v>143</v>
      </c>
      <c r="B156" s="94"/>
      <c r="C156" s="111" t="s">
        <v>201</v>
      </c>
      <c r="D156" s="107"/>
    </row>
    <row r="157" spans="1:4" ht="15.75" customHeight="1">
      <c r="A157" s="94">
        <f t="shared" si="2"/>
        <v>144</v>
      </c>
      <c r="B157" s="100">
        <v>9200</v>
      </c>
      <c r="C157" s="101" t="s">
        <v>202</v>
      </c>
      <c r="D157" s="117">
        <f>'C.2.2 B 09'!P100</f>
        <v>180273.90253351486</v>
      </c>
    </row>
    <row r="158" spans="1:4" ht="15.75" customHeight="1">
      <c r="A158" s="94">
        <f t="shared" si="2"/>
        <v>145</v>
      </c>
      <c r="B158" s="100">
        <v>9210</v>
      </c>
      <c r="C158" s="101" t="s">
        <v>203</v>
      </c>
      <c r="D158" s="114">
        <f>'C.2.2 B 09'!P101</f>
        <v>8473.4698661444381</v>
      </c>
    </row>
    <row r="159" spans="1:4" ht="15.75" customHeight="1">
      <c r="A159" s="94">
        <f t="shared" si="2"/>
        <v>146</v>
      </c>
      <c r="B159" s="100">
        <v>9220</v>
      </c>
      <c r="C159" s="101" t="s">
        <v>204</v>
      </c>
      <c r="D159" s="114">
        <f>'C.2.2 B 09'!P102</f>
        <v>15178190.516582308</v>
      </c>
    </row>
    <row r="160" spans="1:4" ht="15.75" customHeight="1">
      <c r="A160" s="94">
        <f t="shared" si="2"/>
        <v>147</v>
      </c>
      <c r="B160" s="100">
        <v>9230</v>
      </c>
      <c r="C160" s="101" t="s">
        <v>205</v>
      </c>
      <c r="D160" s="114">
        <f>'C.2.2 B 09'!P103</f>
        <v>257301.81802105528</v>
      </c>
    </row>
    <row r="161" spans="1:7" ht="15.75" customHeight="1">
      <c r="A161" s="94">
        <f t="shared" si="2"/>
        <v>148</v>
      </c>
      <c r="B161" s="100">
        <v>9240</v>
      </c>
      <c r="C161" s="101" t="s">
        <v>206</v>
      </c>
      <c r="D161" s="114">
        <f>'C.2.2 B 09'!P104</f>
        <v>72573.430469133324</v>
      </c>
    </row>
    <row r="162" spans="1:7" ht="15.75" customHeight="1">
      <c r="A162" s="94">
        <f t="shared" si="2"/>
        <v>149</v>
      </c>
      <c r="B162" s="100">
        <v>9250</v>
      </c>
      <c r="C162" s="101" t="s">
        <v>207</v>
      </c>
      <c r="D162" s="114">
        <f>'C.2.2 B 09'!P105</f>
        <v>65994.044220792654</v>
      </c>
    </row>
    <row r="163" spans="1:7" ht="15.75" customHeight="1">
      <c r="A163" s="94">
        <f t="shared" si="2"/>
        <v>150</v>
      </c>
      <c r="B163" s="100">
        <v>9260</v>
      </c>
      <c r="C163" s="101" t="s">
        <v>208</v>
      </c>
      <c r="D163" s="114">
        <f>'C.2.2 B 09'!P106</f>
        <v>1904418.8557737505</v>
      </c>
    </row>
    <row r="164" spans="1:7" ht="15.75" customHeight="1">
      <c r="A164" s="94">
        <f t="shared" si="2"/>
        <v>151</v>
      </c>
      <c r="B164" s="100">
        <v>9270</v>
      </c>
      <c r="C164" s="101" t="s">
        <v>209</v>
      </c>
      <c r="D164" s="114">
        <f>'C.2.2 B 09'!P107</f>
        <v>1091.1456125372256</v>
      </c>
    </row>
    <row r="165" spans="1:7" ht="15.75" customHeight="1">
      <c r="A165" s="94">
        <f t="shared" si="2"/>
        <v>152</v>
      </c>
      <c r="B165" s="100">
        <v>9280</v>
      </c>
      <c r="C165" s="101" t="s">
        <v>210</v>
      </c>
      <c r="D165" s="114">
        <f>'C.2.2 B 09'!P108</f>
        <v>158729.09349454116</v>
      </c>
    </row>
    <row r="166" spans="1:7" ht="15.75" customHeight="1">
      <c r="A166" s="94">
        <f t="shared" si="2"/>
        <v>153</v>
      </c>
      <c r="B166" s="125">
        <v>930.2</v>
      </c>
      <c r="C166" s="101" t="s">
        <v>211</v>
      </c>
      <c r="D166" s="114">
        <f>'C.2.2 B 09'!P109</f>
        <v>95809.425457897407</v>
      </c>
    </row>
    <row r="167" spans="1:7" ht="15.75" customHeight="1">
      <c r="A167" s="94">
        <f t="shared" si="2"/>
        <v>154</v>
      </c>
      <c r="B167" s="100">
        <v>9310</v>
      </c>
      <c r="C167" s="101" t="s">
        <v>212</v>
      </c>
      <c r="D167" s="116">
        <f>'C.2.2 B 09'!P110</f>
        <v>1559.5329237729823</v>
      </c>
    </row>
    <row r="168" spans="1:7" ht="15.75" customHeight="1">
      <c r="A168" s="94">
        <f t="shared" si="2"/>
        <v>155</v>
      </c>
      <c r="B168" s="94"/>
      <c r="C168" s="115" t="s">
        <v>213</v>
      </c>
      <c r="D168" s="102">
        <f>SUM(D157:D167)</f>
        <v>17924415.234955449</v>
      </c>
    </row>
    <row r="169" spans="1:7" ht="15.75" customHeight="1">
      <c r="A169" s="94">
        <f t="shared" si="2"/>
        <v>156</v>
      </c>
      <c r="B169" s="94"/>
      <c r="C169" s="98"/>
      <c r="D169" s="107"/>
    </row>
    <row r="170" spans="1:7" ht="15.75" customHeight="1">
      <c r="A170" s="94">
        <f t="shared" si="2"/>
        <v>157</v>
      </c>
      <c r="B170" s="94"/>
      <c r="C170" s="111" t="s">
        <v>214</v>
      </c>
      <c r="D170" s="107"/>
    </row>
    <row r="171" spans="1:7" ht="15.75" customHeight="1">
      <c r="A171" s="94">
        <f t="shared" si="2"/>
        <v>158</v>
      </c>
      <c r="B171" s="100">
        <v>9320</v>
      </c>
      <c r="C171" s="101" t="s">
        <v>215</v>
      </c>
      <c r="D171" s="116">
        <f>'C.2.2 B 09'!P111</f>
        <v>0</v>
      </c>
    </row>
    <row r="172" spans="1:7" ht="15.75" customHeight="1">
      <c r="A172" s="94">
        <f t="shared" si="2"/>
        <v>159</v>
      </c>
      <c r="B172" s="94"/>
      <c r="C172" s="115" t="s">
        <v>216</v>
      </c>
      <c r="D172" s="126">
        <f>SUM(D171:D171)</f>
        <v>0</v>
      </c>
    </row>
    <row r="173" spans="1:7" ht="15.75" customHeight="1">
      <c r="A173" s="94">
        <f t="shared" si="2"/>
        <v>160</v>
      </c>
      <c r="B173" s="106"/>
      <c r="D173" s="112"/>
    </row>
    <row r="174" spans="1:7" ht="15.75" customHeight="1">
      <c r="A174" s="94">
        <f t="shared" si="2"/>
        <v>161</v>
      </c>
      <c r="B174" s="94"/>
      <c r="C174" s="99" t="s">
        <v>217</v>
      </c>
      <c r="D174" s="127">
        <f>+D39+D43+D55+D65+D75+D83+D105+D120+D133+D140+D147+D154+D168+D172</f>
        <v>101595525.13166903</v>
      </c>
      <c r="F174" s="85">
        <f>'C.2.2 B 09'!P119</f>
        <v>101595525.13166906</v>
      </c>
      <c r="G174" s="85">
        <f>D174-F174</f>
        <v>0</v>
      </c>
    </row>
    <row r="175" spans="1:7" ht="15.75" customHeight="1">
      <c r="A175" s="94">
        <f t="shared" si="2"/>
        <v>162</v>
      </c>
      <c r="B175" s="106"/>
      <c r="D175" s="112"/>
    </row>
    <row r="176" spans="1:7" ht="15.75" customHeight="1">
      <c r="A176" s="94">
        <f t="shared" si="2"/>
        <v>163</v>
      </c>
      <c r="B176" s="94">
        <v>403</v>
      </c>
      <c r="C176" s="95" t="s">
        <v>218</v>
      </c>
      <c r="D176" s="126">
        <f>SUM('C.2.2 B 09'!P14)</f>
        <v>19295728.648829721</v>
      </c>
    </row>
    <row r="177" spans="1:7" ht="15.75" customHeight="1">
      <c r="A177" s="94">
        <f t="shared" si="2"/>
        <v>164</v>
      </c>
      <c r="B177" s="94">
        <v>406</v>
      </c>
      <c r="C177" s="95" t="s">
        <v>219</v>
      </c>
      <c r="D177" s="126">
        <f>'C.2.2 B 09'!P15</f>
        <v>49748.75999999998</v>
      </c>
    </row>
    <row r="178" spans="1:7" ht="15.75" customHeight="1">
      <c r="A178" s="94">
        <f t="shared" si="2"/>
        <v>165</v>
      </c>
      <c r="B178" s="100">
        <v>4081</v>
      </c>
      <c r="C178" s="95" t="s">
        <v>220</v>
      </c>
      <c r="D178" s="114">
        <f>'C.2.2 B 09'!P16</f>
        <v>9749303.3507630825</v>
      </c>
    </row>
    <row r="179" spans="1:7" ht="15.75" customHeight="1">
      <c r="A179" s="94">
        <f t="shared" si="2"/>
        <v>166</v>
      </c>
      <c r="B179" s="100" t="s">
        <v>221</v>
      </c>
      <c r="C179" s="95" t="s">
        <v>222</v>
      </c>
      <c r="D179" s="105">
        <v>6502637.9678139454</v>
      </c>
      <c r="F179" s="108"/>
      <c r="G179" s="108"/>
    </row>
    <row r="180" spans="1:7" ht="15.75" customHeight="1">
      <c r="A180" s="94">
        <f t="shared" si="2"/>
        <v>167</v>
      </c>
      <c r="B180" s="106"/>
      <c r="D180" s="112"/>
    </row>
    <row r="181" spans="1:7" ht="15.75" customHeight="1">
      <c r="A181" s="94">
        <f t="shared" si="2"/>
        <v>168</v>
      </c>
      <c r="B181" s="98"/>
      <c r="C181" s="95" t="s">
        <v>223</v>
      </c>
      <c r="D181" s="116">
        <f>+D174+SUM(D176:D179)</f>
        <v>137192943.85907578</v>
      </c>
    </row>
    <row r="182" spans="1:7" ht="15.75" customHeight="1">
      <c r="A182" s="94">
        <f t="shared" si="2"/>
        <v>169</v>
      </c>
      <c r="D182" s="112"/>
    </row>
    <row r="183" spans="1:7" ht="15.75" customHeight="1" thickBot="1">
      <c r="A183" s="94">
        <f t="shared" si="2"/>
        <v>170</v>
      </c>
      <c r="B183" s="98"/>
      <c r="C183" s="95" t="s">
        <v>224</v>
      </c>
      <c r="D183" s="128">
        <f>D33-D181</f>
        <v>29161761.807838351</v>
      </c>
    </row>
    <row r="184" spans="1:7" ht="15.75" customHeight="1" thickTop="1">
      <c r="B184" s="123"/>
    </row>
    <row r="185" spans="1:7" ht="15.75" customHeight="1">
      <c r="A185" s="98"/>
      <c r="B185" s="123"/>
    </row>
    <row r="186" spans="1:7" ht="15.75" customHeight="1">
      <c r="B186" s="123"/>
    </row>
    <row r="187" spans="1:7" ht="15.75" customHeight="1">
      <c r="B187" s="123"/>
    </row>
    <row r="188" spans="1:7" ht="15.75" customHeight="1">
      <c r="B188" s="123"/>
    </row>
    <row r="189" spans="1:7" ht="15.75" customHeight="1">
      <c r="B189" s="123"/>
    </row>
    <row r="190" spans="1:7" ht="15.75" customHeight="1">
      <c r="B190" s="123"/>
    </row>
    <row r="191" spans="1:7" ht="15.75" customHeight="1">
      <c r="B191" s="123"/>
    </row>
    <row r="192" spans="1:7" ht="15.75" customHeight="1">
      <c r="B192" s="123"/>
    </row>
  </sheetData>
  <mergeCells count="4">
    <mergeCell ref="A1:D1"/>
    <mergeCell ref="A2:D2"/>
    <mergeCell ref="A3:D3"/>
    <mergeCell ref="A4:D4"/>
  </mergeCells>
  <printOptions horizontalCentered="1"/>
  <pageMargins left="0.84" right="0.67" top="0.62" bottom="1.04" header="0.5" footer="0.5"/>
  <pageSetup scale="92" fitToHeight="15" orientation="portrait" verticalDpi="300" r:id="rId1"/>
  <headerFooter alignWithMargins="0">
    <oddHeader>&amp;RCASE NO. 2021-00214
FR_16(8)(c) 
ATTACHMENT 1</oddHeader>
    <oddFooter>&amp;RSchedule &amp;A
Page &amp;P of &amp;N</oddFooter>
  </headerFooter>
  <rowBreaks count="1" manualBreakCount="1">
    <brk id="120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8A963-CD64-48A2-A335-0840DBDF32FC}">
  <dimension ref="A1:J183"/>
  <sheetViews>
    <sheetView view="pageBreakPreview" zoomScale="80" zoomScaleNormal="100" zoomScaleSheetLayoutView="80" workbookViewId="0">
      <selection sqref="A1:D1"/>
    </sheetView>
  </sheetViews>
  <sheetFormatPr defaultColWidth="8.44140625" defaultRowHeight="15"/>
  <cols>
    <col min="1" max="1" width="4.77734375" style="4" customWidth="1"/>
    <col min="2" max="2" width="11.88671875" style="4" customWidth="1"/>
    <col min="3" max="3" width="45.77734375" style="4" customWidth="1"/>
    <col min="4" max="4" width="13.109375" style="4" customWidth="1"/>
    <col min="5" max="5" width="3.77734375" style="4" customWidth="1"/>
    <col min="6" max="6" width="14" style="4" customWidth="1"/>
    <col min="7" max="7" width="11.109375" style="4" customWidth="1"/>
    <col min="8" max="8" width="10.88671875" style="4" customWidth="1"/>
    <col min="9" max="16384" width="8.44140625" style="4"/>
  </cols>
  <sheetData>
    <row r="1" spans="1:8">
      <c r="A1" s="240" t="s">
        <v>404</v>
      </c>
      <c r="B1" s="240"/>
      <c r="C1" s="240"/>
      <c r="D1" s="240"/>
      <c r="E1" s="6"/>
    </row>
    <row r="2" spans="1:8">
      <c r="A2" s="240" t="s">
        <v>405</v>
      </c>
      <c r="B2" s="240"/>
      <c r="C2" s="240"/>
      <c r="D2" s="240"/>
      <c r="E2" s="6"/>
    </row>
    <row r="3" spans="1:8">
      <c r="A3" s="241" t="s">
        <v>225</v>
      </c>
      <c r="B3" s="241"/>
      <c r="C3" s="241"/>
      <c r="D3" s="241"/>
      <c r="E3" s="6"/>
    </row>
    <row r="4" spans="1:8">
      <c r="A4" s="240" t="s">
        <v>407</v>
      </c>
      <c r="B4" s="240"/>
      <c r="C4" s="240"/>
      <c r="D4" s="240"/>
      <c r="E4" s="6"/>
    </row>
    <row r="5" spans="1:8">
      <c r="A5" s="129"/>
      <c r="B5" s="129"/>
      <c r="C5" s="130"/>
      <c r="D5" s="130"/>
      <c r="E5" s="130"/>
    </row>
    <row r="6" spans="1:8">
      <c r="A6" s="7" t="s">
        <v>226</v>
      </c>
      <c r="D6" s="89" t="s">
        <v>77</v>
      </c>
      <c r="E6" s="89"/>
    </row>
    <row r="7" spans="1:8">
      <c r="A7" s="50" t="str">
        <f>'C.2.1 B'!A7</f>
        <v>Type of Filing:___X____Original________Updated ________Revised</v>
      </c>
      <c r="D7" s="90" t="s">
        <v>227</v>
      </c>
      <c r="E7" s="90"/>
    </row>
    <row r="8" spans="1:8">
      <c r="A8" s="10" t="s">
        <v>18</v>
      </c>
      <c r="B8" s="11"/>
      <c r="C8" s="11"/>
      <c r="D8" s="131" t="str">
        <f>'C.1'!J9</f>
        <v>Witness: Christian, Densman</v>
      </c>
      <c r="E8" s="8"/>
    </row>
    <row r="9" spans="1:8">
      <c r="D9" s="6"/>
      <c r="E9" s="6"/>
    </row>
    <row r="10" spans="1:8">
      <c r="A10" s="51" t="s">
        <v>22</v>
      </c>
      <c r="B10" s="6" t="s">
        <v>79</v>
      </c>
      <c r="C10" s="51" t="s">
        <v>79</v>
      </c>
      <c r="D10" s="6" t="s">
        <v>80</v>
      </c>
      <c r="E10" s="6"/>
    </row>
    <row r="11" spans="1:8">
      <c r="A11" s="54" t="s">
        <v>25</v>
      </c>
      <c r="B11" s="57" t="s">
        <v>81</v>
      </c>
      <c r="C11" s="54" t="s">
        <v>82</v>
      </c>
      <c r="D11" s="57" t="s">
        <v>83</v>
      </c>
      <c r="E11" s="6"/>
    </row>
    <row r="12" spans="1:8">
      <c r="D12" s="6" t="s">
        <v>84</v>
      </c>
      <c r="E12" s="6"/>
    </row>
    <row r="13" spans="1:8">
      <c r="A13" s="6">
        <v>1</v>
      </c>
      <c r="B13" s="49"/>
      <c r="C13" s="132" t="s">
        <v>85</v>
      </c>
    </row>
    <row r="14" spans="1:8">
      <c r="A14" s="133">
        <f>A13+1</f>
        <v>2</v>
      </c>
      <c r="B14" s="6"/>
      <c r="C14" s="132" t="s">
        <v>86</v>
      </c>
      <c r="H14" s="134"/>
    </row>
    <row r="15" spans="1:8">
      <c r="A15" s="133">
        <f t="shared" ref="A15:A78" si="0">A14+1</f>
        <v>3</v>
      </c>
      <c r="B15" s="135">
        <v>4800</v>
      </c>
      <c r="C15" s="136" t="s">
        <v>87</v>
      </c>
      <c r="D15" s="137">
        <f>-'C.2.2-F 09'!P17</f>
        <v>100196511.94965912</v>
      </c>
      <c r="E15" s="137"/>
    </row>
    <row r="16" spans="1:8">
      <c r="A16" s="133">
        <f t="shared" si="0"/>
        <v>4</v>
      </c>
      <c r="B16" s="135">
        <v>4811</v>
      </c>
      <c r="C16" s="136" t="s">
        <v>89</v>
      </c>
      <c r="D16" s="138">
        <f>-'C.2.2-F 09'!P19</f>
        <v>42523546.818897888</v>
      </c>
      <c r="E16" s="138"/>
    </row>
    <row r="17" spans="1:7">
      <c r="A17" s="133">
        <f t="shared" si="0"/>
        <v>5</v>
      </c>
      <c r="B17" s="135">
        <v>4812</v>
      </c>
      <c r="C17" s="136" t="s">
        <v>90</v>
      </c>
      <c r="D17" s="138">
        <f>-'C.2.2-F 09'!P20</f>
        <v>4941524.9316062424</v>
      </c>
      <c r="E17" s="138"/>
      <c r="F17" s="69"/>
      <c r="G17" s="69"/>
    </row>
    <row r="18" spans="1:7">
      <c r="A18" s="133">
        <f t="shared" si="0"/>
        <v>6</v>
      </c>
      <c r="B18" s="135">
        <v>4820</v>
      </c>
      <c r="C18" s="136" t="s">
        <v>93</v>
      </c>
      <c r="D18" s="139">
        <f>-'C.2.2-F 09'!P23</f>
        <v>6412852.0600300189</v>
      </c>
      <c r="E18" s="138"/>
      <c r="F18" s="69"/>
      <c r="G18" s="69"/>
    </row>
    <row r="19" spans="1:7">
      <c r="A19" s="133">
        <f t="shared" si="0"/>
        <v>7</v>
      </c>
      <c r="B19" s="6"/>
      <c r="C19" s="51" t="s">
        <v>95</v>
      </c>
      <c r="D19" s="21">
        <f>SUM(D15:D18)</f>
        <v>154074435.76019326</v>
      </c>
      <c r="E19" s="21"/>
      <c r="F19" s="69"/>
      <c r="G19" s="69"/>
    </row>
    <row r="20" spans="1:7">
      <c r="A20" s="133">
        <f t="shared" si="0"/>
        <v>8</v>
      </c>
      <c r="B20" s="3"/>
      <c r="F20" s="69"/>
      <c r="G20" s="69"/>
    </row>
    <row r="21" spans="1:7">
      <c r="A21" s="133">
        <f t="shared" si="0"/>
        <v>9</v>
      </c>
      <c r="B21" s="3"/>
      <c r="C21" s="132" t="s">
        <v>96</v>
      </c>
      <c r="D21" s="49"/>
      <c r="E21" s="49"/>
      <c r="F21" s="69"/>
      <c r="G21" s="69"/>
    </row>
    <row r="22" spans="1:7">
      <c r="A22" s="133">
        <f t="shared" si="0"/>
        <v>10</v>
      </c>
      <c r="B22" s="135">
        <v>4870</v>
      </c>
      <c r="C22" s="136" t="s">
        <v>97</v>
      </c>
      <c r="D22" s="137">
        <f>-'C.2.2-F 09'!P25</f>
        <v>1300280.0711960639</v>
      </c>
      <c r="E22" s="137"/>
      <c r="F22" s="69"/>
      <c r="G22" s="69"/>
    </row>
    <row r="23" spans="1:7">
      <c r="A23" s="133">
        <f t="shared" si="0"/>
        <v>11</v>
      </c>
      <c r="B23" s="135">
        <v>4880</v>
      </c>
      <c r="C23" s="136" t="s">
        <v>98</v>
      </c>
      <c r="D23" s="138">
        <f>-'C.2.2-F 09'!P26</f>
        <v>234286</v>
      </c>
      <c r="E23" s="138"/>
      <c r="F23" s="69"/>
      <c r="G23" s="69"/>
    </row>
    <row r="24" spans="1:7">
      <c r="A24" s="133">
        <f t="shared" si="0"/>
        <v>12</v>
      </c>
      <c r="B24" s="135" t="s">
        <v>228</v>
      </c>
      <c r="C24" s="136" t="s">
        <v>99</v>
      </c>
      <c r="D24" s="138">
        <f>-'C.2.2-F 09'!P27</f>
        <v>15144509.466240136</v>
      </c>
      <c r="E24" s="138"/>
      <c r="F24" s="69"/>
      <c r="G24" s="69"/>
    </row>
    <row r="25" spans="1:7">
      <c r="A25" s="133">
        <f t="shared" si="0"/>
        <v>13</v>
      </c>
      <c r="B25" s="135">
        <v>4950</v>
      </c>
      <c r="C25" s="136" t="s">
        <v>100</v>
      </c>
      <c r="D25" s="138">
        <f>-'C.2.2-F 09'!P28</f>
        <v>2713411.6520399996</v>
      </c>
      <c r="E25" s="138"/>
      <c r="F25" s="69"/>
      <c r="G25" s="69"/>
    </row>
    <row r="26" spans="1:7">
      <c r="A26" s="133">
        <f t="shared" si="0"/>
        <v>14</v>
      </c>
      <c r="B26" s="3"/>
      <c r="C26" s="51" t="s">
        <v>102</v>
      </c>
      <c r="D26" s="140">
        <f>SUM(D22:D25)</f>
        <v>19392487.189476199</v>
      </c>
      <c r="E26" s="21"/>
      <c r="F26" s="69"/>
      <c r="G26" s="69"/>
    </row>
    <row r="27" spans="1:7">
      <c r="A27" s="133">
        <f t="shared" si="0"/>
        <v>15</v>
      </c>
      <c r="B27" s="3"/>
      <c r="D27" s="49"/>
      <c r="E27" s="49"/>
      <c r="F27" s="69"/>
      <c r="G27" s="69"/>
    </row>
    <row r="28" spans="1:7">
      <c r="A28" s="133">
        <f t="shared" si="0"/>
        <v>16</v>
      </c>
      <c r="B28" s="6"/>
      <c r="C28" s="51" t="s">
        <v>103</v>
      </c>
      <c r="D28" s="141">
        <f>D26+D19</f>
        <v>173466922.94966945</v>
      </c>
      <c r="E28" s="141"/>
      <c r="F28" s="69"/>
      <c r="G28" s="69"/>
    </row>
    <row r="29" spans="1:7">
      <c r="A29" s="133">
        <f t="shared" si="0"/>
        <v>17</v>
      </c>
      <c r="B29" s="3"/>
      <c r="D29" s="49"/>
      <c r="E29" s="49"/>
    </row>
    <row r="30" spans="1:7">
      <c r="A30" s="133">
        <f t="shared" si="0"/>
        <v>18</v>
      </c>
      <c r="B30" s="3"/>
      <c r="C30" s="132" t="s">
        <v>104</v>
      </c>
      <c r="D30" s="49"/>
      <c r="E30" s="49"/>
    </row>
    <row r="31" spans="1:7">
      <c r="A31" s="133">
        <f t="shared" si="0"/>
        <v>19</v>
      </c>
      <c r="B31" s="3"/>
      <c r="C31" s="142" t="s">
        <v>105</v>
      </c>
    </row>
    <row r="32" spans="1:7">
      <c r="A32" s="133">
        <f t="shared" si="0"/>
        <v>20</v>
      </c>
      <c r="B32" s="143">
        <v>7560</v>
      </c>
      <c r="C32" s="136" t="s">
        <v>106</v>
      </c>
      <c r="D32" s="138">
        <f>'C.2.2-F 09'!P30</f>
        <v>0</v>
      </c>
      <c r="E32" s="138"/>
    </row>
    <row r="33" spans="1:10">
      <c r="A33" s="133">
        <f t="shared" si="0"/>
        <v>21</v>
      </c>
      <c r="B33" s="113">
        <v>7590</v>
      </c>
      <c r="C33" s="101" t="s">
        <v>107</v>
      </c>
      <c r="D33">
        <f>'C.2.2-F 09'!P31</f>
        <v>0</v>
      </c>
      <c r="E33" s="138"/>
    </row>
    <row r="34" spans="1:10">
      <c r="A34" s="133">
        <f t="shared" si="0"/>
        <v>22</v>
      </c>
      <c r="B34" s="3"/>
      <c r="C34" s="70" t="s">
        <v>108</v>
      </c>
      <c r="D34" s="140">
        <f>SUM(D32:D33)</f>
        <v>0</v>
      </c>
      <c r="E34" s="21"/>
      <c r="F34" s="69"/>
      <c r="G34" s="69"/>
    </row>
    <row r="35" spans="1:10">
      <c r="A35" s="133">
        <f t="shared" si="0"/>
        <v>23</v>
      </c>
      <c r="B35" s="3"/>
      <c r="C35" s="7"/>
      <c r="D35" s="30"/>
      <c r="E35" s="30"/>
    </row>
    <row r="36" spans="1:10">
      <c r="A36" s="133">
        <f t="shared" si="0"/>
        <v>24</v>
      </c>
      <c r="B36" s="3"/>
      <c r="C36" s="142" t="s">
        <v>109</v>
      </c>
      <c r="D36" s="30"/>
      <c r="E36" s="30"/>
    </row>
    <row r="37" spans="1:10">
      <c r="A37" s="133">
        <f t="shared" si="0"/>
        <v>25</v>
      </c>
      <c r="B37" s="143">
        <v>7610</v>
      </c>
      <c r="C37" s="136" t="s">
        <v>229</v>
      </c>
      <c r="D37" s="144">
        <v>0</v>
      </c>
      <c r="E37" s="137"/>
    </row>
    <row r="38" spans="1:10">
      <c r="A38" s="133">
        <f t="shared" si="0"/>
        <v>26</v>
      </c>
      <c r="B38" s="3"/>
      <c r="C38" s="7"/>
      <c r="D38" s="21">
        <f>SUM(D37)</f>
        <v>0</v>
      </c>
      <c r="E38" s="21"/>
    </row>
    <row r="39" spans="1:10">
      <c r="A39" s="133">
        <f t="shared" si="0"/>
        <v>27</v>
      </c>
      <c r="B39" s="3"/>
      <c r="C39" s="142" t="s">
        <v>111</v>
      </c>
    </row>
    <row r="40" spans="1:10">
      <c r="A40" s="133">
        <f t="shared" si="0"/>
        <v>28</v>
      </c>
      <c r="B40" s="143">
        <v>8140</v>
      </c>
      <c r="C40" s="136" t="s">
        <v>112</v>
      </c>
      <c r="D40" s="137">
        <f>'C.2.2-F 09'!P47</f>
        <v>652.79921909830932</v>
      </c>
      <c r="E40" s="137"/>
      <c r="J40" s="145"/>
    </row>
    <row r="41" spans="1:10">
      <c r="A41" s="133">
        <f t="shared" si="0"/>
        <v>29</v>
      </c>
      <c r="B41" s="143">
        <v>8150</v>
      </c>
      <c r="C41" s="136" t="s">
        <v>113</v>
      </c>
      <c r="D41" s="138">
        <v>0</v>
      </c>
      <c r="E41" s="22"/>
    </row>
    <row r="42" spans="1:10">
      <c r="A42" s="133">
        <f t="shared" si="0"/>
        <v>30</v>
      </c>
      <c r="B42" s="143">
        <v>8160</v>
      </c>
      <c r="C42" s="136" t="s">
        <v>114</v>
      </c>
      <c r="D42" s="138">
        <f>'C.2.2-F 09'!P48</f>
        <v>370315.18686183688</v>
      </c>
      <c r="E42" s="22"/>
      <c r="J42" s="145"/>
    </row>
    <row r="43" spans="1:10">
      <c r="A43" s="133">
        <f t="shared" si="0"/>
        <v>31</v>
      </c>
      <c r="B43" s="143">
        <v>8170</v>
      </c>
      <c r="C43" s="136" t="s">
        <v>115</v>
      </c>
      <c r="D43" s="138">
        <f>'C.2.2-F 09'!P49</f>
        <v>41264.586367829099</v>
      </c>
      <c r="E43" s="22"/>
      <c r="J43" s="145"/>
    </row>
    <row r="44" spans="1:10">
      <c r="A44" s="133">
        <f t="shared" si="0"/>
        <v>32</v>
      </c>
      <c r="B44" s="143">
        <v>8180</v>
      </c>
      <c r="C44" s="136" t="s">
        <v>116</v>
      </c>
      <c r="D44" s="138">
        <f>'C.2.2-F 09'!P50</f>
        <v>52179.845305503506</v>
      </c>
      <c r="E44" s="22"/>
      <c r="J44" s="145"/>
    </row>
    <row r="45" spans="1:10">
      <c r="A45" s="133">
        <f t="shared" si="0"/>
        <v>33</v>
      </c>
      <c r="B45" s="146">
        <v>8190</v>
      </c>
      <c r="C45" s="147" t="s">
        <v>117</v>
      </c>
      <c r="D45" s="138">
        <f>'C.2.2-F 09'!P51</f>
        <v>990.76244810870355</v>
      </c>
      <c r="E45" s="22"/>
      <c r="J45" s="145"/>
    </row>
    <row r="46" spans="1:10">
      <c r="A46" s="133">
        <f t="shared" si="0"/>
        <v>34</v>
      </c>
      <c r="B46" s="146">
        <v>8200</v>
      </c>
      <c r="C46" s="147" t="s">
        <v>118</v>
      </c>
      <c r="D46" s="138">
        <f>'C.2.2-F 09'!P52</f>
        <v>7977.3665063499329</v>
      </c>
      <c r="E46" s="22"/>
      <c r="J46" s="145"/>
    </row>
    <row r="47" spans="1:10">
      <c r="A47" s="133">
        <f t="shared" si="0"/>
        <v>35</v>
      </c>
      <c r="B47" s="146">
        <v>8210</v>
      </c>
      <c r="C47" s="147" t="s">
        <v>119</v>
      </c>
      <c r="D47" s="138">
        <f>'C.2.2-F 09'!P53</f>
        <v>39793.666272044764</v>
      </c>
      <c r="E47" s="22"/>
      <c r="J47" s="145"/>
    </row>
    <row r="48" spans="1:10">
      <c r="A48" s="133">
        <f t="shared" si="0"/>
        <v>36</v>
      </c>
      <c r="B48" s="146">
        <v>8240</v>
      </c>
      <c r="C48" s="147" t="s">
        <v>120</v>
      </c>
      <c r="D48" s="138">
        <f>'C.2.2-F 09'!P54</f>
        <v>0</v>
      </c>
      <c r="E48" s="22"/>
      <c r="J48" s="145"/>
    </row>
    <row r="49" spans="1:10">
      <c r="A49" s="133">
        <f t="shared" si="0"/>
        <v>37</v>
      </c>
      <c r="B49" s="146">
        <v>8250</v>
      </c>
      <c r="C49" s="147" t="s">
        <v>121</v>
      </c>
      <c r="D49" s="138">
        <f>'C.2.2-F 09'!P55</f>
        <v>9209.3257488211148</v>
      </c>
      <c r="E49" s="22"/>
      <c r="J49" s="145"/>
    </row>
    <row r="50" spans="1:10">
      <c r="A50" s="133">
        <f t="shared" si="0"/>
        <v>38</v>
      </c>
      <c r="B50" s="3"/>
      <c r="C50" s="70" t="s">
        <v>122</v>
      </c>
      <c r="D50" s="140">
        <f>SUM(D40:D49)</f>
        <v>522383.53872959234</v>
      </c>
      <c r="E50" s="21"/>
      <c r="F50" s="69"/>
      <c r="G50" s="69"/>
    </row>
    <row r="51" spans="1:10">
      <c r="A51" s="133">
        <f t="shared" si="0"/>
        <v>39</v>
      </c>
      <c r="B51" s="3"/>
      <c r="C51" s="7"/>
      <c r="D51" s="22"/>
      <c r="E51" s="22"/>
    </row>
    <row r="52" spans="1:10">
      <c r="A52" s="133">
        <f t="shared" si="0"/>
        <v>40</v>
      </c>
      <c r="B52" s="3"/>
      <c r="C52" s="142" t="s">
        <v>123</v>
      </c>
      <c r="D52" s="22"/>
      <c r="E52" s="22"/>
    </row>
    <row r="53" spans="1:10">
      <c r="A53" s="133">
        <f t="shared" si="0"/>
        <v>41</v>
      </c>
      <c r="B53" s="146">
        <v>8310</v>
      </c>
      <c r="C53" s="147" t="s">
        <v>124</v>
      </c>
      <c r="D53" s="137">
        <f>'C.2.2-F 09'!P56</f>
        <v>554.20453105239903</v>
      </c>
      <c r="E53" s="137"/>
      <c r="J53" s="145"/>
    </row>
    <row r="54" spans="1:10">
      <c r="A54" s="133">
        <f t="shared" si="0"/>
        <v>42</v>
      </c>
      <c r="B54" s="146">
        <v>8320</v>
      </c>
      <c r="C54" s="147" t="s">
        <v>125</v>
      </c>
      <c r="D54" s="138">
        <v>0</v>
      </c>
      <c r="E54" s="22"/>
    </row>
    <row r="55" spans="1:10">
      <c r="A55" s="133">
        <f t="shared" si="0"/>
        <v>43</v>
      </c>
      <c r="B55" s="146">
        <v>8340</v>
      </c>
      <c r="C55" s="147" t="s">
        <v>126</v>
      </c>
      <c r="D55" s="138">
        <f>'C.2.2-F 09'!P57</f>
        <v>0</v>
      </c>
      <c r="E55" s="22"/>
      <c r="J55" s="145"/>
    </row>
    <row r="56" spans="1:10">
      <c r="A56" s="133">
        <f t="shared" si="0"/>
        <v>44</v>
      </c>
      <c r="B56" s="146">
        <v>8350</v>
      </c>
      <c r="C56" s="147" t="s">
        <v>127</v>
      </c>
      <c r="D56" s="138">
        <f>'C.2.2-F 09'!P58</f>
        <v>0</v>
      </c>
      <c r="E56" s="22"/>
      <c r="J56" s="145"/>
    </row>
    <row r="57" spans="1:10">
      <c r="A57" s="133">
        <f t="shared" si="0"/>
        <v>45</v>
      </c>
      <c r="B57" s="146">
        <v>8360</v>
      </c>
      <c r="C57" s="147" t="s">
        <v>128</v>
      </c>
      <c r="D57" s="138">
        <f>'C.2.2-F 09'!P59</f>
        <v>0</v>
      </c>
      <c r="E57" s="22"/>
      <c r="J57" s="145"/>
    </row>
    <row r="58" spans="1:10">
      <c r="A58" s="133">
        <f t="shared" si="0"/>
        <v>46</v>
      </c>
      <c r="B58" s="146">
        <v>8370</v>
      </c>
      <c r="C58" s="147" t="s">
        <v>129</v>
      </c>
      <c r="D58" s="138">
        <f>'C.2.2-F 09'!P60</f>
        <v>0</v>
      </c>
      <c r="E58" s="22"/>
      <c r="J58" s="145"/>
    </row>
    <row r="59" spans="1:10">
      <c r="A59" s="133">
        <f t="shared" si="0"/>
        <v>47</v>
      </c>
      <c r="B59" s="148" t="s">
        <v>230</v>
      </c>
      <c r="C59" s="147" t="s">
        <v>131</v>
      </c>
      <c r="D59" s="138">
        <f>'C.2.2-F 09'!P61</f>
        <v>232719.80535370877</v>
      </c>
      <c r="E59" s="22"/>
    </row>
    <row r="60" spans="1:10">
      <c r="A60" s="133">
        <f t="shared" si="0"/>
        <v>48</v>
      </c>
      <c r="B60" s="3"/>
      <c r="C60" s="70" t="s">
        <v>132</v>
      </c>
      <c r="D60" s="140">
        <f>SUM(D53:D59)</f>
        <v>233274.00988476118</v>
      </c>
      <c r="E60" s="137"/>
      <c r="F60" s="69"/>
      <c r="G60" s="69"/>
    </row>
    <row r="61" spans="1:10">
      <c r="A61" s="133">
        <f t="shared" si="0"/>
        <v>49</v>
      </c>
      <c r="B61" s="3"/>
      <c r="C61" s="7"/>
      <c r="D61" s="22"/>
      <c r="E61" s="22"/>
    </row>
    <row r="62" spans="1:10">
      <c r="A62" s="133">
        <f t="shared" si="0"/>
        <v>50</v>
      </c>
      <c r="B62" s="3"/>
      <c r="C62" s="142" t="s">
        <v>133</v>
      </c>
      <c r="D62" s="22"/>
      <c r="E62" s="22"/>
    </row>
    <row r="63" spans="1:10">
      <c r="A63" s="133">
        <f t="shared" si="0"/>
        <v>51</v>
      </c>
      <c r="B63" s="146">
        <v>8500</v>
      </c>
      <c r="C63" s="147" t="s">
        <v>112</v>
      </c>
      <c r="D63" s="137">
        <f>'C.2.2-F 09'!P62</f>
        <v>14402.042351015738</v>
      </c>
      <c r="E63" s="137"/>
      <c r="J63" s="145"/>
    </row>
    <row r="64" spans="1:10">
      <c r="A64" s="133">
        <f t="shared" si="0"/>
        <v>52</v>
      </c>
      <c r="B64" s="146">
        <v>8520</v>
      </c>
      <c r="C64" s="119" t="s">
        <v>134</v>
      </c>
      <c r="D64" s="138">
        <f>'C.2.2-F 09'!P63</f>
        <v>0</v>
      </c>
      <c r="E64" s="137"/>
      <c r="J64" s="145"/>
    </row>
    <row r="65" spans="1:10">
      <c r="A65" s="133">
        <f t="shared" si="0"/>
        <v>53</v>
      </c>
      <c r="B65" s="146">
        <v>8550</v>
      </c>
      <c r="C65" s="119" t="s">
        <v>231</v>
      </c>
      <c r="D65" s="138">
        <f>'C.2.2-F 09'!P64</f>
        <v>206.00858813511107</v>
      </c>
      <c r="E65" s="137"/>
      <c r="J65" s="145"/>
    </row>
    <row r="66" spans="1:10">
      <c r="A66" s="133">
        <f t="shared" si="0"/>
        <v>54</v>
      </c>
      <c r="B66" s="146">
        <v>8560</v>
      </c>
      <c r="C66" s="147" t="s">
        <v>136</v>
      </c>
      <c r="D66" s="138">
        <f>'C.2.2-F 09'!P65</f>
        <v>175659.43764801498</v>
      </c>
      <c r="E66" s="22"/>
      <c r="J66" s="145"/>
    </row>
    <row r="67" spans="1:10">
      <c r="A67" s="133">
        <f t="shared" si="0"/>
        <v>55</v>
      </c>
      <c r="B67" s="146">
        <v>8570</v>
      </c>
      <c r="C67" s="147" t="s">
        <v>137</v>
      </c>
      <c r="D67" s="138">
        <f>'C.2.2-F 09'!P66</f>
        <v>11942.272320565902</v>
      </c>
      <c r="E67" s="22"/>
      <c r="J67" s="145"/>
    </row>
    <row r="68" spans="1:10">
      <c r="A68" s="133">
        <f t="shared" si="0"/>
        <v>56</v>
      </c>
      <c r="B68" s="146">
        <v>8590</v>
      </c>
      <c r="C68" s="147" t="s">
        <v>138</v>
      </c>
      <c r="D68" s="22">
        <v>0</v>
      </c>
      <c r="E68" s="22"/>
    </row>
    <row r="69" spans="1:10">
      <c r="A69" s="133">
        <f t="shared" si="0"/>
        <v>57</v>
      </c>
      <c r="B69" s="146">
        <v>8600</v>
      </c>
      <c r="C69" s="147" t="s">
        <v>139</v>
      </c>
      <c r="D69" s="78">
        <v>0</v>
      </c>
      <c r="E69" s="22"/>
    </row>
    <row r="70" spans="1:10">
      <c r="A70" s="133">
        <f t="shared" si="0"/>
        <v>58</v>
      </c>
      <c r="B70" s="3"/>
      <c r="C70" s="70" t="s">
        <v>140</v>
      </c>
      <c r="D70" s="21">
        <f>SUM(D63:D69)</f>
        <v>202209.76090773175</v>
      </c>
      <c r="E70" s="21"/>
      <c r="F70" s="69"/>
      <c r="G70" s="69"/>
    </row>
    <row r="71" spans="1:10">
      <c r="A71" s="133">
        <f t="shared" si="0"/>
        <v>59</v>
      </c>
      <c r="B71" s="3"/>
      <c r="C71" s="7"/>
      <c r="D71" s="22"/>
      <c r="E71" s="22"/>
    </row>
    <row r="72" spans="1:10">
      <c r="A72" s="133">
        <f t="shared" si="0"/>
        <v>60</v>
      </c>
      <c r="B72" s="3"/>
      <c r="C72" s="142" t="s">
        <v>141</v>
      </c>
      <c r="D72" s="22"/>
      <c r="E72" s="22"/>
    </row>
    <row r="73" spans="1:10">
      <c r="A73" s="133">
        <f t="shared" si="0"/>
        <v>61</v>
      </c>
      <c r="B73" s="146">
        <v>8620</v>
      </c>
      <c r="C73" s="147" t="s">
        <v>142</v>
      </c>
      <c r="D73" s="137">
        <v>0</v>
      </c>
      <c r="E73" s="137"/>
    </row>
    <row r="74" spans="1:10">
      <c r="A74" s="133">
        <f t="shared" si="0"/>
        <v>62</v>
      </c>
      <c r="B74" s="146">
        <v>8630</v>
      </c>
      <c r="C74" s="147" t="s">
        <v>143</v>
      </c>
      <c r="D74" s="138">
        <f>'C.2.2-F 09'!P67</f>
        <v>4140.587861285002</v>
      </c>
      <c r="E74" s="22"/>
      <c r="J74" s="145"/>
    </row>
    <row r="75" spans="1:10">
      <c r="A75" s="133">
        <f t="shared" si="0"/>
        <v>63</v>
      </c>
      <c r="B75" s="146">
        <v>8640</v>
      </c>
      <c r="C75" s="147" t="s">
        <v>144</v>
      </c>
      <c r="D75" s="138">
        <f>'C.2.2-F 09'!P68</f>
        <v>0</v>
      </c>
      <c r="E75" s="22"/>
    </row>
    <row r="76" spans="1:10">
      <c r="A76" s="133">
        <f t="shared" si="0"/>
        <v>64</v>
      </c>
      <c r="B76" s="146">
        <v>8650</v>
      </c>
      <c r="C76" s="147" t="s">
        <v>145</v>
      </c>
      <c r="D76" s="138">
        <f>'C.2.2-F 09'!P69</f>
        <v>0</v>
      </c>
      <c r="E76" s="22"/>
      <c r="J76" s="145"/>
    </row>
    <row r="77" spans="1:10">
      <c r="A77" s="133">
        <f t="shared" si="0"/>
        <v>65</v>
      </c>
      <c r="B77" s="146">
        <v>8670</v>
      </c>
      <c r="C77" s="147" t="s">
        <v>146</v>
      </c>
      <c r="D77" s="138">
        <v>0</v>
      </c>
      <c r="E77" s="22"/>
      <c r="J77" s="145"/>
    </row>
    <row r="78" spans="1:10">
      <c r="A78" s="133">
        <f t="shared" si="0"/>
        <v>66</v>
      </c>
      <c r="B78" s="3"/>
      <c r="C78" s="70" t="s">
        <v>147</v>
      </c>
      <c r="D78" s="140">
        <f>SUM(D73:D77)</f>
        <v>4140.587861285002</v>
      </c>
      <c r="E78" s="21"/>
      <c r="F78" s="69"/>
      <c r="G78" s="69"/>
    </row>
    <row r="79" spans="1:10">
      <c r="A79" s="133">
        <f t="shared" ref="A79:A142" si="1">A78+1</f>
        <v>67</v>
      </c>
      <c r="B79" s="3"/>
      <c r="C79" s="7"/>
      <c r="D79" s="22"/>
      <c r="E79" s="22"/>
    </row>
    <row r="80" spans="1:10">
      <c r="A80" s="133">
        <f t="shared" si="1"/>
        <v>68</v>
      </c>
      <c r="B80" s="3"/>
      <c r="C80" s="142" t="s">
        <v>148</v>
      </c>
      <c r="D80" s="49"/>
      <c r="E80" s="49"/>
    </row>
    <row r="81" spans="1:6">
      <c r="A81" s="133">
        <f t="shared" si="1"/>
        <v>69</v>
      </c>
      <c r="B81" s="100">
        <v>8001</v>
      </c>
      <c r="C81" s="101" t="s">
        <v>149</v>
      </c>
      <c r="D81" s="137">
        <f>'C.2.2-F 09'!P32</f>
        <v>0</v>
      </c>
      <c r="E81" s="137"/>
    </row>
    <row r="82" spans="1:6">
      <c r="A82" s="133">
        <f t="shared" si="1"/>
        <v>70</v>
      </c>
      <c r="B82" s="100">
        <v>8010</v>
      </c>
      <c r="C82" t="s">
        <v>150</v>
      </c>
      <c r="D82" s="149">
        <f>'C.2.2-F 09'!P33</f>
        <v>98008.509707316742</v>
      </c>
      <c r="E82" s="137"/>
    </row>
    <row r="83" spans="1:6">
      <c r="A83" s="133">
        <f t="shared" si="1"/>
        <v>71</v>
      </c>
      <c r="B83" s="135">
        <v>8040</v>
      </c>
      <c r="C83" s="51" t="s">
        <v>151</v>
      </c>
      <c r="D83" s="149">
        <f>'C.2.2-F 09'!P34</f>
        <v>45028264.064531408</v>
      </c>
      <c r="E83" s="22"/>
      <c r="F83" s="22"/>
    </row>
    <row r="84" spans="1:6">
      <c r="A84" s="133">
        <f t="shared" si="1"/>
        <v>72</v>
      </c>
      <c r="B84" s="135">
        <v>8045</v>
      </c>
      <c r="C84" s="51" t="s">
        <v>152</v>
      </c>
      <c r="D84" s="22">
        <v>0</v>
      </c>
      <c r="E84" s="22"/>
      <c r="F84" s="22"/>
    </row>
    <row r="85" spans="1:6">
      <c r="A85" s="133">
        <f t="shared" si="1"/>
        <v>73</v>
      </c>
      <c r="B85" s="100">
        <v>8050</v>
      </c>
      <c r="C85" s="101" t="s">
        <v>153</v>
      </c>
      <c r="D85" s="149">
        <f>'C.2.2-F 09'!P35</f>
        <v>-31349.159344507909</v>
      </c>
      <c r="E85" s="22"/>
      <c r="F85" s="22"/>
    </row>
    <row r="86" spans="1:6">
      <c r="A86" s="133">
        <f t="shared" si="1"/>
        <v>74</v>
      </c>
      <c r="B86" s="135">
        <v>8051</v>
      </c>
      <c r="C86" s="51" t="s">
        <v>154</v>
      </c>
      <c r="D86" s="149">
        <f>'C.2.2-F 09'!P36</f>
        <v>48172789.797176644</v>
      </c>
      <c r="E86" s="22"/>
      <c r="F86" s="22"/>
    </row>
    <row r="87" spans="1:6">
      <c r="A87" s="133">
        <f t="shared" si="1"/>
        <v>75</v>
      </c>
      <c r="B87" s="135">
        <v>8052</v>
      </c>
      <c r="C87" s="51" t="s">
        <v>155</v>
      </c>
      <c r="D87" s="149">
        <f>'C.2.2-F 09'!P37</f>
        <v>23895123.3854452</v>
      </c>
      <c r="E87" s="22"/>
      <c r="F87" s="22"/>
    </row>
    <row r="88" spans="1:6">
      <c r="A88" s="133">
        <f t="shared" si="1"/>
        <v>76</v>
      </c>
      <c r="B88" s="135">
        <v>8053</v>
      </c>
      <c r="C88" s="51" t="s">
        <v>156</v>
      </c>
      <c r="D88" s="149">
        <f>'C.2.2-F 09'!P38</f>
        <v>4334292.1910199849</v>
      </c>
      <c r="E88" s="22"/>
      <c r="F88" s="22"/>
    </row>
    <row r="89" spans="1:6">
      <c r="A89" s="133">
        <f t="shared" si="1"/>
        <v>77</v>
      </c>
      <c r="B89" s="135">
        <v>8054</v>
      </c>
      <c r="C89" s="51" t="s">
        <v>157</v>
      </c>
      <c r="D89" s="149">
        <f>'C.2.2-F 09'!P39</f>
        <v>4373421.2640433908</v>
      </c>
      <c r="E89" s="22"/>
      <c r="F89" s="22"/>
    </row>
    <row r="90" spans="1:6">
      <c r="A90" s="133">
        <f t="shared" si="1"/>
        <v>78</v>
      </c>
      <c r="B90" s="135">
        <v>8057</v>
      </c>
      <c r="C90" s="51" t="s">
        <v>158</v>
      </c>
      <c r="D90" s="22">
        <v>0</v>
      </c>
      <c r="E90" s="22"/>
      <c r="F90" s="22"/>
    </row>
    <row r="91" spans="1:6">
      <c r="A91" s="133">
        <f t="shared" si="1"/>
        <v>79</v>
      </c>
      <c r="B91" s="135">
        <v>8058</v>
      </c>
      <c r="C91" s="51" t="s">
        <v>159</v>
      </c>
      <c r="D91" s="149">
        <f>'C.2.2-F 09'!P40</f>
        <v>-2890436.8118652944</v>
      </c>
      <c r="E91" s="22"/>
      <c r="F91" s="22"/>
    </row>
    <row r="92" spans="1:6">
      <c r="A92" s="133">
        <f t="shared" si="1"/>
        <v>80</v>
      </c>
      <c r="B92" s="135">
        <v>8059</v>
      </c>
      <c r="C92" s="51" t="s">
        <v>160</v>
      </c>
      <c r="D92" s="149">
        <f>'C.2.2-F 09'!P41</f>
        <v>-82419896.316314727</v>
      </c>
      <c r="E92" s="22"/>
      <c r="F92" s="22"/>
    </row>
    <row r="93" spans="1:6">
      <c r="A93" s="133">
        <f t="shared" si="1"/>
        <v>81</v>
      </c>
      <c r="B93" s="135">
        <v>8060</v>
      </c>
      <c r="C93" s="51" t="s">
        <v>161</v>
      </c>
      <c r="D93" s="149">
        <f>'C.2.2-F 09'!P42</f>
        <v>2017827.9456554416</v>
      </c>
      <c r="E93" s="22"/>
      <c r="F93" s="22"/>
    </row>
    <row r="94" spans="1:6">
      <c r="A94" s="133">
        <f t="shared" si="1"/>
        <v>82</v>
      </c>
      <c r="B94" s="135">
        <v>8081</v>
      </c>
      <c r="C94" s="51" t="s">
        <v>162</v>
      </c>
      <c r="D94" s="149">
        <f>'C.2.2-F 09'!P43</f>
        <v>14196428.651186859</v>
      </c>
      <c r="E94" s="22"/>
      <c r="F94" s="22"/>
    </row>
    <row r="95" spans="1:6">
      <c r="A95" s="133">
        <f t="shared" si="1"/>
        <v>83</v>
      </c>
      <c r="B95" s="135">
        <v>8082</v>
      </c>
      <c r="C95" s="51" t="s">
        <v>163</v>
      </c>
      <c r="D95" s="149">
        <f>'C.2.2-F 09'!P44</f>
        <v>-11565589.444757191</v>
      </c>
      <c r="E95" s="22"/>
      <c r="F95" s="22"/>
    </row>
    <row r="96" spans="1:6">
      <c r="A96" s="133">
        <f t="shared" si="1"/>
        <v>84</v>
      </c>
      <c r="B96" s="100">
        <v>8110</v>
      </c>
      <c r="C96" s="95" t="s">
        <v>164</v>
      </c>
      <c r="D96" s="22">
        <v>0</v>
      </c>
      <c r="E96" s="22"/>
      <c r="F96" s="22"/>
    </row>
    <row r="97" spans="1:10">
      <c r="A97" s="133">
        <f t="shared" si="1"/>
        <v>85</v>
      </c>
      <c r="B97" s="135">
        <v>8120</v>
      </c>
      <c r="C97" s="51" t="s">
        <v>165</v>
      </c>
      <c r="D97" s="149">
        <f>'C.2.2-F 09'!P45</f>
        <v>-11533.489346341779</v>
      </c>
      <c r="E97" s="22"/>
      <c r="F97" s="22"/>
    </row>
    <row r="98" spans="1:10">
      <c r="A98" s="133">
        <f t="shared" si="1"/>
        <v>86</v>
      </c>
      <c r="B98" s="135">
        <v>8130</v>
      </c>
      <c r="C98" s="51" t="s">
        <v>232</v>
      </c>
      <c r="D98" s="22">
        <v>0</v>
      </c>
      <c r="E98" s="22"/>
      <c r="F98" s="22"/>
    </row>
    <row r="99" spans="1:10">
      <c r="A99" s="133">
        <f t="shared" si="1"/>
        <v>87</v>
      </c>
      <c r="B99" s="100">
        <v>8580</v>
      </c>
      <c r="C99" s="95" t="s">
        <v>166</v>
      </c>
      <c r="D99" s="149">
        <f>'C.2.2-F 09'!P46</f>
        <v>32676305.74933539</v>
      </c>
      <c r="E99" s="22"/>
    </row>
    <row r="100" spans="1:10">
      <c r="A100" s="133">
        <f t="shared" si="1"/>
        <v>88</v>
      </c>
      <c r="B100" s="3"/>
      <c r="C100" s="150" t="s">
        <v>167</v>
      </c>
      <c r="D100" s="140">
        <f>SUM(D81:D99)</f>
        <v>77873656.336473569</v>
      </c>
      <c r="E100" s="21"/>
      <c r="F100" s="69"/>
      <c r="G100" s="69"/>
    </row>
    <row r="101" spans="1:10">
      <c r="A101" s="133">
        <f t="shared" si="1"/>
        <v>89</v>
      </c>
      <c r="B101" s="3"/>
    </row>
    <row r="102" spans="1:10">
      <c r="A102" s="133">
        <f t="shared" si="1"/>
        <v>90</v>
      </c>
      <c r="B102" s="3"/>
      <c r="C102" s="142" t="s">
        <v>168</v>
      </c>
    </row>
    <row r="103" spans="1:10">
      <c r="A103" s="133">
        <f t="shared" si="1"/>
        <v>91</v>
      </c>
      <c r="B103" s="135">
        <v>8700</v>
      </c>
      <c r="C103" s="136" t="s">
        <v>169</v>
      </c>
      <c r="D103" s="137">
        <f>'C.2.2-F 09'!P70</f>
        <v>1066179.4248226888</v>
      </c>
      <c r="E103" s="137"/>
      <c r="J103" s="145"/>
    </row>
    <row r="104" spans="1:10">
      <c r="A104" s="133">
        <f t="shared" si="1"/>
        <v>92</v>
      </c>
      <c r="B104" s="135">
        <v>8710</v>
      </c>
      <c r="C104" s="136" t="s">
        <v>170</v>
      </c>
      <c r="D104" s="149">
        <f>'C.2.2-F 09'!P71</f>
        <v>398.30229242484671</v>
      </c>
      <c r="E104" s="22"/>
      <c r="J104" s="145"/>
    </row>
    <row r="105" spans="1:10">
      <c r="A105" s="133">
        <f t="shared" si="1"/>
        <v>93</v>
      </c>
      <c r="B105" s="135">
        <v>8711</v>
      </c>
      <c r="C105" s="51" t="s">
        <v>171</v>
      </c>
      <c r="D105" s="149">
        <f>'C.2.2-F 09'!P72</f>
        <v>108130.06033341786</v>
      </c>
      <c r="E105" s="22"/>
      <c r="J105" s="145"/>
    </row>
    <row r="106" spans="1:10">
      <c r="A106" s="133">
        <f t="shared" si="1"/>
        <v>94</v>
      </c>
      <c r="B106" s="135">
        <v>8720</v>
      </c>
      <c r="C106" s="136" t="s">
        <v>172</v>
      </c>
      <c r="D106" s="149">
        <f>'C.2.2-F 09'!P73</f>
        <v>0</v>
      </c>
      <c r="E106" s="22"/>
    </row>
    <row r="107" spans="1:10">
      <c r="A107" s="133">
        <f t="shared" si="1"/>
        <v>95</v>
      </c>
      <c r="B107" s="135">
        <v>8740</v>
      </c>
      <c r="C107" s="136" t="s">
        <v>173</v>
      </c>
      <c r="D107" s="149">
        <f>'C.2.2-F 09'!P74</f>
        <v>5954352.9625620693</v>
      </c>
      <c r="E107" s="22"/>
      <c r="J107" s="145"/>
    </row>
    <row r="108" spans="1:10">
      <c r="A108" s="133">
        <f t="shared" si="1"/>
        <v>96</v>
      </c>
      <c r="B108" s="135">
        <v>8750</v>
      </c>
      <c r="C108" s="136" t="s">
        <v>174</v>
      </c>
      <c r="D108" s="149">
        <f>'C.2.2-F 09'!P75</f>
        <v>501120.33816182142</v>
      </c>
      <c r="E108" s="22"/>
      <c r="J108" s="145"/>
    </row>
    <row r="109" spans="1:10">
      <c r="A109" s="133">
        <f t="shared" si="1"/>
        <v>97</v>
      </c>
      <c r="B109" s="135">
        <v>8760</v>
      </c>
      <c r="C109" s="136" t="s">
        <v>175</v>
      </c>
      <c r="D109" s="149">
        <f>'C.2.2-F 09'!P76</f>
        <v>27244.434147245847</v>
      </c>
      <c r="E109" s="22"/>
      <c r="J109" s="145"/>
    </row>
    <row r="110" spans="1:10">
      <c r="A110" s="133">
        <f t="shared" si="1"/>
        <v>98</v>
      </c>
      <c r="B110" s="135">
        <v>8770</v>
      </c>
      <c r="C110" s="136" t="s">
        <v>176</v>
      </c>
      <c r="D110" s="149">
        <f>'C.2.2-F 09'!P77</f>
        <v>3528.6627085332993</v>
      </c>
      <c r="E110" s="22"/>
      <c r="J110" s="145"/>
    </row>
    <row r="111" spans="1:10">
      <c r="A111" s="133">
        <f t="shared" si="1"/>
        <v>99</v>
      </c>
      <c r="B111" s="135">
        <v>8780</v>
      </c>
      <c r="C111" s="136" t="s">
        <v>177</v>
      </c>
      <c r="D111" s="149">
        <f>'C.2.2-F 09'!P78</f>
        <v>1085246.8875980368</v>
      </c>
      <c r="E111" s="22"/>
      <c r="J111" s="145"/>
    </row>
    <row r="112" spans="1:10">
      <c r="A112" s="133">
        <f t="shared" si="1"/>
        <v>100</v>
      </c>
      <c r="B112" s="135">
        <v>8790</v>
      </c>
      <c r="C112" s="136" t="s">
        <v>178</v>
      </c>
      <c r="D112" s="149">
        <f>'C.2.2-F 09'!P79</f>
        <v>0</v>
      </c>
      <c r="E112" s="22"/>
      <c r="J112" s="145"/>
    </row>
    <row r="113" spans="1:10">
      <c r="A113" s="133">
        <f t="shared" si="1"/>
        <v>101</v>
      </c>
      <c r="B113" s="135">
        <v>8800</v>
      </c>
      <c r="C113" s="136" t="s">
        <v>179</v>
      </c>
      <c r="D113" s="149">
        <f>'C.2.2-F 09'!P80</f>
        <v>1763.1729030686151</v>
      </c>
      <c r="E113" s="22"/>
      <c r="J113" s="145"/>
    </row>
    <row r="114" spans="1:10">
      <c r="A114" s="133">
        <f t="shared" si="1"/>
        <v>102</v>
      </c>
      <c r="B114" s="135">
        <v>8810</v>
      </c>
      <c r="C114" s="136" t="s">
        <v>139</v>
      </c>
      <c r="D114" s="149">
        <f>'C.2.2-F 09'!P81</f>
        <v>360992.15024819149</v>
      </c>
      <c r="E114" s="22"/>
      <c r="J114" s="145"/>
    </row>
    <row r="115" spans="1:10">
      <c r="A115" s="133">
        <f t="shared" si="1"/>
        <v>103</v>
      </c>
      <c r="B115" s="3"/>
      <c r="C115" s="70" t="s">
        <v>180</v>
      </c>
      <c r="D115" s="140">
        <f>SUM(D103:D114)</f>
        <v>9108956.3957774993</v>
      </c>
      <c r="E115" s="21"/>
      <c r="F115" s="69"/>
      <c r="G115" s="69"/>
    </row>
    <row r="116" spans="1:10">
      <c r="A116" s="133">
        <f t="shared" si="1"/>
        <v>104</v>
      </c>
      <c r="B116" s="3"/>
    </row>
    <row r="117" spans="1:10">
      <c r="A117" s="133">
        <f t="shared" si="1"/>
        <v>105</v>
      </c>
      <c r="B117" s="6"/>
      <c r="C117" s="142" t="s">
        <v>181</v>
      </c>
      <c r="D117" s="49"/>
      <c r="E117" s="49"/>
    </row>
    <row r="118" spans="1:10">
      <c r="A118" s="133">
        <f t="shared" si="1"/>
        <v>106</v>
      </c>
      <c r="B118" s="135">
        <v>8850</v>
      </c>
      <c r="C118" s="136" t="s">
        <v>169</v>
      </c>
      <c r="D118" s="137">
        <f>'C.2.2-F 09'!P82</f>
        <v>179.81142107718028</v>
      </c>
      <c r="E118" s="137"/>
      <c r="H118" s="145"/>
      <c r="J118" s="145"/>
    </row>
    <row r="119" spans="1:10">
      <c r="A119" s="133">
        <f t="shared" si="1"/>
        <v>107</v>
      </c>
      <c r="B119" s="135">
        <v>8860</v>
      </c>
      <c r="C119" s="136" t="s">
        <v>142</v>
      </c>
      <c r="D119" s="149">
        <f>'C.2.2-F 09'!P83</f>
        <v>0</v>
      </c>
      <c r="E119" s="22"/>
      <c r="H119" s="145"/>
      <c r="J119" s="145"/>
    </row>
    <row r="120" spans="1:10">
      <c r="A120" s="133">
        <f t="shared" si="1"/>
        <v>108</v>
      </c>
      <c r="B120" s="135">
        <v>8870</v>
      </c>
      <c r="C120" s="136" t="s">
        <v>143</v>
      </c>
      <c r="D120" s="149">
        <f>'C.2.2-F 09'!P84</f>
        <v>18047.3448930179</v>
      </c>
      <c r="E120" s="22"/>
      <c r="H120" s="145"/>
      <c r="J120" s="145"/>
    </row>
    <row r="121" spans="1:10">
      <c r="A121" s="133">
        <f t="shared" si="1"/>
        <v>109</v>
      </c>
      <c r="B121" s="135">
        <v>8890</v>
      </c>
      <c r="C121" s="136" t="s">
        <v>174</v>
      </c>
      <c r="D121" s="149">
        <f>'C.2.2-F 09'!P85</f>
        <v>60064.995009882754</v>
      </c>
      <c r="E121" s="22"/>
      <c r="H121" s="145"/>
      <c r="J121" s="145"/>
    </row>
    <row r="122" spans="1:10">
      <c r="A122" s="133">
        <f t="shared" si="1"/>
        <v>110</v>
      </c>
      <c r="B122" s="135">
        <v>8900</v>
      </c>
      <c r="C122" s="136" t="s">
        <v>175</v>
      </c>
      <c r="D122" s="149">
        <f>'C.2.2-F 09'!P86</f>
        <v>0</v>
      </c>
      <c r="E122" s="22"/>
      <c r="H122" s="145"/>
      <c r="J122" s="145"/>
    </row>
    <row r="123" spans="1:10">
      <c r="A123" s="133">
        <f t="shared" si="1"/>
        <v>111</v>
      </c>
      <c r="B123" s="135">
        <v>8910</v>
      </c>
      <c r="C123" s="136" t="s">
        <v>176</v>
      </c>
      <c r="D123" s="149">
        <f>'C.2.2-F 09'!P87</f>
        <v>2164.4742289168194</v>
      </c>
      <c r="E123" s="22"/>
      <c r="H123" s="145"/>
      <c r="J123" s="145"/>
    </row>
    <row r="124" spans="1:10">
      <c r="A124" s="133">
        <f t="shared" si="1"/>
        <v>112</v>
      </c>
      <c r="B124" s="135">
        <v>8920</v>
      </c>
      <c r="C124" s="136" t="s">
        <v>182</v>
      </c>
      <c r="D124" s="149">
        <f>'C.2.2-F 09'!P88</f>
        <v>1286.6462193302052</v>
      </c>
      <c r="E124" s="22"/>
      <c r="H124" s="145"/>
      <c r="J124" s="145"/>
    </row>
    <row r="125" spans="1:10">
      <c r="A125" s="133">
        <f t="shared" si="1"/>
        <v>113</v>
      </c>
      <c r="B125" s="135">
        <v>8930</v>
      </c>
      <c r="C125" s="136" t="s">
        <v>183</v>
      </c>
      <c r="D125" s="149">
        <f>'C.2.2-F 09'!P89</f>
        <v>8086.7084515030829</v>
      </c>
      <c r="E125" s="22"/>
      <c r="H125" s="145"/>
      <c r="J125" s="145"/>
    </row>
    <row r="126" spans="1:10">
      <c r="A126" s="133">
        <f t="shared" si="1"/>
        <v>114</v>
      </c>
      <c r="B126" s="135">
        <v>8940</v>
      </c>
      <c r="C126" s="136" t="s">
        <v>146</v>
      </c>
      <c r="D126" s="149">
        <f>'C.2.2-F 09'!P90</f>
        <v>913.01473427814267</v>
      </c>
      <c r="E126" s="22"/>
      <c r="H126" s="145"/>
      <c r="J126" s="145"/>
    </row>
    <row r="127" spans="1:10">
      <c r="A127" s="133">
        <f t="shared" si="1"/>
        <v>115</v>
      </c>
      <c r="B127" s="151" t="s">
        <v>233</v>
      </c>
      <c r="C127" s="136" t="s">
        <v>184</v>
      </c>
      <c r="D127" s="78">
        <v>0</v>
      </c>
      <c r="E127" s="22"/>
      <c r="H127" s="145"/>
    </row>
    <row r="128" spans="1:10">
      <c r="A128" s="133">
        <f t="shared" si="1"/>
        <v>116</v>
      </c>
      <c r="B128" s="3"/>
      <c r="C128" s="70" t="s">
        <v>185</v>
      </c>
      <c r="D128" s="21">
        <f>SUM(D118:D127)</f>
        <v>90742.994958006078</v>
      </c>
      <c r="E128" s="21"/>
      <c r="F128" s="69"/>
      <c r="G128" s="69"/>
    </row>
    <row r="129" spans="1:10">
      <c r="A129" s="133">
        <f t="shared" si="1"/>
        <v>117</v>
      </c>
      <c r="B129" s="3"/>
      <c r="C129" s="70"/>
      <c r="D129" s="22"/>
      <c r="E129" s="22"/>
    </row>
    <row r="130" spans="1:10">
      <c r="A130" s="133">
        <f t="shared" si="1"/>
        <v>118</v>
      </c>
      <c r="B130" s="6"/>
      <c r="C130" s="142" t="s">
        <v>186</v>
      </c>
      <c r="D130" s="49"/>
      <c r="E130" s="49"/>
    </row>
    <row r="131" spans="1:10">
      <c r="A131" s="133">
        <f t="shared" si="1"/>
        <v>119</v>
      </c>
      <c r="B131" s="135">
        <v>9010</v>
      </c>
      <c r="C131" s="136" t="s">
        <v>187</v>
      </c>
      <c r="D131" s="137">
        <f>'C.2.2-F 09'!P91</f>
        <v>0</v>
      </c>
      <c r="E131" s="137"/>
      <c r="H131" s="145"/>
      <c r="J131" s="145"/>
    </row>
    <row r="132" spans="1:10">
      <c r="A132" s="133">
        <f t="shared" si="1"/>
        <v>120</v>
      </c>
      <c r="B132" s="135">
        <v>9020</v>
      </c>
      <c r="C132" s="136" t="s">
        <v>188</v>
      </c>
      <c r="D132" s="149">
        <f>'C.2.2-F 09'!P92</f>
        <v>928104.73931829922</v>
      </c>
      <c r="E132" s="22"/>
      <c r="H132" s="145"/>
      <c r="J132" s="145"/>
    </row>
    <row r="133" spans="1:10">
      <c r="A133" s="133">
        <f t="shared" si="1"/>
        <v>121</v>
      </c>
      <c r="B133" s="135">
        <v>9030</v>
      </c>
      <c r="C133" s="136" t="s">
        <v>189</v>
      </c>
      <c r="D133" s="149">
        <f>'C.2.2-F 09'!P93</f>
        <v>1107950.1547172442</v>
      </c>
      <c r="E133" s="22"/>
      <c r="H133" s="145"/>
      <c r="J133" s="145"/>
    </row>
    <row r="134" spans="1:10">
      <c r="A134" s="133">
        <f t="shared" si="1"/>
        <v>122</v>
      </c>
      <c r="B134" s="135">
        <v>9040</v>
      </c>
      <c r="C134" s="136" t="s">
        <v>190</v>
      </c>
      <c r="D134" s="149">
        <f>'C.2.2-F 09'!P94</f>
        <v>363457.88190960902</v>
      </c>
      <c r="E134" s="22"/>
      <c r="H134" s="145"/>
      <c r="J134" s="145"/>
    </row>
    <row r="135" spans="1:10">
      <c r="A135" s="133">
        <f t="shared" si="1"/>
        <v>123</v>
      </c>
      <c r="B135" s="6"/>
      <c r="C135" s="70" t="s">
        <v>191</v>
      </c>
      <c r="D135" s="140">
        <f>SUM(D131:D134)</f>
        <v>2399512.7759451522</v>
      </c>
      <c r="E135" s="21"/>
      <c r="F135" s="69"/>
      <c r="G135" s="69"/>
      <c r="H135" s="145"/>
    </row>
    <row r="136" spans="1:10">
      <c r="A136" s="133">
        <f t="shared" si="1"/>
        <v>124</v>
      </c>
      <c r="B136" s="3"/>
    </row>
    <row r="137" spans="1:10">
      <c r="A137" s="133">
        <f t="shared" si="1"/>
        <v>125</v>
      </c>
      <c r="B137" s="3"/>
      <c r="C137" s="142" t="s">
        <v>192</v>
      </c>
    </row>
    <row r="138" spans="1:10">
      <c r="A138" s="133">
        <f t="shared" si="1"/>
        <v>126</v>
      </c>
      <c r="B138" s="135">
        <v>9070</v>
      </c>
      <c r="C138" s="136" t="s">
        <v>187</v>
      </c>
      <c r="D138" s="137">
        <v>0</v>
      </c>
      <c r="E138" s="137"/>
      <c r="H138" s="145"/>
      <c r="J138" s="145"/>
    </row>
    <row r="139" spans="1:10">
      <c r="A139" s="133">
        <f t="shared" si="1"/>
        <v>127</v>
      </c>
      <c r="B139" s="135">
        <v>9080</v>
      </c>
      <c r="C139" s="136" t="s">
        <v>193</v>
      </c>
      <c r="D139" s="22">
        <v>0</v>
      </c>
      <c r="E139" s="22"/>
      <c r="H139" s="145"/>
      <c r="J139" s="145"/>
    </row>
    <row r="140" spans="1:10">
      <c r="A140" s="133">
        <f t="shared" si="1"/>
        <v>128</v>
      </c>
      <c r="B140" s="135">
        <v>9090</v>
      </c>
      <c r="C140" s="136" t="s">
        <v>194</v>
      </c>
      <c r="D140" s="149">
        <f>'C.2.2-F 09'!P95</f>
        <v>175015.1084149479</v>
      </c>
      <c r="E140" s="22"/>
      <c r="H140" s="145"/>
      <c r="J140" s="145"/>
    </row>
    <row r="141" spans="1:10">
      <c r="A141" s="133">
        <f t="shared" si="1"/>
        <v>129</v>
      </c>
      <c r="B141" s="135">
        <v>9100</v>
      </c>
      <c r="C141" s="136" t="s">
        <v>195</v>
      </c>
      <c r="D141" s="149">
        <f>'C.2.2-F 09'!P96</f>
        <v>116.20216219769976</v>
      </c>
      <c r="E141" s="22"/>
      <c r="H141" s="145"/>
      <c r="J141" s="145"/>
    </row>
    <row r="142" spans="1:10">
      <c r="A142" s="133">
        <f t="shared" si="1"/>
        <v>130</v>
      </c>
      <c r="B142" s="6"/>
      <c r="C142" s="70" t="s">
        <v>196</v>
      </c>
      <c r="D142" s="140">
        <f>SUM(D138:D141)</f>
        <v>175131.3105771456</v>
      </c>
      <c r="E142" s="21"/>
      <c r="F142" s="69"/>
      <c r="G142" s="69"/>
    </row>
    <row r="143" spans="1:10">
      <c r="A143" s="133">
        <f t="shared" ref="A143:A177" si="2">A142+1</f>
        <v>131</v>
      </c>
      <c r="B143" s="6"/>
      <c r="C143" s="70"/>
      <c r="D143" s="22"/>
      <c r="E143" s="22"/>
    </row>
    <row r="144" spans="1:10">
      <c r="A144" s="133">
        <f t="shared" si="2"/>
        <v>132</v>
      </c>
      <c r="B144" s="6"/>
      <c r="C144" s="142" t="s">
        <v>67</v>
      </c>
      <c r="D144" s="49"/>
      <c r="E144" s="49"/>
    </row>
    <row r="145" spans="1:10">
      <c r="A145" s="133">
        <f t="shared" si="2"/>
        <v>133</v>
      </c>
      <c r="B145" s="135">
        <v>9110</v>
      </c>
      <c r="C145" s="136" t="s">
        <v>187</v>
      </c>
      <c r="D145" s="137">
        <f>'C.2.2-F 09'!P97</f>
        <v>221194.11481836322</v>
      </c>
      <c r="E145" s="137"/>
      <c r="H145" s="145"/>
      <c r="J145" s="145"/>
    </row>
    <row r="146" spans="1:10">
      <c r="A146" s="133">
        <f t="shared" si="2"/>
        <v>134</v>
      </c>
      <c r="B146" s="135">
        <v>9120</v>
      </c>
      <c r="C146" s="136" t="s">
        <v>197</v>
      </c>
      <c r="D146" s="149">
        <f>'C.2.2-F 09'!P98</f>
        <v>58954.974529856147</v>
      </c>
      <c r="E146" s="22"/>
      <c r="H146" s="145"/>
      <c r="J146" s="145"/>
    </row>
    <row r="147" spans="1:10">
      <c r="A147" s="133">
        <f t="shared" si="2"/>
        <v>135</v>
      </c>
      <c r="B147" s="135">
        <v>9130</v>
      </c>
      <c r="C147" s="136" t="s">
        <v>198</v>
      </c>
      <c r="D147" s="149">
        <f>'C.2.2-F 09'!P99</f>
        <v>47524.574822683928</v>
      </c>
      <c r="E147" s="22"/>
      <c r="H147" s="145"/>
      <c r="J147" s="145"/>
    </row>
    <row r="148" spans="1:10">
      <c r="A148" s="133">
        <f t="shared" si="2"/>
        <v>136</v>
      </c>
      <c r="B148" s="135">
        <v>9160</v>
      </c>
      <c r="C148" s="136" t="s">
        <v>199</v>
      </c>
      <c r="D148" s="22">
        <v>0</v>
      </c>
      <c r="E148" s="22"/>
      <c r="H148" s="145"/>
      <c r="J148" s="145"/>
    </row>
    <row r="149" spans="1:10">
      <c r="A149" s="133">
        <f t="shared" si="2"/>
        <v>137</v>
      </c>
      <c r="B149" s="6"/>
      <c r="C149" s="70" t="s">
        <v>200</v>
      </c>
      <c r="D149" s="140">
        <f>SUM(D145:D148)</f>
        <v>327673.66417090327</v>
      </c>
      <c r="E149" s="21"/>
      <c r="F149" s="69"/>
      <c r="G149" s="69"/>
    </row>
    <row r="150" spans="1:10">
      <c r="A150" s="133">
        <f t="shared" si="2"/>
        <v>138</v>
      </c>
      <c r="B150" s="3"/>
      <c r="D150" s="49"/>
      <c r="E150" s="49"/>
    </row>
    <row r="151" spans="1:10">
      <c r="A151" s="133">
        <f t="shared" si="2"/>
        <v>139</v>
      </c>
      <c r="B151" s="6"/>
      <c r="C151" s="142" t="s">
        <v>201</v>
      </c>
      <c r="D151" s="49"/>
      <c r="E151" s="49"/>
      <c r="H151" s="145"/>
    </row>
    <row r="152" spans="1:10">
      <c r="A152" s="133">
        <f t="shared" si="2"/>
        <v>140</v>
      </c>
      <c r="B152" s="135">
        <v>9200</v>
      </c>
      <c r="C152" s="136" t="s">
        <v>202</v>
      </c>
      <c r="D152" s="21">
        <f>'C.2.2-F 09'!P100</f>
        <v>186999.36451790819</v>
      </c>
      <c r="E152" s="137"/>
      <c r="H152" s="145"/>
      <c r="J152" s="145"/>
    </row>
    <row r="153" spans="1:10">
      <c r="A153" s="133">
        <f t="shared" si="2"/>
        <v>141</v>
      </c>
      <c r="B153" s="135">
        <v>9210</v>
      </c>
      <c r="C153" s="136" t="s">
        <v>203</v>
      </c>
      <c r="D153" s="149">
        <f>'C.2.2-F 09'!P101</f>
        <v>8473.4698661444345</v>
      </c>
      <c r="E153" s="22"/>
      <c r="H153" s="145"/>
      <c r="J153" s="145"/>
    </row>
    <row r="154" spans="1:10">
      <c r="A154" s="133">
        <f t="shared" si="2"/>
        <v>142</v>
      </c>
      <c r="B154" s="135">
        <v>9220</v>
      </c>
      <c r="C154" s="136" t="s">
        <v>204</v>
      </c>
      <c r="D154" s="149">
        <f>'C.2.2-F 09'!P102</f>
        <v>15463672.796832643</v>
      </c>
      <c r="E154" s="22"/>
      <c r="H154" s="145"/>
      <c r="J154" s="145"/>
    </row>
    <row r="155" spans="1:10">
      <c r="A155" s="133">
        <f t="shared" si="2"/>
        <v>143</v>
      </c>
      <c r="B155" s="135">
        <v>9230</v>
      </c>
      <c r="C155" s="136" t="s">
        <v>205</v>
      </c>
      <c r="D155" s="149">
        <f>'C.2.2-F 09'!P103</f>
        <v>257301.81802105525</v>
      </c>
      <c r="E155" s="22"/>
      <c r="H155" s="145"/>
      <c r="J155" s="145"/>
    </row>
    <row r="156" spans="1:10">
      <c r="A156" s="133">
        <f t="shared" si="2"/>
        <v>144</v>
      </c>
      <c r="B156" s="135">
        <v>9240</v>
      </c>
      <c r="C156" s="136" t="s">
        <v>206</v>
      </c>
      <c r="D156" s="149">
        <f>'C.2.2-F 09'!P104</f>
        <v>72573.430469133338</v>
      </c>
      <c r="E156" s="22"/>
      <c r="H156" s="145"/>
      <c r="J156" s="145"/>
    </row>
    <row r="157" spans="1:10">
      <c r="A157" s="133">
        <f t="shared" si="2"/>
        <v>145</v>
      </c>
      <c r="B157" s="135">
        <v>9250</v>
      </c>
      <c r="C157" s="136" t="s">
        <v>207</v>
      </c>
      <c r="D157" s="149">
        <f>'C.2.2-F 09'!P105</f>
        <v>65994.044220792639</v>
      </c>
      <c r="E157" s="22"/>
      <c r="H157" s="145"/>
      <c r="J157" s="145"/>
    </row>
    <row r="158" spans="1:10">
      <c r="A158" s="133">
        <f t="shared" si="2"/>
        <v>146</v>
      </c>
      <c r="B158" s="135">
        <v>9260</v>
      </c>
      <c r="C158" s="136" t="s">
        <v>208</v>
      </c>
      <c r="D158" s="149">
        <f>'C.2.2-F 09'!P106</f>
        <v>1794417.2374936095</v>
      </c>
      <c r="E158" s="22"/>
      <c r="H158" s="145"/>
      <c r="J158" s="145"/>
    </row>
    <row r="159" spans="1:10">
      <c r="A159" s="133">
        <f t="shared" si="2"/>
        <v>147</v>
      </c>
      <c r="B159" s="135">
        <v>9270</v>
      </c>
      <c r="C159" s="136" t="s">
        <v>209</v>
      </c>
      <c r="D159" s="149">
        <f>'C.2.2-F 09'!P107</f>
        <v>1091.1456125372256</v>
      </c>
      <c r="E159" s="22"/>
      <c r="H159" s="145"/>
      <c r="J159" s="145"/>
    </row>
    <row r="160" spans="1:10">
      <c r="A160" s="133">
        <f t="shared" si="2"/>
        <v>148</v>
      </c>
      <c r="B160" s="135">
        <v>9280</v>
      </c>
      <c r="C160" s="136" t="s">
        <v>210</v>
      </c>
      <c r="D160" s="149">
        <f>'C.2.2-F 09'!P108</f>
        <v>158729.09349454119</v>
      </c>
      <c r="E160" s="22"/>
      <c r="H160" s="145"/>
      <c r="J160" s="145"/>
    </row>
    <row r="161" spans="1:10">
      <c r="A161" s="133">
        <f t="shared" si="2"/>
        <v>149</v>
      </c>
      <c r="B161" s="152">
        <v>930.2</v>
      </c>
      <c r="C161" s="136" t="s">
        <v>211</v>
      </c>
      <c r="D161" s="149">
        <f>'C.2.2-F 09'!P109</f>
        <v>95809.425457897392</v>
      </c>
      <c r="E161" s="22"/>
      <c r="H161" s="145"/>
      <c r="J161" s="145"/>
    </row>
    <row r="162" spans="1:10">
      <c r="A162" s="133">
        <f t="shared" si="2"/>
        <v>150</v>
      </c>
      <c r="B162" s="100">
        <v>9310</v>
      </c>
      <c r="C162" s="101" t="s">
        <v>212</v>
      </c>
      <c r="D162" s="149">
        <f>'C.2.2-F 09'!P110</f>
        <v>1559.532923772982</v>
      </c>
      <c r="E162" s="22"/>
      <c r="H162" s="145"/>
      <c r="J162" s="145"/>
    </row>
    <row r="163" spans="1:10">
      <c r="A163" s="133">
        <f t="shared" si="2"/>
        <v>151</v>
      </c>
      <c r="B163" s="6"/>
      <c r="C163" s="70" t="s">
        <v>213</v>
      </c>
      <c r="D163" s="140">
        <f>SUM(D152:D162)</f>
        <v>18106621.358910035</v>
      </c>
      <c r="E163" s="21"/>
      <c r="F163" s="69"/>
      <c r="G163" s="69"/>
    </row>
    <row r="164" spans="1:10">
      <c r="A164" s="133">
        <f t="shared" si="2"/>
        <v>152</v>
      </c>
      <c r="B164" s="6"/>
      <c r="C164" s="49"/>
      <c r="D164" s="49"/>
      <c r="E164" s="49"/>
      <c r="H164" s="145"/>
    </row>
    <row r="165" spans="1:10">
      <c r="A165" s="133">
        <f t="shared" si="2"/>
        <v>153</v>
      </c>
      <c r="B165" s="6"/>
      <c r="C165" s="142" t="s">
        <v>214</v>
      </c>
      <c r="D165" s="49"/>
      <c r="E165" s="49"/>
      <c r="H165" s="145"/>
    </row>
    <row r="166" spans="1:10">
      <c r="A166" s="133">
        <f t="shared" si="2"/>
        <v>154</v>
      </c>
      <c r="B166" s="135">
        <v>9320</v>
      </c>
      <c r="C166" s="136" t="s">
        <v>234</v>
      </c>
      <c r="D166" s="153">
        <f>'C.2.2-F 09'!P111</f>
        <v>0</v>
      </c>
      <c r="E166" s="22"/>
      <c r="H166" s="145"/>
    </row>
    <row r="167" spans="1:10">
      <c r="A167" s="133">
        <f t="shared" si="2"/>
        <v>155</v>
      </c>
      <c r="B167" s="6"/>
      <c r="C167" s="70" t="s">
        <v>216</v>
      </c>
      <c r="D167" s="63">
        <f>SUM(D166:D166)</f>
        <v>0</v>
      </c>
      <c r="E167" s="63"/>
      <c r="H167" s="145"/>
    </row>
    <row r="168" spans="1:10">
      <c r="A168" s="133">
        <f t="shared" si="2"/>
        <v>156</v>
      </c>
      <c r="B168" s="3"/>
      <c r="H168" s="145"/>
    </row>
    <row r="169" spans="1:10">
      <c r="A169" s="133">
        <f t="shared" si="2"/>
        <v>157</v>
      </c>
      <c r="B169" s="6"/>
      <c r="C169" s="132" t="s">
        <v>217</v>
      </c>
      <c r="D169" s="21">
        <f>+D34+D50+D60+D70+D78+D100+D115+D128+D135+D142+D149+D163+D167</f>
        <v>109044302.73419569</v>
      </c>
      <c r="E169" s="21"/>
      <c r="F169">
        <f>'C.2.2-F 09'!Q117</f>
        <v>109044302.73419572</v>
      </c>
      <c r="G169">
        <f>D169-F169</f>
        <v>0</v>
      </c>
      <c r="H169" s="145"/>
      <c r="I169" s="85"/>
    </row>
    <row r="170" spans="1:10">
      <c r="A170" s="133">
        <f t="shared" si="2"/>
        <v>158</v>
      </c>
      <c r="B170" s="3"/>
      <c r="H170" s="145"/>
    </row>
    <row r="171" spans="1:10">
      <c r="A171" s="133">
        <f t="shared" si="2"/>
        <v>159</v>
      </c>
      <c r="B171" s="6" t="s">
        <v>235</v>
      </c>
      <c r="C171" s="51" t="s">
        <v>236</v>
      </c>
      <c r="D171" s="137">
        <f>'C.2.2-F 09'!P14+'C.2.2-F 09'!P15</f>
        <v>20604446.98537245</v>
      </c>
      <c r="E171" s="137"/>
      <c r="F171" s="69"/>
      <c r="G171" s="69"/>
      <c r="H171" s="145"/>
    </row>
    <row r="172" spans="1:10">
      <c r="A172" s="133">
        <f t="shared" si="2"/>
        <v>160</v>
      </c>
      <c r="B172" s="135">
        <v>4081</v>
      </c>
      <c r="C172" s="51" t="s">
        <v>220</v>
      </c>
      <c r="D172" s="149">
        <f>'C.2.2-F 09'!P16</f>
        <v>10326386.977940097</v>
      </c>
      <c r="E172" s="22"/>
      <c r="F172" s="69"/>
      <c r="G172" s="69"/>
      <c r="H172" s="145"/>
    </row>
    <row r="173" spans="1:10">
      <c r="A173" s="133">
        <f t="shared" si="2"/>
        <v>161</v>
      </c>
      <c r="B173" s="135">
        <v>4091</v>
      </c>
      <c r="C173" s="51" t="s">
        <v>222</v>
      </c>
      <c r="D173" s="149">
        <f>'C.2.2-F 09'!P12</f>
        <v>6290436.7297105677</v>
      </c>
      <c r="E173" s="22"/>
      <c r="F173" s="69"/>
      <c r="G173" s="69"/>
    </row>
    <row r="174" spans="1:10">
      <c r="A174" s="133">
        <f t="shared" si="2"/>
        <v>162</v>
      </c>
    </row>
    <row r="175" spans="1:10">
      <c r="A175" s="133">
        <f t="shared" si="2"/>
        <v>163</v>
      </c>
      <c r="B175" s="49"/>
      <c r="C175" s="51" t="s">
        <v>237</v>
      </c>
      <c r="D175" s="144">
        <f>+D169+SUM(D171:D173)</f>
        <v>146265573.42721879</v>
      </c>
      <c r="E175" s="137"/>
    </row>
    <row r="176" spans="1:10">
      <c r="A176" s="133">
        <f t="shared" si="2"/>
        <v>164</v>
      </c>
    </row>
    <row r="177" spans="1:5" ht="15.75" thickBot="1">
      <c r="A177" s="133">
        <f t="shared" si="2"/>
        <v>165</v>
      </c>
      <c r="B177" s="49"/>
      <c r="C177" s="51" t="s">
        <v>238</v>
      </c>
      <c r="D177" s="154">
        <f>(D28-D175)</f>
        <v>27201349.522450656</v>
      </c>
      <c r="E177" s="137"/>
    </row>
    <row r="178" spans="1:5" ht="15.75" thickTop="1"/>
    <row r="179" spans="1:5">
      <c r="B179" s="22"/>
    </row>
    <row r="180" spans="1:5">
      <c r="B180" s="22"/>
    </row>
    <row r="181" spans="1:5">
      <c r="B181" s="22"/>
    </row>
    <row r="182" spans="1:5">
      <c r="B182" s="22"/>
    </row>
    <row r="183" spans="1:5">
      <c r="B183" s="22"/>
    </row>
  </sheetData>
  <mergeCells count="4">
    <mergeCell ref="A1:D1"/>
    <mergeCell ref="A2:D2"/>
    <mergeCell ref="A3:D3"/>
    <mergeCell ref="A4:D4"/>
  </mergeCells>
  <printOptions horizontalCentered="1"/>
  <pageMargins left="0.81" right="0.7" top="0.71" bottom="0.94" header="0.5" footer="0.25"/>
  <pageSetup scale="73" fitToHeight="10" orientation="portrait" verticalDpi="300" r:id="rId1"/>
  <headerFooter alignWithMargins="0">
    <oddHeader>&amp;RCASE NO. 2021-00214
FR_16(8)(c) 
ATTACHMENT 1</oddHeader>
    <oddFooter>&amp;RSchedule &amp;A
Page &amp;P of &amp;N</oddFooter>
  </headerFooter>
  <rowBreaks count="1" manualBreakCount="1">
    <brk id="5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6F101-8C14-433D-83AD-5D2341E2FCB1}">
  <dimension ref="A1:U143"/>
  <sheetViews>
    <sheetView view="pageBreakPreview" zoomScale="80" zoomScaleNormal="100" zoomScaleSheetLayoutView="80" workbookViewId="0">
      <selection activeCell="A12" sqref="A12"/>
    </sheetView>
  </sheetViews>
  <sheetFormatPr defaultColWidth="7.109375" defaultRowHeight="15"/>
  <cols>
    <col min="1" max="1" width="4.6640625" customWidth="1"/>
    <col min="2" max="2" width="8.6640625" customWidth="1"/>
    <col min="3" max="3" width="42" customWidth="1"/>
    <col min="4" max="4" width="12.44140625" bestFit="1" customWidth="1"/>
    <col min="5" max="5" width="11.109375" customWidth="1"/>
    <col min="6" max="6" width="12" bestFit="1" customWidth="1"/>
    <col min="7" max="7" width="11.77734375" bestFit="1" customWidth="1"/>
    <col min="8" max="8" width="12" bestFit="1" customWidth="1"/>
    <col min="9" max="9" width="11.109375" customWidth="1"/>
    <col min="10" max="11" width="11.33203125" bestFit="1" customWidth="1"/>
    <col min="12" max="13" width="12.44140625" bestFit="1" customWidth="1"/>
    <col min="14" max="14" width="11.33203125" bestFit="1" customWidth="1"/>
    <col min="15" max="15" width="16.6640625" customWidth="1"/>
    <col min="16" max="16" width="19.109375" customWidth="1"/>
    <col min="17" max="17" width="12.44140625" customWidth="1"/>
    <col min="18" max="18" width="12.5546875" customWidth="1"/>
    <col min="19" max="19" width="10.88671875" customWidth="1"/>
  </cols>
  <sheetData>
    <row r="1" spans="1:21">
      <c r="A1" s="237" t="s">
        <v>404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4"/>
      <c r="R1" s="4"/>
      <c r="S1" s="4"/>
    </row>
    <row r="2" spans="1:21">
      <c r="A2" s="237" t="s">
        <v>405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4"/>
      <c r="R2" s="4"/>
      <c r="S2" s="4"/>
    </row>
    <row r="3" spans="1:21">
      <c r="A3" s="242" t="s">
        <v>239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4"/>
      <c r="R3" s="4"/>
      <c r="S3" s="4"/>
    </row>
    <row r="4" spans="1:21">
      <c r="A4" s="237" t="s">
        <v>406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4"/>
      <c r="R4" s="4"/>
      <c r="S4" s="4"/>
    </row>
    <row r="5" spans="1:21" ht="15.75">
      <c r="A5" s="3"/>
      <c r="B5" s="3"/>
      <c r="C5" s="3"/>
      <c r="D5" s="4"/>
      <c r="F5" s="155"/>
      <c r="G5" s="3"/>
      <c r="H5" s="3"/>
      <c r="I5" s="3"/>
      <c r="K5" s="155"/>
      <c r="L5" s="3"/>
      <c r="M5" s="3"/>
      <c r="N5" s="3"/>
      <c r="O5" s="3"/>
      <c r="P5" s="3"/>
      <c r="Q5" s="4"/>
      <c r="R5" s="4"/>
      <c r="S5" s="4"/>
    </row>
    <row r="6" spans="1:21" ht="15.75">
      <c r="A6" s="50" t="str">
        <f>'C.2.1 B'!A6</f>
        <v>Data:___X____Base Period________Forecasted Period</v>
      </c>
      <c r="B6" s="4"/>
      <c r="C6" s="4"/>
      <c r="D6" s="4"/>
      <c r="E6" s="4"/>
      <c r="F6" s="155"/>
      <c r="G6" s="4"/>
      <c r="H6" s="4"/>
      <c r="I6" s="4"/>
      <c r="J6" s="4"/>
      <c r="L6" s="4"/>
      <c r="M6" s="4"/>
      <c r="N6" s="4"/>
      <c r="O6" s="3"/>
      <c r="P6" s="8" t="s">
        <v>240</v>
      </c>
      <c r="Q6" s="4"/>
      <c r="R6" s="4"/>
      <c r="S6" s="4"/>
    </row>
    <row r="7" spans="1:21">
      <c r="A7" s="50" t="str">
        <f>'C.2.1 B'!A7</f>
        <v>Type of Filing:___X____Original________Updated ________Revised</v>
      </c>
      <c r="B7" s="4"/>
      <c r="C7" s="4"/>
      <c r="D7" s="4"/>
      <c r="E7" s="69"/>
      <c r="F7" s="4"/>
      <c r="G7" s="4"/>
      <c r="H7" s="4"/>
      <c r="I7" s="4"/>
      <c r="P7" s="52" t="s">
        <v>241</v>
      </c>
      <c r="Q7" s="4"/>
      <c r="R7" s="4"/>
      <c r="S7" s="4"/>
    </row>
    <row r="8" spans="1:21">
      <c r="A8" s="53" t="str">
        <f>'C.2.1 B'!A8</f>
        <v>Workpaper Reference No(s).____________________</v>
      </c>
      <c r="B8" s="4"/>
      <c r="C8" s="4"/>
      <c r="D8" s="2"/>
      <c r="E8" s="11"/>
      <c r="F8" s="11"/>
      <c r="G8" s="11"/>
      <c r="H8" s="11"/>
      <c r="I8" s="11"/>
      <c r="J8" s="11"/>
      <c r="K8" s="11"/>
      <c r="L8" s="11"/>
      <c r="M8" s="11"/>
      <c r="N8" s="11"/>
      <c r="O8" s="2"/>
      <c r="P8" s="55" t="str">
        <f>'C.1'!J9</f>
        <v>Witness: Christian, Densman</v>
      </c>
      <c r="Q8" s="4"/>
      <c r="R8" s="4"/>
      <c r="S8" s="4"/>
    </row>
    <row r="9" spans="1:21">
      <c r="A9" s="156" t="s">
        <v>22</v>
      </c>
      <c r="B9" s="157" t="s">
        <v>242</v>
      </c>
      <c r="C9" s="158"/>
      <c r="D9" s="159" t="s">
        <v>243</v>
      </c>
      <c r="E9" s="159" t="s">
        <v>243</v>
      </c>
      <c r="F9" s="159" t="s">
        <v>243</v>
      </c>
      <c r="G9" s="159" t="s">
        <v>243</v>
      </c>
      <c r="H9" s="159" t="s">
        <v>243</v>
      </c>
      <c r="I9" s="159" t="s">
        <v>243</v>
      </c>
      <c r="J9" s="160" t="s">
        <v>244</v>
      </c>
      <c r="K9" s="160" t="s">
        <v>244</v>
      </c>
      <c r="L9" s="160" t="s">
        <v>244</v>
      </c>
      <c r="M9" s="160" t="s">
        <v>244</v>
      </c>
      <c r="N9" s="160" t="s">
        <v>244</v>
      </c>
      <c r="O9" s="160" t="s">
        <v>244</v>
      </c>
      <c r="P9" s="3"/>
      <c r="Q9" s="3"/>
      <c r="R9" s="3"/>
      <c r="S9" s="3"/>
    </row>
    <row r="10" spans="1:21">
      <c r="A10" s="161" t="s">
        <v>25</v>
      </c>
      <c r="B10" s="1" t="s">
        <v>25</v>
      </c>
      <c r="C10" s="162" t="s">
        <v>245</v>
      </c>
      <c r="D10" s="163">
        <v>44105</v>
      </c>
      <c r="E10" s="163">
        <f>EOMONTH(D10,0)+1</f>
        <v>44136</v>
      </c>
      <c r="F10" s="163">
        <f t="shared" ref="F10:O10" si="0">EOMONTH(E10,0)+1</f>
        <v>44166</v>
      </c>
      <c r="G10" s="163">
        <f t="shared" si="0"/>
        <v>44197</v>
      </c>
      <c r="H10" s="163">
        <f t="shared" si="0"/>
        <v>44228</v>
      </c>
      <c r="I10" s="163">
        <f t="shared" si="0"/>
        <v>44256</v>
      </c>
      <c r="J10" s="163">
        <f t="shared" si="0"/>
        <v>44287</v>
      </c>
      <c r="K10" s="163">
        <f t="shared" si="0"/>
        <v>44317</v>
      </c>
      <c r="L10" s="163">
        <f t="shared" si="0"/>
        <v>44348</v>
      </c>
      <c r="M10" s="163">
        <f t="shared" si="0"/>
        <v>44378</v>
      </c>
      <c r="N10" s="163">
        <f t="shared" si="0"/>
        <v>44409</v>
      </c>
      <c r="O10" s="163">
        <f t="shared" si="0"/>
        <v>44440</v>
      </c>
      <c r="P10" s="164" t="s">
        <v>246</v>
      </c>
      <c r="Q10" s="3"/>
      <c r="R10" s="3"/>
      <c r="S10" s="3"/>
    </row>
    <row r="11" spans="1:21">
      <c r="A11" s="4"/>
      <c r="B11" s="4"/>
      <c r="C11" s="4"/>
      <c r="D11" s="13" t="s">
        <v>247</v>
      </c>
      <c r="E11" s="13" t="s">
        <v>247</v>
      </c>
      <c r="F11" s="13" t="s">
        <v>247</v>
      </c>
      <c r="G11" s="13" t="s">
        <v>247</v>
      </c>
      <c r="H11" s="13" t="s">
        <v>247</v>
      </c>
      <c r="I11" s="13" t="s">
        <v>247</v>
      </c>
      <c r="J11" s="13" t="s">
        <v>247</v>
      </c>
      <c r="K11" s="13" t="s">
        <v>247</v>
      </c>
      <c r="L11" s="13" t="s">
        <v>247</v>
      </c>
      <c r="M11" s="13" t="s">
        <v>247</v>
      </c>
      <c r="N11" s="13" t="s">
        <v>247</v>
      </c>
      <c r="O11" s="13" t="s">
        <v>247</v>
      </c>
      <c r="P11" s="13" t="s">
        <v>247</v>
      </c>
      <c r="Q11" s="13"/>
      <c r="R11" s="4"/>
    </row>
    <row r="12" spans="1:21">
      <c r="A12" s="3">
        <v>1</v>
      </c>
      <c r="B12" s="122" t="s">
        <v>221</v>
      </c>
      <c r="C12" t="s">
        <v>248</v>
      </c>
      <c r="D12" s="89">
        <v>0</v>
      </c>
      <c r="E12" s="89">
        <v>0</v>
      </c>
      <c r="F12" s="89">
        <v>12974026</v>
      </c>
      <c r="G12" s="89">
        <v>0</v>
      </c>
      <c r="H12" s="89">
        <v>0</v>
      </c>
      <c r="I12" s="89">
        <v>2826807</v>
      </c>
      <c r="J12" s="112">
        <v>-1549699.1720310089</v>
      </c>
      <c r="K12" s="112">
        <v>-1549699.1720310089</v>
      </c>
      <c r="L12" s="112">
        <v>-1549699.1720310089</v>
      </c>
      <c r="M12" s="112">
        <v>-1549699.1720310089</v>
      </c>
      <c r="N12" s="112">
        <v>-1549699.1720310089</v>
      </c>
      <c r="O12" s="112">
        <v>-1549699.1720310089</v>
      </c>
      <c r="P12">
        <f>SUM(D12:O12)</f>
        <v>6502637.9678139444</v>
      </c>
      <c r="Q12" s="69"/>
      <c r="R12" s="69"/>
      <c r="S12" s="69"/>
      <c r="U12" s="165"/>
    </row>
    <row r="13" spans="1:21">
      <c r="A13" s="160">
        <f t="shared" ref="A13:A76" si="1">A12+1</f>
        <v>2</v>
      </c>
      <c r="B13" s="122"/>
      <c r="C13" s="4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4"/>
      <c r="R13" s="4"/>
      <c r="S13" s="4"/>
    </row>
    <row r="14" spans="1:21">
      <c r="A14" s="160">
        <f t="shared" si="1"/>
        <v>3</v>
      </c>
      <c r="B14" s="122">
        <v>4030</v>
      </c>
      <c r="C14" s="4" t="s">
        <v>71</v>
      </c>
      <c r="D14" s="89">
        <v>1725227.2200000002</v>
      </c>
      <c r="E14" s="89">
        <v>1724126.2200000002</v>
      </c>
      <c r="F14" s="89">
        <v>1732493.55</v>
      </c>
      <c r="G14" s="89">
        <v>1734573.7999999998</v>
      </c>
      <c r="H14" s="89">
        <v>1734151.2799999998</v>
      </c>
      <c r="I14" s="89">
        <v>1734229.9099999997</v>
      </c>
      <c r="J14" s="89">
        <v>1465850.7166463858</v>
      </c>
      <c r="K14" s="89">
        <v>1474340.211804952</v>
      </c>
      <c r="L14" s="89">
        <v>1482704.3918473823</v>
      </c>
      <c r="M14" s="89">
        <v>1489903.5422882678</v>
      </c>
      <c r="N14" s="89">
        <v>1495435.3014832188</v>
      </c>
      <c r="O14" s="89">
        <v>1502692.5047595145</v>
      </c>
      <c r="P14">
        <f t="shared" ref="P14:P77" si="2">SUM(D14:O14)</f>
        <v>19295728.648829721</v>
      </c>
      <c r="Q14" s="165"/>
      <c r="R14" s="4"/>
      <c r="S14" s="4"/>
    </row>
    <row r="15" spans="1:21">
      <c r="A15" s="160">
        <f t="shared" si="1"/>
        <v>4</v>
      </c>
      <c r="B15" s="122">
        <v>4060</v>
      </c>
      <c r="C15" s="4" t="s">
        <v>249</v>
      </c>
      <c r="D15" s="89">
        <v>4145.7299999999996</v>
      </c>
      <c r="E15" s="89">
        <v>4145.7299999999996</v>
      </c>
      <c r="F15" s="89">
        <v>4145.7299999999996</v>
      </c>
      <c r="G15" s="89">
        <v>4145.7299999999996</v>
      </c>
      <c r="H15" s="89">
        <v>4145.7299999999996</v>
      </c>
      <c r="I15" s="89">
        <v>4145.7299999999996</v>
      </c>
      <c r="J15" s="89">
        <f>I15</f>
        <v>4145.7299999999996</v>
      </c>
      <c r="K15" s="89">
        <f t="shared" ref="K15:O15" si="3">J15</f>
        <v>4145.7299999999996</v>
      </c>
      <c r="L15" s="89">
        <f t="shared" si="3"/>
        <v>4145.7299999999996</v>
      </c>
      <c r="M15" s="89">
        <f t="shared" si="3"/>
        <v>4145.7299999999996</v>
      </c>
      <c r="N15" s="89">
        <f t="shared" si="3"/>
        <v>4145.7299999999996</v>
      </c>
      <c r="O15" s="89">
        <f t="shared" si="3"/>
        <v>4145.7299999999996</v>
      </c>
      <c r="P15">
        <f t="shared" si="2"/>
        <v>49748.75999999998</v>
      </c>
      <c r="R15" s="69"/>
      <c r="S15" s="4"/>
    </row>
    <row r="16" spans="1:21">
      <c r="A16" s="160">
        <f t="shared" si="1"/>
        <v>5</v>
      </c>
      <c r="B16" s="122">
        <v>4081</v>
      </c>
      <c r="C16" s="4" t="s">
        <v>250</v>
      </c>
      <c r="D16" s="89">
        <v>715614.15999999992</v>
      </c>
      <c r="E16" s="89">
        <v>736719.5</v>
      </c>
      <c r="F16" s="89">
        <v>756424.4</v>
      </c>
      <c r="G16" s="89">
        <v>829075.95</v>
      </c>
      <c r="H16" s="89">
        <v>796304.86999999988</v>
      </c>
      <c r="I16" s="89">
        <v>866805.94</v>
      </c>
      <c r="J16" s="89">
        <f>'C.2.3 B'!I24</f>
        <v>836895.7551271799</v>
      </c>
      <c r="K16" s="89">
        <f>'C.2.3 B'!J24</f>
        <v>812262.7551271799</v>
      </c>
      <c r="L16" s="89">
        <f>'C.2.3 B'!K24</f>
        <v>970035.7551271799</v>
      </c>
      <c r="M16" s="89">
        <f>'C.2.3 B'!L24</f>
        <v>808367.7551271799</v>
      </c>
      <c r="N16" s="89">
        <f>'C.2.3 B'!M24</f>
        <v>813612.7551271799</v>
      </c>
      <c r="O16" s="89">
        <f>'C.2.3 B'!N24</f>
        <v>807183.7551271799</v>
      </c>
      <c r="P16">
        <f>SUM(D16:O16)</f>
        <v>9749303.3507630825</v>
      </c>
      <c r="Q16" s="69"/>
      <c r="R16" s="69"/>
      <c r="S16" s="69"/>
    </row>
    <row r="17" spans="1:19">
      <c r="A17" s="160">
        <f t="shared" si="1"/>
        <v>6</v>
      </c>
      <c r="B17" s="122">
        <v>4800</v>
      </c>
      <c r="C17" s="166" t="s">
        <v>251</v>
      </c>
      <c r="D17" s="89">
        <v>-4389566</v>
      </c>
      <c r="E17" s="89">
        <v>-6573042.3099999996</v>
      </c>
      <c r="F17" s="89">
        <v>-10594273.170000002</v>
      </c>
      <c r="G17" s="89">
        <v>-14202976.970000001</v>
      </c>
      <c r="H17" s="89">
        <v>-14243829.289999999</v>
      </c>
      <c r="I17" s="89">
        <v>-12321346.049999999</v>
      </c>
      <c r="J17" s="85">
        <v>-8059598.6144920122</v>
      </c>
      <c r="K17" s="85">
        <v>-5767054.7861591028</v>
      </c>
      <c r="L17" s="85">
        <v>-4488515.4297275655</v>
      </c>
      <c r="M17" s="85">
        <v>-4229758.7082547341</v>
      </c>
      <c r="N17" s="85">
        <v>-4293288.2209537402</v>
      </c>
      <c r="O17" s="85">
        <v>-4318441.1533798221</v>
      </c>
      <c r="P17">
        <f t="shared" si="2"/>
        <v>-93481690.702966988</v>
      </c>
      <c r="Q17" s="4"/>
      <c r="R17" s="4"/>
      <c r="S17" s="4"/>
    </row>
    <row r="18" spans="1:19">
      <c r="A18" s="160">
        <f t="shared" si="1"/>
        <v>7</v>
      </c>
      <c r="B18" s="122">
        <v>4805</v>
      </c>
      <c r="C18" s="166" t="s">
        <v>252</v>
      </c>
      <c r="D18" s="89">
        <v>-1161190.4099999999</v>
      </c>
      <c r="E18" s="89">
        <v>-1605913.48</v>
      </c>
      <c r="F18" s="89">
        <v>-2388951.96</v>
      </c>
      <c r="G18" s="89">
        <v>129738.67</v>
      </c>
      <c r="H18" s="89">
        <v>610667.66999999993</v>
      </c>
      <c r="I18" s="89">
        <v>2150074.06</v>
      </c>
      <c r="J18" s="85"/>
      <c r="K18" s="85"/>
      <c r="L18" s="85"/>
      <c r="M18" s="85"/>
      <c r="N18" s="85"/>
      <c r="O18" s="85"/>
      <c r="P18">
        <f t="shared" si="2"/>
        <v>-2265575.4499999997</v>
      </c>
      <c r="Q18" s="4"/>
      <c r="R18" s="4"/>
      <c r="S18" s="4"/>
    </row>
    <row r="19" spans="1:19">
      <c r="A19" s="160">
        <f t="shared" si="1"/>
        <v>8</v>
      </c>
      <c r="B19" s="122">
        <v>4811</v>
      </c>
      <c r="C19" s="166" t="s">
        <v>253</v>
      </c>
      <c r="D19" s="89">
        <v>-2081080.9300000004</v>
      </c>
      <c r="E19" s="89">
        <v>-2653755.96</v>
      </c>
      <c r="F19" s="89">
        <v>-4254594.9499999993</v>
      </c>
      <c r="G19" s="89">
        <v>-6033919.9199999999</v>
      </c>
      <c r="H19" s="89">
        <v>-6098779.2999999998</v>
      </c>
      <c r="I19" s="89">
        <v>-5209681.5699999994</v>
      </c>
      <c r="J19" s="85">
        <v>-3386210.2514850302</v>
      </c>
      <c r="K19" s="85">
        <v>-2593945.3599636415</v>
      </c>
      <c r="L19" s="85">
        <v>-2090392.3746993246</v>
      </c>
      <c r="M19" s="85">
        <v>-1982915.178065975</v>
      </c>
      <c r="N19" s="85">
        <v>-2043024.8817195422</v>
      </c>
      <c r="O19" s="85">
        <v>-2039926.1776890531</v>
      </c>
      <c r="P19">
        <f t="shared" si="2"/>
        <v>-40468226.853622571</v>
      </c>
      <c r="Q19" s="4"/>
      <c r="R19" s="69"/>
      <c r="S19" s="4"/>
    </row>
    <row r="20" spans="1:19">
      <c r="A20" s="160">
        <f t="shared" si="1"/>
        <v>9</v>
      </c>
      <c r="B20" s="122">
        <v>4812</v>
      </c>
      <c r="C20" s="4" t="s">
        <v>254</v>
      </c>
      <c r="D20" s="89">
        <v>-170311.87</v>
      </c>
      <c r="E20" s="89">
        <v>-286329.5</v>
      </c>
      <c r="F20" s="89">
        <v>-503033.18000000005</v>
      </c>
      <c r="G20" s="89">
        <v>-691279.96</v>
      </c>
      <c r="H20" s="89">
        <v>-786975.93</v>
      </c>
      <c r="I20" s="89">
        <v>-540118.29</v>
      </c>
      <c r="J20" s="85">
        <v>-402882.61125356989</v>
      </c>
      <c r="K20" s="85">
        <v>-249587.92311322244</v>
      </c>
      <c r="L20" s="85">
        <v>-128434.35825986193</v>
      </c>
      <c r="M20" s="85">
        <v>-151818.0931076163</v>
      </c>
      <c r="N20" s="85">
        <v>-192837.59906000068</v>
      </c>
      <c r="O20" s="85">
        <v>-445053.01224945782</v>
      </c>
      <c r="P20">
        <f t="shared" si="2"/>
        <v>-4548662.3270437289</v>
      </c>
      <c r="Q20" s="4"/>
      <c r="R20" s="69"/>
      <c r="S20" s="4"/>
    </row>
    <row r="21" spans="1:19">
      <c r="A21" s="160">
        <f t="shared" si="1"/>
        <v>10</v>
      </c>
      <c r="B21" s="122">
        <v>4815</v>
      </c>
      <c r="C21" s="4" t="s">
        <v>255</v>
      </c>
      <c r="D21" s="89">
        <v>-511613.14</v>
      </c>
      <c r="E21" s="89">
        <v>-468313.98</v>
      </c>
      <c r="F21" s="89">
        <v>-968927.23</v>
      </c>
      <c r="G21" s="89">
        <v>-221742.22</v>
      </c>
      <c r="H21" s="89">
        <v>504744.37</v>
      </c>
      <c r="I21" s="89">
        <v>748392.8</v>
      </c>
      <c r="J21" s="85"/>
      <c r="K21" s="85"/>
      <c r="L21" s="85"/>
      <c r="M21" s="85"/>
      <c r="N21" s="85"/>
      <c r="O21" s="85"/>
      <c r="P21">
        <f t="shared" si="2"/>
        <v>-917459.40000000014</v>
      </c>
      <c r="Q21" s="4"/>
      <c r="R21" s="69"/>
      <c r="S21" s="4"/>
    </row>
    <row r="22" spans="1:19">
      <c r="A22" s="160">
        <f t="shared" si="1"/>
        <v>11</v>
      </c>
      <c r="B22" s="122">
        <v>4816</v>
      </c>
      <c r="C22" s="4" t="s">
        <v>256</v>
      </c>
      <c r="D22" s="89">
        <v>-6831.82</v>
      </c>
      <c r="E22" s="89">
        <v>-639.27</v>
      </c>
      <c r="F22" s="89">
        <v>-26558.3</v>
      </c>
      <c r="G22" s="89">
        <v>4535.9399999999996</v>
      </c>
      <c r="H22" s="89">
        <v>44265.36</v>
      </c>
      <c r="I22" s="89">
        <v>-31411.18</v>
      </c>
      <c r="J22" s="85"/>
      <c r="K22" s="85"/>
      <c r="L22" s="85"/>
      <c r="M22" s="85"/>
      <c r="N22" s="85"/>
      <c r="O22" s="85"/>
      <c r="P22">
        <f t="shared" si="2"/>
        <v>-16639.27</v>
      </c>
      <c r="R22" s="69"/>
      <c r="S22" s="4"/>
    </row>
    <row r="23" spans="1:19">
      <c r="A23" s="160">
        <f t="shared" si="1"/>
        <v>12</v>
      </c>
      <c r="B23" s="122">
        <v>4820</v>
      </c>
      <c r="C23" s="4" t="s">
        <v>257</v>
      </c>
      <c r="D23" s="89">
        <v>-226898.61</v>
      </c>
      <c r="E23" s="89">
        <v>-378743.30000000005</v>
      </c>
      <c r="F23" s="89">
        <v>-687579.35000000009</v>
      </c>
      <c r="G23" s="89">
        <v>-957387.78999999992</v>
      </c>
      <c r="H23" s="89">
        <v>-981312.73</v>
      </c>
      <c r="I23" s="89">
        <v>-877681.38</v>
      </c>
      <c r="J23" s="85">
        <v>-505833.30088488851</v>
      </c>
      <c r="K23" s="85">
        <v>-341005.71490520553</v>
      </c>
      <c r="L23" s="85">
        <v>-243284.52638502914</v>
      </c>
      <c r="M23" s="85">
        <v>-219038.56931779202</v>
      </c>
      <c r="N23" s="85">
        <v>-230818.93125686116</v>
      </c>
      <c r="O23" s="85">
        <v>-232906.83522370883</v>
      </c>
      <c r="P23">
        <f t="shared" si="2"/>
        <v>-5882491.037973485</v>
      </c>
      <c r="Q23" s="4"/>
      <c r="R23" s="69"/>
      <c r="S23" s="4"/>
    </row>
    <row r="24" spans="1:19">
      <c r="A24" s="160">
        <f t="shared" si="1"/>
        <v>13</v>
      </c>
      <c r="B24" s="122">
        <v>4825</v>
      </c>
      <c r="C24" s="4" t="s">
        <v>258</v>
      </c>
      <c r="D24" s="89">
        <v>-95557.58</v>
      </c>
      <c r="E24" s="89">
        <v>-125403.3</v>
      </c>
      <c r="F24" s="89">
        <v>-167756.96</v>
      </c>
      <c r="G24" s="89">
        <v>-23954.190000000002</v>
      </c>
      <c r="H24" s="89">
        <v>71882.209999999992</v>
      </c>
      <c r="I24" s="89">
        <v>161073.73000000001</v>
      </c>
      <c r="J24" s="85"/>
      <c r="K24" s="85"/>
      <c r="L24" s="85"/>
      <c r="M24" s="85"/>
      <c r="N24" s="85"/>
      <c r="O24" s="85"/>
      <c r="P24">
        <f t="shared" si="2"/>
        <v>-179716.08999999994</v>
      </c>
      <c r="S24" s="4"/>
    </row>
    <row r="25" spans="1:19">
      <c r="A25" s="160">
        <f t="shared" si="1"/>
        <v>14</v>
      </c>
      <c r="B25" s="122">
        <v>4870</v>
      </c>
      <c r="C25" s="4" t="s">
        <v>259</v>
      </c>
      <c r="D25" s="89">
        <v>7.37</v>
      </c>
      <c r="E25" s="89">
        <v>-17.68</v>
      </c>
      <c r="F25" s="89">
        <v>97.27</v>
      </c>
      <c r="G25" s="89">
        <v>29</v>
      </c>
      <c r="H25" s="89">
        <v>2.2799999999999998</v>
      </c>
      <c r="I25" s="89">
        <v>10.94</v>
      </c>
      <c r="J25" s="85">
        <v>-138491.11715193267</v>
      </c>
      <c r="K25" s="85">
        <v>-103922.09119805295</v>
      </c>
      <c r="L25" s="85">
        <v>-75652.25959186579</v>
      </c>
      <c r="M25" s="85">
        <v>-59339.954203501329</v>
      </c>
      <c r="N25" s="85">
        <v>-55947.943111353721</v>
      </c>
      <c r="O25" s="85">
        <v>-57126.097771467728</v>
      </c>
      <c r="P25">
        <f t="shared" si="2"/>
        <v>-490350.28302817419</v>
      </c>
      <c r="R25" s="4"/>
      <c r="S25" s="4"/>
    </row>
    <row r="26" spans="1:19">
      <c r="A26" s="160">
        <f t="shared" si="1"/>
        <v>15</v>
      </c>
      <c r="B26" s="122">
        <v>4880</v>
      </c>
      <c r="C26" s="4" t="s">
        <v>260</v>
      </c>
      <c r="D26" s="89">
        <v>-21842</v>
      </c>
      <c r="E26" s="89">
        <v>-14779</v>
      </c>
      <c r="F26" s="89">
        <v>-17743</v>
      </c>
      <c r="G26" s="89">
        <v>-13260</v>
      </c>
      <c r="H26" s="89">
        <v>-12790</v>
      </c>
      <c r="I26" s="89">
        <v>-11209</v>
      </c>
      <c r="J26" s="85">
        <v>-25716</v>
      </c>
      <c r="K26" s="85">
        <v>-22720</v>
      </c>
      <c r="L26" s="85">
        <v>-22154</v>
      </c>
      <c r="M26" s="85">
        <v>-24641</v>
      </c>
      <c r="N26" s="85">
        <v>-21821</v>
      </c>
      <c r="O26" s="85">
        <v>-25606</v>
      </c>
      <c r="P26">
        <f t="shared" si="2"/>
        <v>-234281</v>
      </c>
      <c r="R26" s="4"/>
      <c r="S26" s="4"/>
    </row>
    <row r="27" spans="1:19">
      <c r="A27" s="160">
        <f t="shared" si="1"/>
        <v>16</v>
      </c>
      <c r="B27" s="122">
        <v>4893</v>
      </c>
      <c r="C27" s="4" t="s">
        <v>261</v>
      </c>
      <c r="D27" s="89">
        <v>-1507384.16</v>
      </c>
      <c r="E27" s="89">
        <v>-1497650.6099999996</v>
      </c>
      <c r="F27" s="89">
        <v>-1770467.14</v>
      </c>
      <c r="G27" s="89">
        <v>-1839284.7000000002</v>
      </c>
      <c r="H27" s="89">
        <v>-1731578.78</v>
      </c>
      <c r="I27" s="89">
        <v>-1580211.05</v>
      </c>
      <c r="J27" s="85">
        <v>-1357994.5022640678</v>
      </c>
      <c r="K27" s="85">
        <v>-1081436.5486016322</v>
      </c>
      <c r="L27" s="85">
        <v>-1034624.873093004</v>
      </c>
      <c r="M27" s="85">
        <v>-1090091.8344202503</v>
      </c>
      <c r="N27" s="85">
        <v>-1047844.1722117214</v>
      </c>
      <c r="O27" s="85">
        <v>-1108166.7260969775</v>
      </c>
      <c r="P27">
        <f t="shared" si="2"/>
        <v>-16646735.096687652</v>
      </c>
      <c r="Q27" s="167"/>
    </row>
    <row r="28" spans="1:19">
      <c r="A28" s="160">
        <f t="shared" si="1"/>
        <v>17</v>
      </c>
      <c r="B28" s="122">
        <v>4950</v>
      </c>
      <c r="C28" s="4" t="s">
        <v>100</v>
      </c>
      <c r="D28" s="89">
        <f>0</f>
        <v>0</v>
      </c>
      <c r="E28" s="89">
        <f>0</f>
        <v>0</v>
      </c>
      <c r="F28" s="89">
        <f>0</f>
        <v>0</v>
      </c>
      <c r="G28" s="89">
        <f>0</f>
        <v>0</v>
      </c>
      <c r="H28" s="89">
        <f>0</f>
        <v>0</v>
      </c>
      <c r="I28" s="89">
        <f>0</f>
        <v>0</v>
      </c>
      <c r="J28" s="85">
        <v>-225674.54204125135</v>
      </c>
      <c r="K28" s="85">
        <v>-187767.63651166504</v>
      </c>
      <c r="L28" s="85">
        <v>-158597.09419894399</v>
      </c>
      <c r="M28" s="85">
        <v>-191773.06385539868</v>
      </c>
      <c r="N28" s="85">
        <v>-212032.54771866949</v>
      </c>
      <c r="O28" s="85">
        <v>-247033.27126557243</v>
      </c>
      <c r="P28">
        <f t="shared" si="2"/>
        <v>-1222878.1555915009</v>
      </c>
      <c r="Q28" s="167"/>
    </row>
    <row r="29" spans="1:19">
      <c r="A29" s="160">
        <f t="shared" si="1"/>
        <v>18</v>
      </c>
      <c r="B29" s="122">
        <v>4960</v>
      </c>
      <c r="C29" t="s">
        <v>101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5"/>
      <c r="K29" s="85"/>
      <c r="L29" s="85"/>
      <c r="M29" s="85"/>
      <c r="N29" s="85"/>
      <c r="O29" s="85"/>
      <c r="P29">
        <f t="shared" si="2"/>
        <v>0</v>
      </c>
      <c r="Q29" s="167"/>
    </row>
    <row r="30" spans="1:19">
      <c r="A30" s="160">
        <f t="shared" si="1"/>
        <v>19</v>
      </c>
      <c r="B30" s="122">
        <v>7560</v>
      </c>
      <c r="C30" t="s">
        <v>262</v>
      </c>
      <c r="D30" s="89">
        <f>0</f>
        <v>0</v>
      </c>
      <c r="E30" s="89">
        <f>0</f>
        <v>0</v>
      </c>
      <c r="F30" s="89">
        <f>0</f>
        <v>0</v>
      </c>
      <c r="G30" s="89">
        <f>0</f>
        <v>0</v>
      </c>
      <c r="H30" s="89">
        <f>0</f>
        <v>0</v>
      </c>
      <c r="I30" s="89">
        <f>0</f>
        <v>0</v>
      </c>
      <c r="J30" s="112">
        <v>0</v>
      </c>
      <c r="K30" s="112">
        <v>0</v>
      </c>
      <c r="L30" s="112">
        <v>0</v>
      </c>
      <c r="M30" s="112">
        <v>0</v>
      </c>
      <c r="N30" s="112">
        <v>0</v>
      </c>
      <c r="O30" s="112">
        <v>0</v>
      </c>
      <c r="P30">
        <f t="shared" si="2"/>
        <v>0</v>
      </c>
      <c r="S30" s="4"/>
    </row>
    <row r="31" spans="1:19">
      <c r="A31" s="160">
        <f t="shared" si="1"/>
        <v>20</v>
      </c>
      <c r="B31" s="122">
        <v>7590</v>
      </c>
      <c r="C31" t="s">
        <v>107</v>
      </c>
      <c r="D31" s="89">
        <f>0</f>
        <v>0</v>
      </c>
      <c r="E31" s="89">
        <f>0</f>
        <v>0</v>
      </c>
      <c r="F31" s="89">
        <f>0</f>
        <v>0</v>
      </c>
      <c r="G31" s="89">
        <f>0</f>
        <v>0</v>
      </c>
      <c r="H31" s="89">
        <f>0</f>
        <v>0</v>
      </c>
      <c r="I31" s="89">
        <f>0</f>
        <v>0</v>
      </c>
      <c r="J31" s="112">
        <v>0</v>
      </c>
      <c r="K31" s="112">
        <v>0</v>
      </c>
      <c r="L31" s="112">
        <v>0</v>
      </c>
      <c r="M31" s="112">
        <v>0</v>
      </c>
      <c r="N31" s="112">
        <v>0</v>
      </c>
      <c r="O31" s="112">
        <v>0</v>
      </c>
      <c r="P31">
        <f t="shared" si="2"/>
        <v>0</v>
      </c>
      <c r="S31" s="4"/>
    </row>
    <row r="32" spans="1:19">
      <c r="A32" s="160">
        <f t="shared" si="1"/>
        <v>21</v>
      </c>
      <c r="B32" s="122">
        <v>8001</v>
      </c>
      <c r="C32" s="4" t="s">
        <v>149</v>
      </c>
      <c r="D32" s="89">
        <f>0</f>
        <v>0</v>
      </c>
      <c r="E32" s="89">
        <f>0</f>
        <v>0</v>
      </c>
      <c r="F32" s="89">
        <f>0</f>
        <v>0</v>
      </c>
      <c r="G32" s="89">
        <f>0</f>
        <v>0</v>
      </c>
      <c r="H32" s="89">
        <f>0</f>
        <v>0</v>
      </c>
      <c r="I32" s="89">
        <f>0</f>
        <v>0</v>
      </c>
      <c r="J32" s="85">
        <v>0</v>
      </c>
      <c r="K32" s="85">
        <v>0</v>
      </c>
      <c r="L32" s="85">
        <v>0</v>
      </c>
      <c r="M32" s="85">
        <v>0</v>
      </c>
      <c r="N32" s="85">
        <v>0</v>
      </c>
      <c r="O32" s="85">
        <v>0</v>
      </c>
      <c r="P32">
        <f t="shared" si="2"/>
        <v>0</v>
      </c>
      <c r="Q32" s="69"/>
      <c r="R32" s="69"/>
      <c r="S32" s="4"/>
    </row>
    <row r="33" spans="1:19">
      <c r="A33" s="160">
        <f t="shared" si="1"/>
        <v>22</v>
      </c>
      <c r="B33" s="122">
        <v>8010</v>
      </c>
      <c r="C33" t="s">
        <v>263</v>
      </c>
      <c r="D33" s="89">
        <v>10553.98</v>
      </c>
      <c r="E33" s="89">
        <v>5983.95</v>
      </c>
      <c r="F33" s="89">
        <v>6871.59</v>
      </c>
      <c r="G33" s="89">
        <v>1294.8900000000001</v>
      </c>
      <c r="H33" s="89">
        <v>2851.03</v>
      </c>
      <c r="I33" s="89">
        <v>5089.03</v>
      </c>
      <c r="J33" s="85">
        <v>4995.7876902173966</v>
      </c>
      <c r="K33" s="85">
        <v>8783.3272411114012</v>
      </c>
      <c r="L33" s="85">
        <v>11358.551497891558</v>
      </c>
      <c r="M33" s="85">
        <v>9104.9066033953786</v>
      </c>
      <c r="N33" s="85">
        <v>13073.94601266389</v>
      </c>
      <c r="O33" s="85">
        <v>15459.327542715624</v>
      </c>
      <c r="P33">
        <f t="shared" si="2"/>
        <v>95420.316587995243</v>
      </c>
      <c r="Q33" s="4"/>
      <c r="R33" s="4"/>
      <c r="S33" s="4"/>
    </row>
    <row r="34" spans="1:19">
      <c r="A34" s="160">
        <f t="shared" si="1"/>
        <v>23</v>
      </c>
      <c r="B34" s="122">
        <v>8040</v>
      </c>
      <c r="C34" s="4" t="s">
        <v>264</v>
      </c>
      <c r="D34" s="89">
        <v>3672838.43</v>
      </c>
      <c r="E34" s="89">
        <v>3793391.85</v>
      </c>
      <c r="F34" s="89">
        <v>1093541.0900000001</v>
      </c>
      <c r="G34" s="89">
        <v>3440149.8999999994</v>
      </c>
      <c r="H34" s="89">
        <v>3090192.09</v>
      </c>
      <c r="I34" s="89">
        <v>5724714.0800000001</v>
      </c>
      <c r="J34" s="85">
        <v>811406.43088155636</v>
      </c>
      <c r="K34" s="85">
        <v>5293239.1757201441</v>
      </c>
      <c r="L34" s="85">
        <v>4612165.3240178693</v>
      </c>
      <c r="M34" s="85">
        <v>3154603.1239574957</v>
      </c>
      <c r="N34" s="85">
        <v>2780074.9163747835</v>
      </c>
      <c r="O34" s="85">
        <v>4419144.8925415864</v>
      </c>
      <c r="P34">
        <f t="shared" si="2"/>
        <v>41885461.303493425</v>
      </c>
      <c r="Q34" s="4"/>
      <c r="R34" s="69"/>
      <c r="S34" s="4"/>
    </row>
    <row r="35" spans="1:19">
      <c r="A35" s="160">
        <f t="shared" si="1"/>
        <v>24</v>
      </c>
      <c r="B35" s="122">
        <v>8050</v>
      </c>
      <c r="C35" s="4" t="s">
        <v>265</v>
      </c>
      <c r="D35" s="89">
        <v>-458.43</v>
      </c>
      <c r="E35" s="89">
        <v>-406.52</v>
      </c>
      <c r="F35" s="89">
        <v>-327.06</v>
      </c>
      <c r="G35" s="89">
        <v>-2980.99</v>
      </c>
      <c r="H35" s="89">
        <v>-956.43</v>
      </c>
      <c r="I35" s="89">
        <v>-1257.25</v>
      </c>
      <c r="J35" s="85">
        <v>-12032.590042946997</v>
      </c>
      <c r="K35" s="85">
        <v>-1222.6671223356202</v>
      </c>
      <c r="L35" s="85">
        <v>-1796.7629169567485</v>
      </c>
      <c r="M35" s="85">
        <v>-620.07202787064296</v>
      </c>
      <c r="N35" s="85">
        <v>-1749.1269191717718</v>
      </c>
      <c r="O35" s="85">
        <v>-5244.96766741592</v>
      </c>
      <c r="P35">
        <f t="shared" si="2"/>
        <v>-29052.866696697703</v>
      </c>
      <c r="Q35" s="4"/>
      <c r="R35" s="69"/>
      <c r="S35" s="4"/>
    </row>
    <row r="36" spans="1:19">
      <c r="A36" s="160">
        <f t="shared" si="1"/>
        <v>25</v>
      </c>
      <c r="B36" s="122">
        <v>8051</v>
      </c>
      <c r="C36" s="4" t="s">
        <v>266</v>
      </c>
      <c r="D36" s="89">
        <v>785364.79</v>
      </c>
      <c r="E36" s="89">
        <v>2367181.64</v>
      </c>
      <c r="F36" s="89">
        <v>5252343.66</v>
      </c>
      <c r="G36" s="89">
        <v>7892606.5599999996</v>
      </c>
      <c r="H36" s="89">
        <v>8190995.4900000002</v>
      </c>
      <c r="I36" s="89">
        <v>6723286.71</v>
      </c>
      <c r="J36" s="85">
        <v>4461118.8595631374</v>
      </c>
      <c r="K36" s="85">
        <v>3770577.1806374607</v>
      </c>
      <c r="L36" s="85">
        <v>1263426.7123358604</v>
      </c>
      <c r="M36" s="85">
        <v>819122.83828102937</v>
      </c>
      <c r="N36" s="85">
        <v>698724.96262212633</v>
      </c>
      <c r="O36" s="85">
        <v>781361.78060146794</v>
      </c>
      <c r="P36">
        <f t="shared" si="2"/>
        <v>43006111.184041083</v>
      </c>
      <c r="Q36" s="4"/>
      <c r="R36" s="4"/>
      <c r="S36" s="4"/>
    </row>
    <row r="37" spans="1:19">
      <c r="A37" s="160">
        <f t="shared" si="1"/>
        <v>26</v>
      </c>
      <c r="B37" s="122">
        <v>8052</v>
      </c>
      <c r="C37" s="4" t="s">
        <v>267</v>
      </c>
      <c r="D37" s="89">
        <v>774806.07</v>
      </c>
      <c r="E37" s="89">
        <v>1201507.26</v>
      </c>
      <c r="F37" s="89">
        <v>2359181.58</v>
      </c>
      <c r="G37" s="89">
        <v>3678735.62</v>
      </c>
      <c r="H37" s="89">
        <v>3840724.61</v>
      </c>
      <c r="I37" s="89">
        <v>3137167.78</v>
      </c>
      <c r="J37" s="85">
        <v>2046510.781502262</v>
      </c>
      <c r="K37" s="85">
        <v>1525757.7827887195</v>
      </c>
      <c r="L37" s="85">
        <v>764972.52878389333</v>
      </c>
      <c r="M37" s="85">
        <v>652175.80393733608</v>
      </c>
      <c r="N37" s="85">
        <v>612515.25401613477</v>
      </c>
      <c r="O37" s="85">
        <v>950329.1153089999</v>
      </c>
      <c r="P37">
        <f t="shared" si="2"/>
        <v>21544384.186337348</v>
      </c>
      <c r="Q37" s="4"/>
      <c r="R37" s="4"/>
      <c r="S37" s="4"/>
    </row>
    <row r="38" spans="1:19">
      <c r="A38" s="160">
        <f t="shared" si="1"/>
        <v>27</v>
      </c>
      <c r="B38" s="122">
        <v>8053</v>
      </c>
      <c r="C38" s="4" t="s">
        <v>268</v>
      </c>
      <c r="D38" s="89">
        <v>109366.83</v>
      </c>
      <c r="E38" s="89">
        <v>205761.44</v>
      </c>
      <c r="F38" s="89">
        <v>376423.13</v>
      </c>
      <c r="G38" s="89">
        <v>523837.66</v>
      </c>
      <c r="H38" s="89">
        <v>601354.06000000006</v>
      </c>
      <c r="I38" s="89">
        <v>405957.44</v>
      </c>
      <c r="J38" s="85">
        <v>525369.04610329657</v>
      </c>
      <c r="K38" s="85">
        <v>318977.42572146881</v>
      </c>
      <c r="L38" s="85">
        <v>152511.83590183049</v>
      </c>
      <c r="M38" s="85">
        <v>117565.73311467028</v>
      </c>
      <c r="N38" s="85">
        <v>143708.02779348748</v>
      </c>
      <c r="O38" s="85">
        <v>500714.25874096871</v>
      </c>
      <c r="P38">
        <f t="shared" si="2"/>
        <v>3981546.8873757222</v>
      </c>
      <c r="Q38" s="4"/>
      <c r="R38" s="4"/>
      <c r="S38" s="4"/>
    </row>
    <row r="39" spans="1:19">
      <c r="A39" s="160">
        <f t="shared" si="1"/>
        <v>28</v>
      </c>
      <c r="B39" s="122">
        <v>8054</v>
      </c>
      <c r="C39" s="4" t="s">
        <v>269</v>
      </c>
      <c r="D39" s="89">
        <v>99023.33</v>
      </c>
      <c r="E39" s="89">
        <v>213722.27</v>
      </c>
      <c r="F39" s="89">
        <v>440031.49</v>
      </c>
      <c r="G39" s="89">
        <v>645117.39</v>
      </c>
      <c r="H39" s="89">
        <v>680664.42</v>
      </c>
      <c r="I39" s="89">
        <v>604107.69999999995</v>
      </c>
      <c r="J39" s="85">
        <v>423135.81699079397</v>
      </c>
      <c r="K39" s="85">
        <v>358080.7185093115</v>
      </c>
      <c r="L39" s="85">
        <v>152850.48379472271</v>
      </c>
      <c r="M39" s="85">
        <v>93043.411735458474</v>
      </c>
      <c r="N39" s="85">
        <v>98652.182193143351</v>
      </c>
      <c r="O39" s="85">
        <v>118264.84394006625</v>
      </c>
      <c r="P39">
        <f t="shared" si="2"/>
        <v>3926694.0571634956</v>
      </c>
      <c r="Q39" s="4"/>
      <c r="S39" s="4"/>
    </row>
    <row r="40" spans="1:19">
      <c r="A40" s="160">
        <f t="shared" si="1"/>
        <v>29</v>
      </c>
      <c r="B40" s="122">
        <v>8058</v>
      </c>
      <c r="C40" s="4" t="s">
        <v>270</v>
      </c>
      <c r="D40" s="89">
        <v>1338529.47</v>
      </c>
      <c r="E40" s="89">
        <v>1497294.25</v>
      </c>
      <c r="F40" s="89">
        <v>2710690.68</v>
      </c>
      <c r="G40" s="89">
        <v>-52042.12</v>
      </c>
      <c r="H40" s="89">
        <v>-562012.47</v>
      </c>
      <c r="I40" s="89">
        <v>-2730165.76</v>
      </c>
      <c r="J40" s="85">
        <v>-1577369.5160189334</v>
      </c>
      <c r="K40" s="85">
        <v>-2496638.9418412107</v>
      </c>
      <c r="L40" s="85">
        <v>-383409.95550208312</v>
      </c>
      <c r="M40" s="85">
        <v>-1935.0099928801403</v>
      </c>
      <c r="N40" s="85">
        <v>321987.21368852706</v>
      </c>
      <c r="O40" s="85">
        <v>-229037.50027521234</v>
      </c>
      <c r="P40">
        <f t="shared" si="2"/>
        <v>-2164109.6599417925</v>
      </c>
      <c r="Q40" s="4"/>
      <c r="R40" s="4"/>
      <c r="S40" s="4"/>
    </row>
    <row r="41" spans="1:19">
      <c r="A41" s="160">
        <f t="shared" si="1"/>
        <v>30</v>
      </c>
      <c r="B41" s="122">
        <v>8059</v>
      </c>
      <c r="C41" s="4" t="s">
        <v>271</v>
      </c>
      <c r="D41" s="89">
        <v>-2718510.54</v>
      </c>
      <c r="E41" s="89">
        <v>-3725196.07</v>
      </c>
      <c r="F41" s="89">
        <v>-5744194.96</v>
      </c>
      <c r="G41" s="89">
        <v>-9808920.6999999993</v>
      </c>
      <c r="H41" s="89">
        <v>-10496514.859999999</v>
      </c>
      <c r="I41" s="89">
        <v>-13159396.210000001</v>
      </c>
      <c r="J41" s="85">
        <v>-9278388.7632991672</v>
      </c>
      <c r="K41" s="85">
        <v>-6145238.1799526671</v>
      </c>
      <c r="L41" s="85">
        <v>-2831203.1742875162</v>
      </c>
      <c r="M41" s="85">
        <v>-2882667.2674520565</v>
      </c>
      <c r="N41" s="85">
        <v>-4058827.7305166894</v>
      </c>
      <c r="O41" s="85">
        <v>-3536786.9523850004</v>
      </c>
      <c r="P41">
        <f t="shared" si="2"/>
        <v>-74385845.407893091</v>
      </c>
      <c r="Q41" s="4"/>
      <c r="R41" s="4"/>
      <c r="S41" s="4"/>
    </row>
    <row r="42" spans="1:19">
      <c r="A42" s="160">
        <f t="shared" si="1"/>
        <v>31</v>
      </c>
      <c r="B42" s="122">
        <v>8060</v>
      </c>
      <c r="C42" s="4" t="s">
        <v>272</v>
      </c>
      <c r="D42" s="89">
        <v>-897205.21</v>
      </c>
      <c r="E42" s="89">
        <v>-827832.38</v>
      </c>
      <c r="F42" s="89">
        <v>1049234.8700000001</v>
      </c>
      <c r="G42" s="89">
        <v>2112069.9700000002</v>
      </c>
      <c r="H42" s="89">
        <v>2755130.25</v>
      </c>
      <c r="I42" s="89">
        <v>1628394.29</v>
      </c>
      <c r="J42" s="85">
        <v>1884222.6150441968</v>
      </c>
      <c r="K42" s="85">
        <v>-2094287.6074214699</v>
      </c>
      <c r="L42" s="85">
        <v>-2322458.2749861376</v>
      </c>
      <c r="M42" s="85">
        <v>-920705.43932487408</v>
      </c>
      <c r="N42" s="85">
        <v>181486.38633754008</v>
      </c>
      <c r="O42" s="85">
        <v>-1593333.0423430053</v>
      </c>
      <c r="P42">
        <f t="shared" si="2"/>
        <v>954716.42730625137</v>
      </c>
      <c r="Q42" s="4"/>
      <c r="R42" s="4"/>
      <c r="S42" s="4"/>
    </row>
    <row r="43" spans="1:19">
      <c r="A43" s="160">
        <f t="shared" si="1"/>
        <v>32</v>
      </c>
      <c r="B43" s="122">
        <v>8081</v>
      </c>
      <c r="C43" s="4" t="s">
        <v>273</v>
      </c>
      <c r="D43" s="89">
        <v>0</v>
      </c>
      <c r="E43" s="89">
        <v>0</v>
      </c>
      <c r="F43" s="89">
        <v>1309074.5900000001</v>
      </c>
      <c r="G43" s="89">
        <v>1834304.85</v>
      </c>
      <c r="H43" s="89">
        <v>2196946.1</v>
      </c>
      <c r="I43" s="89">
        <v>3681460.82</v>
      </c>
      <c r="J43" s="85">
        <v>3174201.0624718927</v>
      </c>
      <c r="K43" s="85">
        <v>80881.455758533804</v>
      </c>
      <c r="L43" s="85">
        <v>9262.2130857553966</v>
      </c>
      <c r="M43" s="85">
        <v>0</v>
      </c>
      <c r="N43" s="85">
        <v>0</v>
      </c>
      <c r="O43" s="85">
        <v>0</v>
      </c>
      <c r="P43">
        <f t="shared" si="2"/>
        <v>12286131.091316184</v>
      </c>
      <c r="Q43" s="4"/>
      <c r="R43" s="4"/>
      <c r="S43" s="4"/>
    </row>
    <row r="44" spans="1:19">
      <c r="A44" s="160">
        <f t="shared" si="1"/>
        <v>33</v>
      </c>
      <c r="B44" s="122">
        <v>8082</v>
      </c>
      <c r="C44" s="4" t="s">
        <v>274</v>
      </c>
      <c r="D44" s="89">
        <v>-1677579.36</v>
      </c>
      <c r="E44" s="89">
        <v>-1317709.6200000001</v>
      </c>
      <c r="F44" s="89">
        <v>-24583.759999999998</v>
      </c>
      <c r="G44" s="89">
        <v>-20191.810000000001</v>
      </c>
      <c r="H44" s="89">
        <v>-2133.9299999999998</v>
      </c>
      <c r="I44" s="89">
        <v>-134687.51999999999</v>
      </c>
      <c r="J44" s="85">
        <v>-47371.219286971951</v>
      </c>
      <c r="K44" s="85">
        <v>-1306048.1659182615</v>
      </c>
      <c r="L44" s="85">
        <v>-2034022.2927924774</v>
      </c>
      <c r="M44" s="85">
        <v>-1472921.726861676</v>
      </c>
      <c r="N44" s="85">
        <v>-1340889.671269729</v>
      </c>
      <c r="O44" s="85">
        <v>-1957959.486627653</v>
      </c>
      <c r="P44">
        <f t="shared" si="2"/>
        <v>-11336098.562756769</v>
      </c>
      <c r="Q44" s="167"/>
      <c r="S44" s="4"/>
    </row>
    <row r="45" spans="1:19">
      <c r="A45" s="160">
        <f t="shared" si="1"/>
        <v>34</v>
      </c>
      <c r="B45" s="122">
        <v>8120</v>
      </c>
      <c r="C45" s="4" t="s">
        <v>275</v>
      </c>
      <c r="D45" s="89">
        <v>-133.35999999999996</v>
      </c>
      <c r="E45" s="89">
        <v>-117.80999999999995</v>
      </c>
      <c r="F45" s="89">
        <v>-589.93000000000029</v>
      </c>
      <c r="G45" s="89">
        <v>-1326.6499999999996</v>
      </c>
      <c r="H45" s="89">
        <v>-1706.8499999999985</v>
      </c>
      <c r="I45" s="89">
        <v>-1883.5</v>
      </c>
      <c r="J45" s="85">
        <v>240.05442504449888</v>
      </c>
      <c r="K45" s="85">
        <v>-2031.3280054883837</v>
      </c>
      <c r="L45" s="85">
        <v>-262.8492814737059</v>
      </c>
      <c r="M45" s="85">
        <v>-430.21361483686763</v>
      </c>
      <c r="N45" s="85">
        <v>1996.1175724346563</v>
      </c>
      <c r="O45" s="85">
        <v>-4514.640984814655</v>
      </c>
      <c r="P45">
        <f t="shared" si="2"/>
        <v>-10760.959889134454</v>
      </c>
      <c r="Q45" s="4"/>
      <c r="R45" s="4"/>
      <c r="S45" s="4"/>
    </row>
    <row r="46" spans="1:19">
      <c r="A46" s="160">
        <f t="shared" si="1"/>
        <v>35</v>
      </c>
      <c r="B46" s="122">
        <v>8580</v>
      </c>
      <c r="C46" t="s">
        <v>276</v>
      </c>
      <c r="D46" s="89">
        <v>1610361.13</v>
      </c>
      <c r="E46" s="89">
        <v>2071768.79</v>
      </c>
      <c r="F46" s="89">
        <v>2310383.64</v>
      </c>
      <c r="G46" s="89">
        <v>2444273.8899999997</v>
      </c>
      <c r="H46" s="89">
        <v>2454485.75</v>
      </c>
      <c r="I46" s="89">
        <v>2255682.7599999998</v>
      </c>
      <c r="J46" s="85">
        <v>3462966.6765412237</v>
      </c>
      <c r="K46" s="85">
        <v>4163892.6616949448</v>
      </c>
      <c r="L46" s="85">
        <v>2556694.416381571</v>
      </c>
      <c r="M46" s="85">
        <v>2113206.475105586</v>
      </c>
      <c r="N46" s="85">
        <v>2426831.2799806022</v>
      </c>
      <c r="O46" s="85">
        <v>2658720.2289387728</v>
      </c>
      <c r="P46">
        <f t="shared" si="2"/>
        <v>30529267.698642705</v>
      </c>
      <c r="Q46" s="69"/>
      <c r="R46" s="4"/>
      <c r="S46" s="4"/>
    </row>
    <row r="47" spans="1:19">
      <c r="A47" s="160">
        <f t="shared" si="1"/>
        <v>36</v>
      </c>
      <c r="B47" s="122">
        <v>8140</v>
      </c>
      <c r="C47" s="4" t="s">
        <v>277</v>
      </c>
      <c r="D47" s="89">
        <v>0</v>
      </c>
      <c r="E47" s="89">
        <v>0</v>
      </c>
      <c r="F47" s="89">
        <v>0</v>
      </c>
      <c r="G47" s="89">
        <v>0</v>
      </c>
      <c r="H47" s="89">
        <v>294.57</v>
      </c>
      <c r="I47" s="89">
        <v>0</v>
      </c>
      <c r="J47" s="112">
        <v>50.548171223843973</v>
      </c>
      <c r="K47" s="112">
        <v>43.272618483439217</v>
      </c>
      <c r="L47" s="112">
        <v>56.937706724150104</v>
      </c>
      <c r="M47" s="112">
        <v>58.052935086613921</v>
      </c>
      <c r="N47" s="112">
        <v>53.695480691846605</v>
      </c>
      <c r="O47" s="112">
        <v>95.722306888415446</v>
      </c>
      <c r="P47">
        <f t="shared" si="2"/>
        <v>652.79921909830921</v>
      </c>
      <c r="S47" s="4"/>
    </row>
    <row r="48" spans="1:19">
      <c r="A48" s="160">
        <f t="shared" si="1"/>
        <v>37</v>
      </c>
      <c r="B48" s="122">
        <v>8160</v>
      </c>
      <c r="C48" s="4" t="s">
        <v>278</v>
      </c>
      <c r="D48" s="89">
        <v>75219.290000000008</v>
      </c>
      <c r="E48" s="89">
        <v>74044.2</v>
      </c>
      <c r="F48" s="89">
        <v>2632.27</v>
      </c>
      <c r="G48" s="89">
        <v>19712.86</v>
      </c>
      <c r="H48" s="89">
        <v>5503.9400000000005</v>
      </c>
      <c r="I48" s="89">
        <v>3089.8199999999997</v>
      </c>
      <c r="J48" s="112">
        <v>30857.45620541861</v>
      </c>
      <c r="K48" s="112">
        <v>32428.068437239643</v>
      </c>
      <c r="L48" s="112">
        <v>36054.481223668954</v>
      </c>
      <c r="M48" s="112">
        <v>33716.964214695639</v>
      </c>
      <c r="N48" s="112">
        <v>30291.411517414228</v>
      </c>
      <c r="O48" s="112">
        <v>25838.262097844443</v>
      </c>
      <c r="P48">
        <f t="shared" si="2"/>
        <v>369389.02369628148</v>
      </c>
      <c r="Q48" s="4"/>
      <c r="R48" s="4"/>
      <c r="S48" s="4"/>
    </row>
    <row r="49" spans="1:21">
      <c r="A49" s="160">
        <f t="shared" si="1"/>
        <v>38</v>
      </c>
      <c r="B49" s="122">
        <v>8170</v>
      </c>
      <c r="C49" s="4" t="s">
        <v>279</v>
      </c>
      <c r="D49" s="89">
        <v>4536.46</v>
      </c>
      <c r="E49" s="89">
        <v>-780.13</v>
      </c>
      <c r="F49" s="89">
        <v>2783.54</v>
      </c>
      <c r="G49" s="89">
        <v>4960.3</v>
      </c>
      <c r="H49" s="89">
        <v>4127.76</v>
      </c>
      <c r="I49" s="89">
        <v>3065.19</v>
      </c>
      <c r="J49" s="112">
        <v>3499.1254475903152</v>
      </c>
      <c r="K49" s="112">
        <v>3319.1025989169207</v>
      </c>
      <c r="L49" s="112">
        <v>3553.4655548664045</v>
      </c>
      <c r="M49" s="112">
        <v>3554.2867197180321</v>
      </c>
      <c r="N49" s="112">
        <v>3517.2057243997292</v>
      </c>
      <c r="O49" s="112">
        <v>4128.1070713204845</v>
      </c>
      <c r="P49">
        <f t="shared" si="2"/>
        <v>40264.413116811884</v>
      </c>
      <c r="Q49" s="4"/>
      <c r="R49" s="4"/>
      <c r="S49" s="4"/>
    </row>
    <row r="50" spans="1:21">
      <c r="A50" s="160">
        <f t="shared" si="1"/>
        <v>39</v>
      </c>
      <c r="B50" s="122">
        <v>8180</v>
      </c>
      <c r="C50" s="4" t="s">
        <v>280</v>
      </c>
      <c r="D50" s="89">
        <v>2179.63</v>
      </c>
      <c r="E50" s="89">
        <v>4703.22</v>
      </c>
      <c r="F50" s="89">
        <v>4200.4800000000005</v>
      </c>
      <c r="G50" s="89">
        <v>5245.32</v>
      </c>
      <c r="H50" s="89">
        <v>3235.31</v>
      </c>
      <c r="I50" s="89">
        <v>3882.44</v>
      </c>
      <c r="J50" s="112">
        <v>4446.6597302715663</v>
      </c>
      <c r="K50" s="112">
        <v>4215.4341643961106</v>
      </c>
      <c r="L50" s="112">
        <v>4515.697189841595</v>
      </c>
      <c r="M50" s="112">
        <v>4502.5861572656477</v>
      </c>
      <c r="N50" s="112">
        <v>4477.3161832672222</v>
      </c>
      <c r="O50" s="112">
        <v>5204.7983038153452</v>
      </c>
      <c r="P50">
        <f t="shared" si="2"/>
        <v>50808.891728857488</v>
      </c>
      <c r="Q50" s="4"/>
      <c r="R50" s="4"/>
      <c r="S50" s="4"/>
    </row>
    <row r="51" spans="1:21" ht="15.75">
      <c r="A51" s="160">
        <f t="shared" si="1"/>
        <v>40</v>
      </c>
      <c r="B51" s="122">
        <v>8190</v>
      </c>
      <c r="C51" s="4" t="s">
        <v>281</v>
      </c>
      <c r="D51" s="89">
        <v>138.54</v>
      </c>
      <c r="E51" s="89">
        <v>90.61</v>
      </c>
      <c r="F51" s="89">
        <v>91.34</v>
      </c>
      <c r="G51" s="89">
        <v>0</v>
      </c>
      <c r="H51" s="89">
        <v>0</v>
      </c>
      <c r="I51" s="89">
        <v>200.36</v>
      </c>
      <c r="J51" s="112">
        <v>80.541856816184506</v>
      </c>
      <c r="K51" s="112">
        <v>81.838851588369849</v>
      </c>
      <c r="L51" s="112">
        <v>76.366522468679591</v>
      </c>
      <c r="M51" s="112">
        <v>80.559960603866827</v>
      </c>
      <c r="N51" s="112">
        <v>75.315048356187972</v>
      </c>
      <c r="O51" s="112">
        <v>75.290208275414571</v>
      </c>
      <c r="P51">
        <f t="shared" si="2"/>
        <v>990.76244810870321</v>
      </c>
      <c r="Q51" s="4"/>
      <c r="R51" s="168"/>
      <c r="S51" s="169"/>
    </row>
    <row r="52" spans="1:21" ht="15.75">
      <c r="A52" s="160">
        <f t="shared" si="1"/>
        <v>41</v>
      </c>
      <c r="B52" s="122">
        <v>8200</v>
      </c>
      <c r="C52" s="4" t="s">
        <v>282</v>
      </c>
      <c r="D52" s="89">
        <v>89.52</v>
      </c>
      <c r="E52" s="89">
        <v>563.66</v>
      </c>
      <c r="F52" s="89">
        <v>249.87</v>
      </c>
      <c r="G52" s="89">
        <v>500.94</v>
      </c>
      <c r="H52" s="89">
        <v>1464.47</v>
      </c>
      <c r="I52" s="89">
        <v>853.78</v>
      </c>
      <c r="J52" s="112">
        <v>652.48932383226065</v>
      </c>
      <c r="K52" s="112">
        <v>609.42909791965735</v>
      </c>
      <c r="L52" s="112">
        <v>675.7188030606294</v>
      </c>
      <c r="M52" s="112">
        <v>686.66673798281647</v>
      </c>
      <c r="N52" s="112">
        <v>658.14047745987784</v>
      </c>
      <c r="O52" s="112">
        <v>877.94286834884531</v>
      </c>
      <c r="P52">
        <f t="shared" si="2"/>
        <v>7882.6273086040865</v>
      </c>
      <c r="Q52" s="4"/>
      <c r="R52" s="170"/>
      <c r="S52" s="171"/>
    </row>
    <row r="53" spans="1:21">
      <c r="A53" s="160">
        <f t="shared" si="1"/>
        <v>42</v>
      </c>
      <c r="B53" s="122">
        <v>8210</v>
      </c>
      <c r="C53" s="4" t="s">
        <v>283</v>
      </c>
      <c r="D53" s="89">
        <v>132.68</v>
      </c>
      <c r="E53" s="89">
        <v>582.48</v>
      </c>
      <c r="F53" s="89">
        <v>4444.4000000000005</v>
      </c>
      <c r="G53" s="89">
        <v>1712.9199999999998</v>
      </c>
      <c r="H53" s="89">
        <v>11513.23</v>
      </c>
      <c r="I53" s="89">
        <v>-348.74999999999989</v>
      </c>
      <c r="J53" s="112">
        <v>3486.3081118680543</v>
      </c>
      <c r="K53" s="112">
        <v>3413.7588544046635</v>
      </c>
      <c r="L53" s="112">
        <v>3412.1450988231495</v>
      </c>
      <c r="M53" s="112">
        <v>3386.5062572191127</v>
      </c>
      <c r="N53" s="112">
        <v>3438.9013380113729</v>
      </c>
      <c r="O53" s="112">
        <v>3283.3550404790562</v>
      </c>
      <c r="P53">
        <f t="shared" si="2"/>
        <v>38457.93470080541</v>
      </c>
      <c r="Q53" s="4"/>
      <c r="R53" s="172"/>
      <c r="S53" s="4"/>
    </row>
    <row r="54" spans="1:21">
      <c r="A54" s="160">
        <f t="shared" si="1"/>
        <v>43</v>
      </c>
      <c r="B54" s="122">
        <v>8240</v>
      </c>
      <c r="C54" s="4" t="s">
        <v>284</v>
      </c>
      <c r="D54" s="89">
        <v>0</v>
      </c>
      <c r="E54" s="89">
        <v>0</v>
      </c>
      <c r="F54" s="89">
        <v>0</v>
      </c>
      <c r="G54" s="89">
        <v>0</v>
      </c>
      <c r="H54" s="89">
        <v>0</v>
      </c>
      <c r="I54" s="89">
        <v>0</v>
      </c>
      <c r="J54" s="112">
        <v>0</v>
      </c>
      <c r="K54" s="112">
        <v>0</v>
      </c>
      <c r="L54" s="112">
        <v>0</v>
      </c>
      <c r="M54" s="112">
        <v>0</v>
      </c>
      <c r="N54" s="112">
        <v>0</v>
      </c>
      <c r="O54" s="112">
        <v>0</v>
      </c>
      <c r="P54">
        <f t="shared" si="2"/>
        <v>0</v>
      </c>
      <c r="Q54" s="4"/>
      <c r="R54" s="172"/>
      <c r="S54" s="4"/>
    </row>
    <row r="55" spans="1:21">
      <c r="A55" s="160">
        <f t="shared" si="1"/>
        <v>44</v>
      </c>
      <c r="B55" s="122">
        <v>8250</v>
      </c>
      <c r="C55" s="4" t="s">
        <v>285</v>
      </c>
      <c r="D55" s="89">
        <v>192.66</v>
      </c>
      <c r="E55" s="89">
        <v>234.14999999999998</v>
      </c>
      <c r="F55" s="89">
        <v>468.11</v>
      </c>
      <c r="G55" s="89">
        <v>1229.3</v>
      </c>
      <c r="H55" s="89">
        <v>1387.8999999999999</v>
      </c>
      <c r="I55" s="89">
        <v>1329.28</v>
      </c>
      <c r="J55" s="112">
        <v>748.65190667154775</v>
      </c>
      <c r="K55" s="112">
        <v>760.70772022642552</v>
      </c>
      <c r="L55" s="112">
        <v>709.84137828523637</v>
      </c>
      <c r="M55" s="112">
        <v>748.82018482780234</v>
      </c>
      <c r="N55" s="112">
        <v>700.06772604713149</v>
      </c>
      <c r="O55" s="112">
        <v>699.83683276296836</v>
      </c>
      <c r="P55">
        <f t="shared" si="2"/>
        <v>9209.3257488211129</v>
      </c>
      <c r="Q55" s="4"/>
      <c r="R55" s="4"/>
      <c r="S55" s="4"/>
    </row>
    <row r="56" spans="1:21">
      <c r="A56" s="160">
        <f t="shared" si="1"/>
        <v>45</v>
      </c>
      <c r="B56" s="122">
        <v>8310</v>
      </c>
      <c r="C56" s="4" t="s">
        <v>286</v>
      </c>
      <c r="D56" s="89">
        <v>0</v>
      </c>
      <c r="E56" s="89">
        <v>0</v>
      </c>
      <c r="F56" s="89">
        <v>0</v>
      </c>
      <c r="G56" s="89">
        <v>0</v>
      </c>
      <c r="H56" s="89">
        <v>0</v>
      </c>
      <c r="I56" s="89">
        <v>250.08</v>
      </c>
      <c r="J56" s="112">
        <v>42.91369338241811</v>
      </c>
      <c r="K56" s="112">
        <v>36.736994365816201</v>
      </c>
      <c r="L56" s="112">
        <v>48.338193629953693</v>
      </c>
      <c r="M56" s="112">
        <v>49.284984915165865</v>
      </c>
      <c r="N56" s="112">
        <v>45.585653024466168</v>
      </c>
      <c r="O56" s="112">
        <v>81.265011734578991</v>
      </c>
      <c r="P56">
        <f t="shared" si="2"/>
        <v>554.20453105239903</v>
      </c>
      <c r="Q56" s="4"/>
      <c r="R56" s="172"/>
      <c r="S56" s="4"/>
    </row>
    <row r="57" spans="1:21">
      <c r="A57" s="160">
        <f t="shared" si="1"/>
        <v>46</v>
      </c>
      <c r="B57" s="122">
        <v>8340</v>
      </c>
      <c r="C57" s="4" t="s">
        <v>287</v>
      </c>
      <c r="D57" s="89">
        <v>0</v>
      </c>
      <c r="E57" s="89">
        <v>0</v>
      </c>
      <c r="F57" s="89">
        <v>0</v>
      </c>
      <c r="G57" s="89">
        <v>0</v>
      </c>
      <c r="H57" s="89">
        <v>0</v>
      </c>
      <c r="I57" s="89">
        <v>0</v>
      </c>
      <c r="J57" s="112">
        <v>0</v>
      </c>
      <c r="K57" s="112">
        <v>0</v>
      </c>
      <c r="L57" s="112">
        <v>0</v>
      </c>
      <c r="M57" s="112">
        <v>0</v>
      </c>
      <c r="N57" s="112">
        <v>0</v>
      </c>
      <c r="O57" s="112">
        <v>0</v>
      </c>
      <c r="P57">
        <f t="shared" si="2"/>
        <v>0</v>
      </c>
      <c r="Q57" s="4"/>
      <c r="R57" s="172"/>
      <c r="S57" s="4"/>
    </row>
    <row r="58" spans="1:21">
      <c r="A58" s="160">
        <f t="shared" si="1"/>
        <v>47</v>
      </c>
      <c r="B58" s="122">
        <v>8350</v>
      </c>
      <c r="C58" s="4" t="s">
        <v>288</v>
      </c>
      <c r="D58" s="89">
        <f>0</f>
        <v>0</v>
      </c>
      <c r="E58" s="89">
        <f>0</f>
        <v>0</v>
      </c>
      <c r="F58" s="89">
        <f>0</f>
        <v>0</v>
      </c>
      <c r="G58" s="89">
        <f>0</f>
        <v>0</v>
      </c>
      <c r="H58" s="89">
        <f>0</f>
        <v>0</v>
      </c>
      <c r="I58" s="89">
        <f>0</f>
        <v>0</v>
      </c>
      <c r="J58" s="112">
        <v>0</v>
      </c>
      <c r="K58" s="112">
        <v>0</v>
      </c>
      <c r="L58" s="112">
        <v>0</v>
      </c>
      <c r="M58" s="112">
        <v>0</v>
      </c>
      <c r="N58" s="112">
        <v>0</v>
      </c>
      <c r="O58" s="112">
        <v>0</v>
      </c>
      <c r="P58">
        <f t="shared" si="2"/>
        <v>0</v>
      </c>
      <c r="Q58" s="4"/>
      <c r="R58" s="172"/>
      <c r="S58" s="4"/>
    </row>
    <row r="59" spans="1:21">
      <c r="A59" s="160">
        <f t="shared" si="1"/>
        <v>48</v>
      </c>
      <c r="B59" s="122">
        <v>8360</v>
      </c>
      <c r="C59" s="4" t="s">
        <v>289</v>
      </c>
      <c r="D59" s="89">
        <f>0</f>
        <v>0</v>
      </c>
      <c r="E59" s="89">
        <f>0</f>
        <v>0</v>
      </c>
      <c r="F59" s="89">
        <f>0</f>
        <v>0</v>
      </c>
      <c r="G59" s="89">
        <f>0</f>
        <v>0</v>
      </c>
      <c r="H59" s="89">
        <f>0</f>
        <v>0</v>
      </c>
      <c r="I59" s="89">
        <f>0</f>
        <v>0</v>
      </c>
      <c r="J59" s="112">
        <v>0</v>
      </c>
      <c r="K59" s="112">
        <v>0</v>
      </c>
      <c r="L59" s="112">
        <v>0</v>
      </c>
      <c r="M59" s="112">
        <v>0</v>
      </c>
      <c r="N59" s="112">
        <v>0</v>
      </c>
      <c r="O59" s="112">
        <v>0</v>
      </c>
      <c r="P59">
        <f t="shared" si="2"/>
        <v>0</v>
      </c>
      <c r="Q59" s="4"/>
      <c r="R59" s="172"/>
      <c r="S59" s="4"/>
    </row>
    <row r="60" spans="1:21">
      <c r="A60" s="160">
        <f t="shared" si="1"/>
        <v>49</v>
      </c>
      <c r="B60" s="122">
        <v>8370</v>
      </c>
      <c r="C60" s="4" t="s">
        <v>129</v>
      </c>
      <c r="D60" s="89">
        <f>0</f>
        <v>0</v>
      </c>
      <c r="E60" s="89">
        <f>0</f>
        <v>0</v>
      </c>
      <c r="F60" s="89">
        <f>0</f>
        <v>0</v>
      </c>
      <c r="G60" s="89">
        <f>0</f>
        <v>0</v>
      </c>
      <c r="H60" s="89">
        <f>0</f>
        <v>0</v>
      </c>
      <c r="I60" s="89">
        <f>0</f>
        <v>0</v>
      </c>
      <c r="J60" s="112">
        <v>0</v>
      </c>
      <c r="K60" s="112">
        <v>0</v>
      </c>
      <c r="L60" s="112">
        <v>0</v>
      </c>
      <c r="M60" s="112">
        <v>0</v>
      </c>
      <c r="N60" s="112">
        <v>0</v>
      </c>
      <c r="O60" s="112">
        <v>0</v>
      </c>
      <c r="P60">
        <f t="shared" si="2"/>
        <v>0</v>
      </c>
      <c r="Q60" s="4"/>
      <c r="R60" s="172"/>
      <c r="S60" s="4"/>
    </row>
    <row r="61" spans="1:21">
      <c r="A61" s="160">
        <f t="shared" si="1"/>
        <v>50</v>
      </c>
      <c r="B61" s="122">
        <v>8410</v>
      </c>
      <c r="C61" s="4" t="s">
        <v>290</v>
      </c>
      <c r="D61" s="89">
        <v>17322.14</v>
      </c>
      <c r="E61" s="89">
        <v>15589.689999999999</v>
      </c>
      <c r="F61" s="89">
        <v>30579.299999999996</v>
      </c>
      <c r="G61" s="89">
        <v>13059.27</v>
      </c>
      <c r="H61" s="89">
        <v>9380.32</v>
      </c>
      <c r="I61" s="89">
        <v>14961.36</v>
      </c>
      <c r="J61" s="112">
        <v>21070.727637754775</v>
      </c>
      <c r="K61" s="112">
        <v>20627.493600352311</v>
      </c>
      <c r="L61" s="112">
        <v>20541.91373933569</v>
      </c>
      <c r="M61" s="112">
        <v>20280.83239611832</v>
      </c>
      <c r="N61" s="112">
        <v>20943.648303388953</v>
      </c>
      <c r="O61" s="112">
        <v>20317.864800458017</v>
      </c>
      <c r="P61">
        <f t="shared" si="2"/>
        <v>224674.56047740806</v>
      </c>
      <c r="Q61" s="4"/>
      <c r="R61" s="4"/>
      <c r="S61" s="4"/>
    </row>
    <row r="62" spans="1:21">
      <c r="A62" s="160">
        <f t="shared" si="1"/>
        <v>51</v>
      </c>
      <c r="B62" s="122">
        <v>8500</v>
      </c>
      <c r="C62" t="s">
        <v>153</v>
      </c>
      <c r="D62" s="89">
        <v>0</v>
      </c>
      <c r="E62" s="89">
        <v>0</v>
      </c>
      <c r="F62" s="89">
        <v>3849.61</v>
      </c>
      <c r="G62" s="89">
        <v>4206.46</v>
      </c>
      <c r="H62" s="89">
        <v>0</v>
      </c>
      <c r="I62" s="89">
        <v>0</v>
      </c>
      <c r="J62" s="112">
        <v>946.58671748546442</v>
      </c>
      <c r="K62" s="112">
        <v>1055.2888041657197</v>
      </c>
      <c r="L62" s="112">
        <v>1185.4629079680008</v>
      </c>
      <c r="M62" s="112">
        <v>1074.5241528375345</v>
      </c>
      <c r="N62" s="112">
        <v>951.86525502796235</v>
      </c>
      <c r="O62" s="112">
        <v>1132.24451353106</v>
      </c>
      <c r="P62">
        <f t="shared" si="2"/>
        <v>14402.042351015742</v>
      </c>
      <c r="Q62" s="4"/>
      <c r="R62" s="4"/>
      <c r="S62" s="4"/>
    </row>
    <row r="63" spans="1:21">
      <c r="A63" s="160">
        <f t="shared" si="1"/>
        <v>52</v>
      </c>
      <c r="B63" s="122">
        <v>8520</v>
      </c>
      <c r="C63" s="4" t="s">
        <v>134</v>
      </c>
      <c r="D63" s="89">
        <f>0</f>
        <v>0</v>
      </c>
      <c r="E63" s="89">
        <f>0</f>
        <v>0</v>
      </c>
      <c r="F63" s="89">
        <f>0</f>
        <v>0</v>
      </c>
      <c r="G63" s="89">
        <f>0</f>
        <v>0</v>
      </c>
      <c r="H63" s="89">
        <f>0</f>
        <v>0</v>
      </c>
      <c r="I63" s="89">
        <f>0</f>
        <v>0</v>
      </c>
      <c r="J63" s="112">
        <v>0</v>
      </c>
      <c r="K63" s="112">
        <v>0</v>
      </c>
      <c r="L63" s="112">
        <v>0</v>
      </c>
      <c r="M63" s="112">
        <v>0</v>
      </c>
      <c r="N63" s="112">
        <v>0</v>
      </c>
      <c r="O63" s="112">
        <v>0</v>
      </c>
      <c r="P63">
        <f t="shared" si="2"/>
        <v>0</v>
      </c>
      <c r="Q63" s="4"/>
      <c r="R63" s="4"/>
      <c r="S63" s="4"/>
      <c r="U63" s="165"/>
    </row>
    <row r="64" spans="1:21">
      <c r="A64" s="160">
        <f t="shared" si="1"/>
        <v>53</v>
      </c>
      <c r="B64" s="122">
        <v>8550</v>
      </c>
      <c r="C64" s="4" t="s">
        <v>291</v>
      </c>
      <c r="D64" s="89">
        <v>2.52</v>
      </c>
      <c r="E64" s="89">
        <v>35.93</v>
      </c>
      <c r="F64" s="89">
        <v>37.39</v>
      </c>
      <c r="G64" s="89">
        <v>0</v>
      </c>
      <c r="H64" s="89">
        <v>0</v>
      </c>
      <c r="I64" s="89">
        <v>32.46</v>
      </c>
      <c r="J64" s="112">
        <v>16.74701563442984</v>
      </c>
      <c r="K64" s="112">
        <v>17.016698909514169</v>
      </c>
      <c r="L64" s="112">
        <v>15.878841093132381</v>
      </c>
      <c r="M64" s="112">
        <v>16.750779943167473</v>
      </c>
      <c r="N64" s="112">
        <v>15.660208768311715</v>
      </c>
      <c r="O64" s="112">
        <v>15.655043786555433</v>
      </c>
      <c r="P64">
        <f t="shared" si="2"/>
        <v>206.00858813511107</v>
      </c>
      <c r="Q64" s="4"/>
      <c r="R64" s="4"/>
      <c r="S64" s="4"/>
      <c r="U64" s="165"/>
    </row>
    <row r="65" spans="1:19">
      <c r="A65" s="160">
        <f t="shared" si="1"/>
        <v>54</v>
      </c>
      <c r="B65" s="122">
        <v>8560</v>
      </c>
      <c r="C65" s="4" t="s">
        <v>292</v>
      </c>
      <c r="D65" s="89">
        <v>17870.969999999998</v>
      </c>
      <c r="E65" s="89">
        <v>13841.660000000003</v>
      </c>
      <c r="F65" s="89">
        <v>7657.89</v>
      </c>
      <c r="G65" s="89">
        <v>12373.059999999998</v>
      </c>
      <c r="H65" s="89">
        <v>9541.5300000000007</v>
      </c>
      <c r="I65" s="89">
        <v>18556.419999999998</v>
      </c>
      <c r="J65" s="112">
        <v>14993.185325060298</v>
      </c>
      <c r="K65" s="112">
        <v>14698.010599695928</v>
      </c>
      <c r="L65" s="112">
        <v>14949.387819578929</v>
      </c>
      <c r="M65" s="112">
        <v>14897.128169951382</v>
      </c>
      <c r="N65" s="112">
        <v>14928.669043800981</v>
      </c>
      <c r="O65" s="112">
        <v>16449.337875170218</v>
      </c>
      <c r="P65">
        <f t="shared" si="2"/>
        <v>170757.24883325773</v>
      </c>
      <c r="Q65" s="4"/>
      <c r="R65" s="172"/>
      <c r="S65" s="4"/>
    </row>
    <row r="66" spans="1:19">
      <c r="A66" s="160">
        <f t="shared" si="1"/>
        <v>55</v>
      </c>
      <c r="B66" s="122">
        <v>8570</v>
      </c>
      <c r="C66" s="4" t="s">
        <v>293</v>
      </c>
      <c r="D66" s="89">
        <v>627.84999999999991</v>
      </c>
      <c r="E66" s="89">
        <v>2497.84</v>
      </c>
      <c r="F66" s="89">
        <v>618.29</v>
      </c>
      <c r="G66" s="89">
        <v>665.65</v>
      </c>
      <c r="H66" s="89">
        <v>680.32999999999993</v>
      </c>
      <c r="I66" s="89">
        <v>890.4799999999999</v>
      </c>
      <c r="J66" s="112">
        <v>971.53543568211921</v>
      </c>
      <c r="K66" s="112">
        <v>951.78203875304803</v>
      </c>
      <c r="L66" s="112">
        <v>959.11559675274941</v>
      </c>
      <c r="M66" s="112">
        <v>995.68982684294906</v>
      </c>
      <c r="N66" s="112">
        <v>939.69844708530945</v>
      </c>
      <c r="O66" s="112">
        <v>1090.2046358989051</v>
      </c>
      <c r="P66">
        <f t="shared" si="2"/>
        <v>11888.465981015079</v>
      </c>
      <c r="Q66" s="4"/>
      <c r="R66" s="4"/>
      <c r="S66" s="4"/>
    </row>
    <row r="67" spans="1:19">
      <c r="A67" s="160">
        <f>A66+1</f>
        <v>56</v>
      </c>
      <c r="B67" s="122">
        <v>8630</v>
      </c>
      <c r="C67" s="4" t="s">
        <v>294</v>
      </c>
      <c r="D67" s="89">
        <v>1083.33</v>
      </c>
      <c r="E67" s="89">
        <v>1397.21</v>
      </c>
      <c r="F67" s="89">
        <v>-623.91999999999996</v>
      </c>
      <c r="G67" s="89">
        <v>0</v>
      </c>
      <c r="H67" s="89">
        <v>0</v>
      </c>
      <c r="I67" s="89">
        <v>0</v>
      </c>
      <c r="J67" s="112">
        <v>364.69102892697555</v>
      </c>
      <c r="K67" s="112">
        <v>356.43017566342161</v>
      </c>
      <c r="L67" s="112">
        <v>357.42827709775554</v>
      </c>
      <c r="M67" s="112">
        <v>353.36102770788108</v>
      </c>
      <c r="N67" s="112">
        <v>360.79263920185775</v>
      </c>
      <c r="O67" s="112">
        <v>342.347809541988</v>
      </c>
      <c r="P67">
        <f t="shared" si="2"/>
        <v>3991.6709581398791</v>
      </c>
      <c r="Q67" s="4"/>
      <c r="R67" s="172"/>
      <c r="S67" s="4"/>
    </row>
    <row r="68" spans="1:19">
      <c r="A68" s="160">
        <f t="shared" si="1"/>
        <v>57</v>
      </c>
      <c r="B68" s="122">
        <v>8640</v>
      </c>
      <c r="C68" s="4" t="s">
        <v>295</v>
      </c>
      <c r="D68" s="89">
        <f>0</f>
        <v>0</v>
      </c>
      <c r="E68" s="89">
        <f>0</f>
        <v>0</v>
      </c>
      <c r="F68" s="89">
        <f>0</f>
        <v>0</v>
      </c>
      <c r="G68" s="89">
        <f>0</f>
        <v>0</v>
      </c>
      <c r="H68" s="89">
        <f>0</f>
        <v>0</v>
      </c>
      <c r="I68" s="89">
        <f>0</f>
        <v>0</v>
      </c>
      <c r="J68" s="112">
        <v>0</v>
      </c>
      <c r="K68" s="112">
        <v>0</v>
      </c>
      <c r="L68" s="112">
        <v>0</v>
      </c>
      <c r="M68" s="112">
        <v>0</v>
      </c>
      <c r="N68" s="112">
        <v>0</v>
      </c>
      <c r="O68" s="112">
        <v>0</v>
      </c>
      <c r="P68">
        <f t="shared" si="2"/>
        <v>0</v>
      </c>
      <c r="Q68" s="4"/>
      <c r="R68" s="172"/>
      <c r="S68" s="4"/>
    </row>
    <row r="69" spans="1:19">
      <c r="A69" s="160">
        <f t="shared" si="1"/>
        <v>58</v>
      </c>
      <c r="B69" s="122">
        <v>8650</v>
      </c>
      <c r="C69" s="4" t="s">
        <v>296</v>
      </c>
      <c r="D69" s="89">
        <f>0</f>
        <v>0</v>
      </c>
      <c r="E69" s="89">
        <f>0</f>
        <v>0</v>
      </c>
      <c r="F69" s="89">
        <f>0</f>
        <v>0</v>
      </c>
      <c r="G69" s="89">
        <f>0</f>
        <v>0</v>
      </c>
      <c r="H69" s="89">
        <f>0</f>
        <v>0</v>
      </c>
      <c r="I69" s="89">
        <f>0</f>
        <v>0</v>
      </c>
      <c r="J69" s="112">
        <v>0</v>
      </c>
      <c r="K69" s="112">
        <v>0</v>
      </c>
      <c r="L69" s="112">
        <v>0</v>
      </c>
      <c r="M69" s="112">
        <v>0</v>
      </c>
      <c r="N69" s="112">
        <v>0</v>
      </c>
      <c r="O69" s="112">
        <v>0</v>
      </c>
      <c r="P69">
        <f t="shared" si="2"/>
        <v>0</v>
      </c>
      <c r="Q69" s="4"/>
      <c r="R69" s="4"/>
      <c r="S69" s="4"/>
    </row>
    <row r="70" spans="1:19">
      <c r="A70" s="160">
        <f t="shared" si="1"/>
        <v>59</v>
      </c>
      <c r="B70" s="122">
        <v>8700</v>
      </c>
      <c r="C70" s="4" t="s">
        <v>297</v>
      </c>
      <c r="D70" s="89">
        <v>71287.709999999919</v>
      </c>
      <c r="E70" s="89">
        <v>66361.860000000073</v>
      </c>
      <c r="F70" s="89">
        <v>95387.119999999981</v>
      </c>
      <c r="G70" s="89">
        <v>79707.709999999919</v>
      </c>
      <c r="H70" s="89">
        <v>56124.130000000019</v>
      </c>
      <c r="I70" s="89">
        <v>82260.840000000127</v>
      </c>
      <c r="J70" s="112">
        <v>93122.236122692775</v>
      </c>
      <c r="K70" s="112">
        <v>98201.902429322727</v>
      </c>
      <c r="L70" s="112">
        <v>95512.323112187267</v>
      </c>
      <c r="M70" s="112">
        <v>96985.766161375301</v>
      </c>
      <c r="N70" s="112">
        <v>97459.588276690425</v>
      </c>
      <c r="O70" s="112">
        <v>115322.44606902936</v>
      </c>
      <c r="P70">
        <f t="shared" si="2"/>
        <v>1047733.6321712979</v>
      </c>
      <c r="Q70" s="4"/>
      <c r="R70" s="172"/>
      <c r="S70" s="4"/>
    </row>
    <row r="71" spans="1:19">
      <c r="A71" s="160">
        <f t="shared" si="1"/>
        <v>60</v>
      </c>
      <c r="B71" s="122">
        <v>8710</v>
      </c>
      <c r="C71" s="4" t="s">
        <v>298</v>
      </c>
      <c r="D71" s="89">
        <v>23.54</v>
      </c>
      <c r="E71" s="89">
        <v>22.74</v>
      </c>
      <c r="F71" s="89">
        <v>20.54</v>
      </c>
      <c r="G71" s="89">
        <v>20.059999999999999</v>
      </c>
      <c r="H71" s="89">
        <v>0</v>
      </c>
      <c r="I71" s="89">
        <v>122.51</v>
      </c>
      <c r="J71" s="112">
        <v>32.379109914065225</v>
      </c>
      <c r="K71" s="112">
        <v>32.900522480731034</v>
      </c>
      <c r="L71" s="112">
        <v>30.70055897036924</v>
      </c>
      <c r="M71" s="112">
        <v>32.38638792520625</v>
      </c>
      <c r="N71" s="112">
        <v>30.277849621392331</v>
      </c>
      <c r="O71" s="112">
        <v>30.267863513082567</v>
      </c>
      <c r="P71">
        <f t="shared" si="2"/>
        <v>398.30229242484654</v>
      </c>
      <c r="Q71" s="4"/>
      <c r="R71" s="172"/>
      <c r="S71" s="4"/>
    </row>
    <row r="72" spans="1:19">
      <c r="A72" s="160">
        <f t="shared" si="1"/>
        <v>61</v>
      </c>
      <c r="B72" s="122">
        <v>8711</v>
      </c>
      <c r="C72" t="s">
        <v>299</v>
      </c>
      <c r="D72" s="89">
        <v>9981.4599999999991</v>
      </c>
      <c r="E72" s="89">
        <v>0</v>
      </c>
      <c r="F72" s="89">
        <v>3591.52</v>
      </c>
      <c r="G72" s="89">
        <v>5219.08</v>
      </c>
      <c r="H72" s="89">
        <v>3673.96</v>
      </c>
      <c r="I72" s="89">
        <v>26350.930000000004</v>
      </c>
      <c r="J72" s="112">
        <v>8376.3304357184188</v>
      </c>
      <c r="K72" s="112">
        <v>7180.9870015487395</v>
      </c>
      <c r="L72" s="112">
        <v>9438.0623159543757</v>
      </c>
      <c r="M72" s="112">
        <v>9617.5342908122111</v>
      </c>
      <c r="N72" s="112">
        <v>8893.7159447132144</v>
      </c>
      <c r="O72" s="112">
        <v>15806.480344670883</v>
      </c>
      <c r="P72">
        <f t="shared" si="2"/>
        <v>108130.06033341784</v>
      </c>
      <c r="Q72" s="4"/>
      <c r="R72" s="172"/>
      <c r="S72" s="4"/>
    </row>
    <row r="73" spans="1:19">
      <c r="A73" s="160">
        <f t="shared" si="1"/>
        <v>62</v>
      </c>
      <c r="B73" s="122">
        <v>8720</v>
      </c>
      <c r="C73" t="s">
        <v>300</v>
      </c>
      <c r="D73" s="89">
        <f>0</f>
        <v>0</v>
      </c>
      <c r="E73" s="89">
        <f>0</f>
        <v>0</v>
      </c>
      <c r="F73" s="89">
        <f>0</f>
        <v>0</v>
      </c>
      <c r="G73" s="89">
        <f>0</f>
        <v>0</v>
      </c>
      <c r="H73" s="89">
        <f>0</f>
        <v>0</v>
      </c>
      <c r="I73" s="89">
        <f>0</f>
        <v>0</v>
      </c>
      <c r="J73" s="112">
        <v>0</v>
      </c>
      <c r="K73" s="112">
        <v>0</v>
      </c>
      <c r="L73" s="112">
        <v>0</v>
      </c>
      <c r="M73" s="112">
        <v>0</v>
      </c>
      <c r="N73" s="112">
        <v>0</v>
      </c>
      <c r="O73" s="112">
        <v>0</v>
      </c>
      <c r="P73">
        <f t="shared" si="2"/>
        <v>0</v>
      </c>
      <c r="Q73" s="4"/>
      <c r="R73" s="172"/>
      <c r="S73" s="4"/>
    </row>
    <row r="74" spans="1:19">
      <c r="A74" s="160">
        <f t="shared" si="1"/>
        <v>63</v>
      </c>
      <c r="B74" s="122">
        <v>8740</v>
      </c>
      <c r="C74" s="4" t="s">
        <v>301</v>
      </c>
      <c r="D74" s="89">
        <v>432009.12000000005</v>
      </c>
      <c r="E74" s="89">
        <v>431860.20999999996</v>
      </c>
      <c r="F74" s="89">
        <v>432337.6999999999</v>
      </c>
      <c r="G74" s="89">
        <v>430923.01</v>
      </c>
      <c r="H74" s="89">
        <v>490518.82999999996</v>
      </c>
      <c r="I74" s="89">
        <v>491740.31999999995</v>
      </c>
      <c r="J74" s="112">
        <v>521671.42298099218</v>
      </c>
      <c r="K74" s="112">
        <v>532162.46733663278</v>
      </c>
      <c r="L74" s="112">
        <v>560329.13107562414</v>
      </c>
      <c r="M74" s="112">
        <v>549227.18836872245</v>
      </c>
      <c r="N74" s="112">
        <v>525467.83047399053</v>
      </c>
      <c r="O74" s="112">
        <v>485333.60735333659</v>
      </c>
      <c r="P74">
        <f t="shared" si="2"/>
        <v>5883580.8375892984</v>
      </c>
      <c r="Q74" s="4"/>
      <c r="R74" s="172"/>
      <c r="S74" s="4"/>
    </row>
    <row r="75" spans="1:19">
      <c r="A75" s="160">
        <f t="shared" si="1"/>
        <v>64</v>
      </c>
      <c r="B75" s="122">
        <v>8750</v>
      </c>
      <c r="C75" s="4" t="s">
        <v>302</v>
      </c>
      <c r="D75" s="89">
        <v>21441.86</v>
      </c>
      <c r="E75" s="89">
        <v>41165.279999999999</v>
      </c>
      <c r="F75" s="89">
        <v>43475.799999999996</v>
      </c>
      <c r="G75" s="89">
        <v>39742.289999999994</v>
      </c>
      <c r="H75" s="89">
        <v>48221.07</v>
      </c>
      <c r="I75" s="89">
        <v>32227.400000000005</v>
      </c>
      <c r="J75" s="112">
        <v>43114.740118733498</v>
      </c>
      <c r="K75" s="112">
        <v>41937.696367369768</v>
      </c>
      <c r="L75" s="112">
        <v>44200.348201573179</v>
      </c>
      <c r="M75" s="112">
        <v>43772.570403527316</v>
      </c>
      <c r="N75" s="112">
        <v>43185.305636721838</v>
      </c>
      <c r="O75" s="112">
        <v>46823.618245086742</v>
      </c>
      <c r="P75">
        <f t="shared" si="2"/>
        <v>489307.97897301236</v>
      </c>
      <c r="Q75" s="4"/>
      <c r="R75" s="172"/>
      <c r="S75" s="4"/>
    </row>
    <row r="76" spans="1:19">
      <c r="A76" s="160">
        <f t="shared" si="1"/>
        <v>65</v>
      </c>
      <c r="B76" s="122">
        <v>8760</v>
      </c>
      <c r="C76" s="4" t="s">
        <v>303</v>
      </c>
      <c r="D76" s="89">
        <v>2416.0100000000002</v>
      </c>
      <c r="E76" s="89">
        <v>1483.0500000000002</v>
      </c>
      <c r="F76" s="89">
        <v>49.21</v>
      </c>
      <c r="G76" s="89">
        <v>-93.13</v>
      </c>
      <c r="H76" s="89">
        <v>4198.7299999999996</v>
      </c>
      <c r="I76" s="89">
        <v>4164.2199999999993</v>
      </c>
      <c r="J76" s="112">
        <v>2381.4100909874433</v>
      </c>
      <c r="K76" s="112">
        <v>2311.1585684840911</v>
      </c>
      <c r="L76" s="112">
        <v>2354.0666800393965</v>
      </c>
      <c r="M76" s="112">
        <v>2332.4211296451299</v>
      </c>
      <c r="N76" s="112">
        <v>2366.3778721837839</v>
      </c>
      <c r="O76" s="112">
        <v>2366.2260961240472</v>
      </c>
      <c r="P76">
        <f t="shared" si="2"/>
        <v>26329.750437463888</v>
      </c>
      <c r="Q76" s="4"/>
      <c r="R76" s="172"/>
      <c r="S76" s="4"/>
    </row>
    <row r="77" spans="1:19">
      <c r="A77" s="160">
        <f t="shared" ref="A77:A113" si="4">A76+1</f>
        <v>66</v>
      </c>
      <c r="B77" s="122">
        <v>8770</v>
      </c>
      <c r="C77" s="4" t="s">
        <v>304</v>
      </c>
      <c r="D77" s="89">
        <v>197</v>
      </c>
      <c r="E77" s="89">
        <v>211.44</v>
      </c>
      <c r="F77" s="89">
        <v>271.94</v>
      </c>
      <c r="G77" s="89">
        <v>352.28000000000003</v>
      </c>
      <c r="H77" s="89">
        <v>394.81000000000006</v>
      </c>
      <c r="I77" s="89">
        <v>427.57</v>
      </c>
      <c r="J77" s="112">
        <v>286.85488349485433</v>
      </c>
      <c r="K77" s="112">
        <v>291.47421186616026</v>
      </c>
      <c r="L77" s="112">
        <v>271.98416788000264</v>
      </c>
      <c r="M77" s="112">
        <v>286.91936127214575</v>
      </c>
      <c r="N77" s="112">
        <v>268.23927676425632</v>
      </c>
      <c r="O77" s="112">
        <v>268.15080725587984</v>
      </c>
      <c r="P77">
        <f t="shared" si="2"/>
        <v>3528.6627085332993</v>
      </c>
      <c r="Q77" s="4"/>
      <c r="R77" s="172"/>
      <c r="S77" s="4"/>
    </row>
    <row r="78" spans="1:19">
      <c r="A78" s="160">
        <f t="shared" si="4"/>
        <v>67</v>
      </c>
      <c r="B78" s="122">
        <v>8780</v>
      </c>
      <c r="C78" s="4" t="s">
        <v>305</v>
      </c>
      <c r="D78" s="89">
        <v>84884.89</v>
      </c>
      <c r="E78" s="89">
        <v>94390.59</v>
      </c>
      <c r="F78" s="89">
        <v>95348.830000000045</v>
      </c>
      <c r="G78" s="89">
        <v>79105.660000000033</v>
      </c>
      <c r="H78" s="89">
        <v>75250.130000000019</v>
      </c>
      <c r="I78" s="89">
        <v>54351.920000000006</v>
      </c>
      <c r="J78" s="112">
        <v>96001.383938557163</v>
      </c>
      <c r="K78" s="112">
        <v>93785.614255938926</v>
      </c>
      <c r="L78" s="112">
        <v>94112.153148435988</v>
      </c>
      <c r="M78" s="112">
        <v>93164.82405371053</v>
      </c>
      <c r="N78" s="112">
        <v>95188.153104340512</v>
      </c>
      <c r="O78" s="112">
        <v>92619.980675173952</v>
      </c>
      <c r="P78">
        <f t="shared" ref="P78:P111" si="5">SUM(D78:O78)</f>
        <v>1048204.1291761572</v>
      </c>
      <c r="Q78" s="4"/>
      <c r="R78" s="172"/>
      <c r="S78" s="4"/>
    </row>
    <row r="79" spans="1:19">
      <c r="A79" s="160">
        <f t="shared" si="4"/>
        <v>68</v>
      </c>
      <c r="B79" s="122">
        <v>8790</v>
      </c>
      <c r="C79" s="4" t="s">
        <v>306</v>
      </c>
      <c r="D79" s="89">
        <v>0</v>
      </c>
      <c r="E79" s="89">
        <v>0</v>
      </c>
      <c r="F79" s="89">
        <v>0</v>
      </c>
      <c r="G79" s="89">
        <v>0</v>
      </c>
      <c r="H79" s="89">
        <v>0</v>
      </c>
      <c r="I79" s="89">
        <v>0</v>
      </c>
      <c r="J79" s="112">
        <v>0</v>
      </c>
      <c r="K79" s="112">
        <v>0</v>
      </c>
      <c r="L79" s="112">
        <v>0</v>
      </c>
      <c r="M79" s="112">
        <v>0</v>
      </c>
      <c r="N79" s="112">
        <v>0</v>
      </c>
      <c r="O79" s="112">
        <v>0</v>
      </c>
      <c r="P79">
        <f t="shared" si="5"/>
        <v>0</v>
      </c>
      <c r="Q79" s="4"/>
      <c r="R79" s="172"/>
      <c r="S79" s="4"/>
    </row>
    <row r="80" spans="1:19">
      <c r="A80" s="160">
        <f t="shared" si="4"/>
        <v>69</v>
      </c>
      <c r="B80" s="122">
        <v>8800</v>
      </c>
      <c r="C80" s="4" t="s">
        <v>307</v>
      </c>
      <c r="D80" s="89">
        <v>586.12000000000012</v>
      </c>
      <c r="E80" s="89">
        <v>14</v>
      </c>
      <c r="F80" s="89">
        <v>157.12999999999997</v>
      </c>
      <c r="G80" s="89">
        <v>228.38</v>
      </c>
      <c r="H80" s="89">
        <v>0</v>
      </c>
      <c r="I80" s="89">
        <v>33.019999999999989</v>
      </c>
      <c r="J80" s="112">
        <v>117.80498651480819</v>
      </c>
      <c r="K80" s="112">
        <v>113.47537053521938</v>
      </c>
      <c r="L80" s="112">
        <v>118.90895765227725</v>
      </c>
      <c r="M80" s="112">
        <v>123.80517292802701</v>
      </c>
      <c r="N80" s="112">
        <v>119.0382073254508</v>
      </c>
      <c r="O80" s="112">
        <v>151.49020811283282</v>
      </c>
      <c r="P80">
        <f t="shared" si="5"/>
        <v>1763.1729030686154</v>
      </c>
      <c r="Q80" s="4"/>
      <c r="R80" s="4"/>
      <c r="S80" s="4"/>
    </row>
    <row r="81" spans="1:21">
      <c r="A81" s="160">
        <f t="shared" si="4"/>
        <v>70</v>
      </c>
      <c r="B81" s="122">
        <v>8810</v>
      </c>
      <c r="C81" s="4" t="s">
        <v>308</v>
      </c>
      <c r="D81" s="89">
        <v>35928.699999999997</v>
      </c>
      <c r="E81" s="89">
        <v>32990.769999999997</v>
      </c>
      <c r="F81" s="89">
        <v>34106.49</v>
      </c>
      <c r="G81" s="89">
        <v>37628.39999999998</v>
      </c>
      <c r="H81" s="89">
        <v>40035.220000000008</v>
      </c>
      <c r="I81" s="89">
        <v>43174.249999999993</v>
      </c>
      <c r="J81" s="112">
        <v>24983.550526013558</v>
      </c>
      <c r="K81" s="112">
        <v>25109.639620637874</v>
      </c>
      <c r="L81" s="112">
        <v>22395.986080873747</v>
      </c>
      <c r="M81" s="112">
        <v>23354.210256546106</v>
      </c>
      <c r="N81" s="112">
        <v>19802.794648471794</v>
      </c>
      <c r="O81" s="112">
        <v>21482.139115648471</v>
      </c>
      <c r="P81">
        <f t="shared" si="5"/>
        <v>360992.15024819155</v>
      </c>
      <c r="Q81" s="4"/>
      <c r="R81" s="4"/>
      <c r="S81" s="4"/>
    </row>
    <row r="82" spans="1:21">
      <c r="A82" s="160">
        <f t="shared" si="4"/>
        <v>71</v>
      </c>
      <c r="B82" s="122">
        <v>8850</v>
      </c>
      <c r="C82" s="4" t="s">
        <v>309</v>
      </c>
      <c r="D82" s="89">
        <v>0</v>
      </c>
      <c r="E82" s="89">
        <v>0</v>
      </c>
      <c r="F82" s="89">
        <v>36.979999999999997</v>
      </c>
      <c r="G82" s="89">
        <v>53.53</v>
      </c>
      <c r="H82" s="89">
        <v>0</v>
      </c>
      <c r="I82" s="89">
        <v>0</v>
      </c>
      <c r="J82" s="112">
        <v>14.124793219220276</v>
      </c>
      <c r="K82" s="112">
        <v>14.728684414327203</v>
      </c>
      <c r="L82" s="112">
        <v>14.539268960661797</v>
      </c>
      <c r="M82" s="112">
        <v>14.76978549678782</v>
      </c>
      <c r="N82" s="112">
        <v>16.657926212267888</v>
      </c>
      <c r="O82" s="112">
        <v>14.480962773915339</v>
      </c>
      <c r="P82">
        <f t="shared" si="5"/>
        <v>179.81142107718031</v>
      </c>
      <c r="Q82" s="4"/>
      <c r="R82" s="4"/>
      <c r="S82" s="4"/>
    </row>
    <row r="83" spans="1:21">
      <c r="A83" s="160">
        <f t="shared" si="4"/>
        <v>72</v>
      </c>
      <c r="B83" s="122">
        <v>8860</v>
      </c>
      <c r="C83" s="4" t="s">
        <v>310</v>
      </c>
      <c r="D83" s="89">
        <v>0</v>
      </c>
      <c r="E83" s="89">
        <v>0</v>
      </c>
      <c r="F83" s="89">
        <v>0</v>
      </c>
      <c r="G83" s="89">
        <v>0</v>
      </c>
      <c r="H83" s="89">
        <v>0</v>
      </c>
      <c r="I83" s="89">
        <v>0</v>
      </c>
      <c r="J83" s="112">
        <v>0</v>
      </c>
      <c r="K83" s="112">
        <v>0</v>
      </c>
      <c r="L83" s="112">
        <v>0</v>
      </c>
      <c r="M83" s="112">
        <v>0</v>
      </c>
      <c r="N83" s="112">
        <v>0</v>
      </c>
      <c r="O83" s="112">
        <v>0</v>
      </c>
      <c r="P83">
        <f t="shared" si="5"/>
        <v>0</v>
      </c>
      <c r="Q83" s="4"/>
      <c r="R83" s="4"/>
      <c r="S83" s="4"/>
    </row>
    <row r="84" spans="1:21">
      <c r="A84" s="160">
        <f t="shared" si="4"/>
        <v>73</v>
      </c>
      <c r="B84" s="122">
        <v>8870</v>
      </c>
      <c r="C84" s="4" t="s">
        <v>311</v>
      </c>
      <c r="D84" s="89">
        <v>-814.19</v>
      </c>
      <c r="E84" s="89">
        <v>252.19</v>
      </c>
      <c r="F84" s="89">
        <v>62.52000000000001</v>
      </c>
      <c r="G84" s="89">
        <v>6237.0700000000006</v>
      </c>
      <c r="H84" s="89">
        <v>2539.86</v>
      </c>
      <c r="I84" s="89">
        <v>291.18000000000006</v>
      </c>
      <c r="J84" s="112">
        <v>1522.9165062399481</v>
      </c>
      <c r="K84" s="112">
        <v>1553.2046809065062</v>
      </c>
      <c r="L84" s="112">
        <v>1694.1606740737716</v>
      </c>
      <c r="M84" s="112">
        <v>1613.5544156016083</v>
      </c>
      <c r="N84" s="112">
        <v>1504.7616797221572</v>
      </c>
      <c r="O84" s="112">
        <v>1381.985227436403</v>
      </c>
      <c r="P84">
        <f t="shared" si="5"/>
        <v>17839.213183980395</v>
      </c>
      <c r="Q84" s="4"/>
      <c r="R84" s="98"/>
      <c r="S84" s="4"/>
    </row>
    <row r="85" spans="1:21">
      <c r="A85" s="160">
        <f t="shared" si="4"/>
        <v>74</v>
      </c>
      <c r="B85" s="122">
        <v>8890</v>
      </c>
      <c r="C85" s="173" t="s">
        <v>312</v>
      </c>
      <c r="D85" s="89">
        <v>7538.23</v>
      </c>
      <c r="E85" s="89">
        <v>1569.38</v>
      </c>
      <c r="F85" s="89">
        <v>2676.37</v>
      </c>
      <c r="G85" s="89">
        <v>1239.4900000000002</v>
      </c>
      <c r="H85" s="89">
        <v>3167.36</v>
      </c>
      <c r="I85" s="89">
        <v>12320.66</v>
      </c>
      <c r="J85" s="112">
        <v>4853.9923769279358</v>
      </c>
      <c r="K85" s="112">
        <v>4753.0621437031577</v>
      </c>
      <c r="L85" s="112">
        <v>5636.1421208271677</v>
      </c>
      <c r="M85" s="112">
        <v>5434.1657090158751</v>
      </c>
      <c r="N85" s="112">
        <v>4916.4143004307152</v>
      </c>
      <c r="O85" s="112">
        <v>5959.7283589779036</v>
      </c>
      <c r="P85">
        <f t="shared" si="5"/>
        <v>60064.995009882761</v>
      </c>
      <c r="Q85" s="4"/>
      <c r="R85" s="4"/>
      <c r="S85" s="4"/>
    </row>
    <row r="86" spans="1:21">
      <c r="A86" s="160">
        <f t="shared" si="4"/>
        <v>75</v>
      </c>
      <c r="B86" s="122">
        <v>8900</v>
      </c>
      <c r="C86" s="4" t="s">
        <v>313</v>
      </c>
      <c r="D86" s="89">
        <f>0</f>
        <v>0</v>
      </c>
      <c r="E86" s="89">
        <f>0</f>
        <v>0</v>
      </c>
      <c r="F86" s="89">
        <f>0</f>
        <v>0</v>
      </c>
      <c r="G86" s="89">
        <f>0</f>
        <v>0</v>
      </c>
      <c r="H86" s="89">
        <f>0</f>
        <v>0</v>
      </c>
      <c r="I86" s="89">
        <f>0</f>
        <v>0</v>
      </c>
      <c r="J86" s="112">
        <v>0</v>
      </c>
      <c r="K86" s="112">
        <v>0</v>
      </c>
      <c r="L86" s="112">
        <v>0</v>
      </c>
      <c r="M86" s="112">
        <v>0</v>
      </c>
      <c r="N86" s="112">
        <v>0</v>
      </c>
      <c r="O86" s="112">
        <v>0</v>
      </c>
      <c r="P86">
        <f t="shared" si="5"/>
        <v>0</v>
      </c>
      <c r="Q86" s="4"/>
      <c r="R86" s="4"/>
      <c r="S86" s="4"/>
    </row>
    <row r="87" spans="1:21">
      <c r="A87" s="160">
        <f t="shared" si="4"/>
        <v>76</v>
      </c>
      <c r="B87" s="122">
        <v>8910</v>
      </c>
      <c r="C87" s="4" t="s">
        <v>314</v>
      </c>
      <c r="D87" s="89">
        <v>-117.09</v>
      </c>
      <c r="E87" s="89">
        <v>0</v>
      </c>
      <c r="F87" s="89">
        <v>0</v>
      </c>
      <c r="G87" s="89">
        <v>0</v>
      </c>
      <c r="H87" s="89">
        <v>906.68000000000006</v>
      </c>
      <c r="I87" s="89">
        <v>180.95</v>
      </c>
      <c r="J87" s="112">
        <v>190.64064332754509</v>
      </c>
      <c r="K87" s="112">
        <v>186.32231834644523</v>
      </c>
      <c r="L87" s="112">
        <v>186.8440715140716</v>
      </c>
      <c r="M87" s="112">
        <v>184.7179346509285</v>
      </c>
      <c r="N87" s="112">
        <v>188.60277711700346</v>
      </c>
      <c r="O87" s="112">
        <v>178.96082293246923</v>
      </c>
      <c r="P87">
        <f t="shared" si="5"/>
        <v>2086.6285678884633</v>
      </c>
      <c r="Q87" s="4"/>
      <c r="R87" s="4"/>
      <c r="S87" s="4"/>
    </row>
    <row r="88" spans="1:21">
      <c r="A88" s="160">
        <f t="shared" si="4"/>
        <v>77</v>
      </c>
      <c r="B88" s="122">
        <v>8920</v>
      </c>
      <c r="C88" s="4" t="s">
        <v>315</v>
      </c>
      <c r="D88" s="89">
        <v>0</v>
      </c>
      <c r="E88" s="89">
        <v>77.08</v>
      </c>
      <c r="F88" s="89">
        <v>222.45</v>
      </c>
      <c r="G88" s="89">
        <v>215.4</v>
      </c>
      <c r="H88" s="89">
        <v>-43.76</v>
      </c>
      <c r="I88" s="89">
        <v>105.92</v>
      </c>
      <c r="J88" s="112">
        <v>112.71101743716443</v>
      </c>
      <c r="K88" s="112">
        <v>109.61702643858979</v>
      </c>
      <c r="L88" s="112">
        <v>111.1189674702437</v>
      </c>
      <c r="M88" s="112">
        <v>110.01008389615963</v>
      </c>
      <c r="N88" s="112">
        <v>111.83154755978249</v>
      </c>
      <c r="O88" s="112">
        <v>110.06461344304761</v>
      </c>
      <c r="P88">
        <f t="shared" si="5"/>
        <v>1242.4432562449874</v>
      </c>
      <c r="Q88" s="4"/>
      <c r="R88" s="4"/>
      <c r="S88" s="4"/>
    </row>
    <row r="89" spans="1:21">
      <c r="A89" s="160">
        <f t="shared" si="4"/>
        <v>78</v>
      </c>
      <c r="B89" s="122">
        <v>8930</v>
      </c>
      <c r="C89" s="4" t="s">
        <v>316</v>
      </c>
      <c r="D89" s="89">
        <v>4000</v>
      </c>
      <c r="E89" s="89">
        <v>0</v>
      </c>
      <c r="F89" s="89">
        <v>0</v>
      </c>
      <c r="G89" s="89">
        <v>0</v>
      </c>
      <c r="H89" s="89">
        <v>0</v>
      </c>
      <c r="I89" s="89">
        <v>0</v>
      </c>
      <c r="J89" s="112">
        <v>676.95094756594835</v>
      </c>
      <c r="K89" s="112">
        <v>728.72702475333051</v>
      </c>
      <c r="L89" s="112">
        <v>804.91463643210193</v>
      </c>
      <c r="M89" s="112">
        <v>742.50772970814705</v>
      </c>
      <c r="N89" s="112">
        <v>658.83916391104663</v>
      </c>
      <c r="O89" s="112">
        <v>474.76894913250931</v>
      </c>
      <c r="P89">
        <f t="shared" si="5"/>
        <v>8086.7084515030847</v>
      </c>
      <c r="Q89" s="4"/>
      <c r="R89" s="4"/>
      <c r="S89" s="4"/>
    </row>
    <row r="90" spans="1:21">
      <c r="A90" s="160">
        <f t="shared" si="4"/>
        <v>79</v>
      </c>
      <c r="B90" s="122">
        <v>8940</v>
      </c>
      <c r="C90" s="4" t="s">
        <v>317</v>
      </c>
      <c r="D90" s="89">
        <v>178.42</v>
      </c>
      <c r="E90" s="89">
        <v>0</v>
      </c>
      <c r="F90" s="89">
        <v>12.75</v>
      </c>
      <c r="G90" s="89">
        <v>199.63</v>
      </c>
      <c r="H90" s="89">
        <v>0</v>
      </c>
      <c r="I90" s="89">
        <v>21.19</v>
      </c>
      <c r="J90" s="112">
        <v>70.697426969859379</v>
      </c>
      <c r="K90" s="112">
        <v>60.521730281400416</v>
      </c>
      <c r="L90" s="112">
        <v>79.633926717868761</v>
      </c>
      <c r="M90" s="112">
        <v>81.193701756234745</v>
      </c>
      <c r="N90" s="112">
        <v>75.099300981885051</v>
      </c>
      <c r="O90" s="112">
        <v>133.87864757089409</v>
      </c>
      <c r="P90">
        <f t="shared" si="5"/>
        <v>913.01473427814244</v>
      </c>
      <c r="Q90" s="4"/>
      <c r="R90" s="4"/>
      <c r="S90" s="4"/>
    </row>
    <row r="91" spans="1:21">
      <c r="A91" s="160">
        <f t="shared" si="4"/>
        <v>80</v>
      </c>
      <c r="B91" s="122">
        <v>9010</v>
      </c>
      <c r="C91" t="s">
        <v>318</v>
      </c>
      <c r="D91" s="89">
        <f>0</f>
        <v>0</v>
      </c>
      <c r="E91" s="89">
        <f>0</f>
        <v>0</v>
      </c>
      <c r="F91" s="89">
        <f>0</f>
        <v>0</v>
      </c>
      <c r="G91" s="89">
        <f>0</f>
        <v>0</v>
      </c>
      <c r="H91" s="89">
        <f>0</f>
        <v>0</v>
      </c>
      <c r="I91" s="89">
        <f>0</f>
        <v>0</v>
      </c>
      <c r="J91" s="112">
        <v>0</v>
      </c>
      <c r="K91" s="112">
        <v>0</v>
      </c>
      <c r="L91" s="112">
        <v>0</v>
      </c>
      <c r="M91" s="112">
        <v>0</v>
      </c>
      <c r="N91" s="112">
        <v>0</v>
      </c>
      <c r="O91" s="112">
        <v>0</v>
      </c>
      <c r="P91">
        <f t="shared" si="5"/>
        <v>0</v>
      </c>
      <c r="Q91" s="4"/>
      <c r="R91" s="4"/>
      <c r="S91" s="4"/>
    </row>
    <row r="92" spans="1:21">
      <c r="A92" s="160">
        <f t="shared" si="4"/>
        <v>81</v>
      </c>
      <c r="B92" s="122">
        <v>9020</v>
      </c>
      <c r="C92" s="4" t="s">
        <v>319</v>
      </c>
      <c r="D92" s="89">
        <v>75565.180000000008</v>
      </c>
      <c r="E92" s="89">
        <v>69528.97</v>
      </c>
      <c r="F92" s="89">
        <v>68815.7</v>
      </c>
      <c r="G92" s="89">
        <v>62636.800000000003</v>
      </c>
      <c r="H92" s="89">
        <v>77734.880000000005</v>
      </c>
      <c r="I92" s="89">
        <v>77631.86</v>
      </c>
      <c r="J92" s="112">
        <v>81941.745689999298</v>
      </c>
      <c r="K92" s="112">
        <v>80474.349102523804</v>
      </c>
      <c r="L92" s="112">
        <v>78329.112227770165</v>
      </c>
      <c r="M92" s="112">
        <v>79414.08940109807</v>
      </c>
      <c r="N92" s="112">
        <v>77057.897647127305</v>
      </c>
      <c r="O92" s="112">
        <v>76318.858945503714</v>
      </c>
      <c r="P92">
        <f t="shared" si="5"/>
        <v>905449.44301402231</v>
      </c>
      <c r="Q92" s="69"/>
      <c r="R92" s="69"/>
      <c r="S92" s="69"/>
      <c r="T92" s="69"/>
      <c r="U92" s="69"/>
    </row>
    <row r="93" spans="1:21">
      <c r="A93" s="160">
        <f t="shared" si="4"/>
        <v>82</v>
      </c>
      <c r="B93" s="122">
        <v>9030</v>
      </c>
      <c r="C93" s="4" t="s">
        <v>320</v>
      </c>
      <c r="D93" s="89">
        <v>81339.360000000001</v>
      </c>
      <c r="E93" s="89">
        <v>80263.5</v>
      </c>
      <c r="F93" s="89">
        <v>77058.37999999999</v>
      </c>
      <c r="G93" s="89">
        <v>81686.200000000012</v>
      </c>
      <c r="H93" s="89">
        <v>80211.53</v>
      </c>
      <c r="I93" s="89">
        <v>120095.81</v>
      </c>
      <c r="J93" s="112">
        <v>96410.992736261309</v>
      </c>
      <c r="K93" s="112">
        <v>101948.7099766678</v>
      </c>
      <c r="L93" s="112">
        <v>109946.17175729072</v>
      </c>
      <c r="M93" s="112">
        <v>102650.22020713714</v>
      </c>
      <c r="N93" s="112">
        <v>94724.949366239292</v>
      </c>
      <c r="O93" s="112">
        <v>76869.430936390709</v>
      </c>
      <c r="P93">
        <f t="shared" si="5"/>
        <v>1103205.2549799869</v>
      </c>
      <c r="Q93" s="69"/>
      <c r="R93" s="69"/>
      <c r="S93" s="69"/>
      <c r="T93" s="69"/>
      <c r="U93" s="69"/>
    </row>
    <row r="94" spans="1:21">
      <c r="A94" s="160">
        <f t="shared" si="4"/>
        <v>83</v>
      </c>
      <c r="B94" s="122">
        <v>9040</v>
      </c>
      <c r="C94" s="4" t="s">
        <v>321</v>
      </c>
      <c r="D94" s="89">
        <v>65873</v>
      </c>
      <c r="E94" s="89">
        <v>83619</v>
      </c>
      <c r="F94" s="89">
        <v>111162</v>
      </c>
      <c r="G94" s="89">
        <v>113424</v>
      </c>
      <c r="H94" s="89">
        <v>126691</v>
      </c>
      <c r="I94" s="89">
        <v>196530</v>
      </c>
      <c r="J94" s="112">
        <v>34864.42</v>
      </c>
      <c r="K94" s="112">
        <v>30603.5</v>
      </c>
      <c r="L94" s="112">
        <v>29190.37</v>
      </c>
      <c r="M94" s="112">
        <v>29221.34</v>
      </c>
      <c r="N94" s="112">
        <v>29051.22</v>
      </c>
      <c r="O94" s="112">
        <v>29806.61</v>
      </c>
      <c r="P94">
        <f t="shared" si="5"/>
        <v>880036.46</v>
      </c>
      <c r="Q94" s="4"/>
      <c r="R94" s="4"/>
      <c r="S94" s="4"/>
    </row>
    <row r="95" spans="1:21">
      <c r="A95" s="160">
        <f t="shared" si="4"/>
        <v>84</v>
      </c>
      <c r="B95" s="122">
        <v>9090</v>
      </c>
      <c r="C95" s="4" t="s">
        <v>322</v>
      </c>
      <c r="D95" s="89">
        <v>12568.97</v>
      </c>
      <c r="E95" s="89">
        <v>11826.5</v>
      </c>
      <c r="F95" s="89">
        <v>10158.36</v>
      </c>
      <c r="G95" s="89">
        <v>9275.01</v>
      </c>
      <c r="H95" s="89">
        <v>10183.81</v>
      </c>
      <c r="I95" s="89">
        <v>29137.96</v>
      </c>
      <c r="J95" s="112">
        <v>14403.865691489542</v>
      </c>
      <c r="K95" s="112">
        <v>14434.449146268746</v>
      </c>
      <c r="L95" s="112">
        <v>14942.425137315977</v>
      </c>
      <c r="M95" s="112">
        <v>14628.066691352842</v>
      </c>
      <c r="N95" s="112">
        <v>14320.235778434973</v>
      </c>
      <c r="O95" s="112">
        <v>14530.137656253828</v>
      </c>
      <c r="P95">
        <f t="shared" si="5"/>
        <v>170409.79010111588</v>
      </c>
      <c r="Q95" s="4"/>
      <c r="R95" s="4"/>
      <c r="S95" s="4"/>
    </row>
    <row r="96" spans="1:21">
      <c r="A96" s="160">
        <f t="shared" si="4"/>
        <v>85</v>
      </c>
      <c r="B96" s="122">
        <v>9100</v>
      </c>
      <c r="C96" s="4" t="s">
        <v>323</v>
      </c>
      <c r="D96" s="89">
        <v>0</v>
      </c>
      <c r="E96" s="89">
        <v>0</v>
      </c>
      <c r="F96" s="89">
        <v>0</v>
      </c>
      <c r="G96" s="89">
        <v>0</v>
      </c>
      <c r="H96" s="89">
        <v>0</v>
      </c>
      <c r="I96" s="89">
        <v>65</v>
      </c>
      <c r="J96" s="112">
        <v>7.6374878366939694</v>
      </c>
      <c r="K96" s="112">
        <v>8.5145452150703491</v>
      </c>
      <c r="L96" s="112">
        <v>9.5648484953482349</v>
      </c>
      <c r="M96" s="112">
        <v>8.6697446688571151</v>
      </c>
      <c r="N96" s="112">
        <v>7.6800774542447563</v>
      </c>
      <c r="O96" s="112">
        <v>9.1354585274853495</v>
      </c>
      <c r="P96">
        <f t="shared" si="5"/>
        <v>116.20216219769976</v>
      </c>
      <c r="Q96" s="4"/>
      <c r="R96" s="4"/>
      <c r="S96" s="4"/>
    </row>
    <row r="97" spans="1:19">
      <c r="A97" s="160">
        <f t="shared" si="4"/>
        <v>86</v>
      </c>
      <c r="B97" s="122">
        <v>9110</v>
      </c>
      <c r="C97" s="4" t="s">
        <v>324</v>
      </c>
      <c r="D97" s="89">
        <v>9930.08</v>
      </c>
      <c r="E97" s="89">
        <v>11189.57</v>
      </c>
      <c r="F97" s="89">
        <v>10027.079999999998</v>
      </c>
      <c r="G97" s="89">
        <v>8589.0400000000009</v>
      </c>
      <c r="H97" s="89">
        <v>8619.07</v>
      </c>
      <c r="I97" s="89">
        <v>10461.869999999999</v>
      </c>
      <c r="J97" s="112">
        <v>26172.974644523059</v>
      </c>
      <c r="K97" s="112">
        <v>25977.006856346139</v>
      </c>
      <c r="L97" s="112">
        <v>24382.751913819251</v>
      </c>
      <c r="M97" s="112">
        <v>23786.753756385973</v>
      </c>
      <c r="N97" s="112">
        <v>27040.13767067618</v>
      </c>
      <c r="O97" s="112">
        <v>30859.696030113679</v>
      </c>
      <c r="P97">
        <f t="shared" si="5"/>
        <v>217036.03087186429</v>
      </c>
      <c r="Q97" s="4"/>
      <c r="R97" s="98"/>
      <c r="S97" s="4"/>
    </row>
    <row r="98" spans="1:19">
      <c r="A98" s="160">
        <f t="shared" si="4"/>
        <v>87</v>
      </c>
      <c r="B98" s="122">
        <v>9120</v>
      </c>
      <c r="C98" s="4" t="s">
        <v>325</v>
      </c>
      <c r="D98" s="89">
        <v>2996.88</v>
      </c>
      <c r="E98" s="89">
        <v>3627.7</v>
      </c>
      <c r="F98" s="89">
        <v>3216</v>
      </c>
      <c r="G98" s="89">
        <v>13801.66</v>
      </c>
      <c r="H98" s="89">
        <v>8096.1200000000008</v>
      </c>
      <c r="I98" s="89">
        <v>1756.94</v>
      </c>
      <c r="J98" s="112">
        <v>3458.5518110491594</v>
      </c>
      <c r="K98" s="112">
        <v>5102.7482203514292</v>
      </c>
      <c r="L98" s="112">
        <v>5204.8078731311098</v>
      </c>
      <c r="M98" s="112">
        <v>3955.5992295734218</v>
      </c>
      <c r="N98" s="112">
        <v>3387.7251327353074</v>
      </c>
      <c r="O98" s="112">
        <v>4350.2422630157207</v>
      </c>
      <c r="P98">
        <f t="shared" si="5"/>
        <v>58954.974529856161</v>
      </c>
      <c r="Q98" s="4"/>
      <c r="R98" s="98"/>
      <c r="S98" s="4"/>
    </row>
    <row r="99" spans="1:19">
      <c r="A99" s="160">
        <f t="shared" si="4"/>
        <v>88</v>
      </c>
      <c r="B99" s="122">
        <v>9130</v>
      </c>
      <c r="C99" s="4" t="s">
        <v>326</v>
      </c>
      <c r="D99" s="89">
        <v>1450.65</v>
      </c>
      <c r="E99" s="89">
        <v>1174.49</v>
      </c>
      <c r="F99" s="89">
        <v>5364.41</v>
      </c>
      <c r="G99" s="89">
        <v>1846.5</v>
      </c>
      <c r="H99" s="89">
        <v>15080.77</v>
      </c>
      <c r="I99" s="89">
        <v>1667</v>
      </c>
      <c r="J99" s="112">
        <v>3123.5938754286449</v>
      </c>
      <c r="K99" s="112">
        <v>3482.2944212198681</v>
      </c>
      <c r="L99" s="112">
        <v>3911.8493958093591</v>
      </c>
      <c r="M99" s="112">
        <v>3545.7681803516489</v>
      </c>
      <c r="N99" s="112">
        <v>3141.0122558415519</v>
      </c>
      <c r="O99" s="112">
        <v>3736.2366940328557</v>
      </c>
      <c r="P99">
        <f t="shared" si="5"/>
        <v>47524.574822683928</v>
      </c>
      <c r="Q99" s="4"/>
      <c r="R99" s="4"/>
      <c r="S99" s="4"/>
    </row>
    <row r="100" spans="1:19">
      <c r="A100" s="160">
        <f t="shared" si="4"/>
        <v>89</v>
      </c>
      <c r="B100" s="122">
        <v>9200</v>
      </c>
      <c r="C100" t="s">
        <v>327</v>
      </c>
      <c r="D100" s="89">
        <v>18133.16</v>
      </c>
      <c r="E100" s="89">
        <v>11768.68</v>
      </c>
      <c r="F100" s="89">
        <v>14262.060000000001</v>
      </c>
      <c r="G100" s="89">
        <v>13021.87</v>
      </c>
      <c r="H100" s="89">
        <v>12401.79</v>
      </c>
      <c r="I100" s="89">
        <v>14262.07</v>
      </c>
      <c r="J100" s="112">
        <v>16470.364339415813</v>
      </c>
      <c r="K100" s="112">
        <v>16097.283423755478</v>
      </c>
      <c r="L100" s="112">
        <v>16142.360195508112</v>
      </c>
      <c r="M100" s="112">
        <v>15958.672980860687</v>
      </c>
      <c r="N100" s="112">
        <v>16294.303252038251</v>
      </c>
      <c r="O100" s="112">
        <v>15461.288341936508</v>
      </c>
      <c r="P100">
        <f t="shared" si="5"/>
        <v>180273.90253351486</v>
      </c>
      <c r="Q100" s="4"/>
      <c r="R100" s="98"/>
      <c r="S100" s="4"/>
    </row>
    <row r="101" spans="1:19">
      <c r="A101" s="160">
        <f t="shared" si="4"/>
        <v>90</v>
      </c>
      <c r="B101" s="122">
        <v>9210</v>
      </c>
      <c r="C101" s="4" t="s">
        <v>328</v>
      </c>
      <c r="D101" s="89">
        <v>421.74999999999994</v>
      </c>
      <c r="E101" s="89">
        <v>345</v>
      </c>
      <c r="F101" s="89">
        <v>437.7</v>
      </c>
      <c r="G101" s="89">
        <v>2702.1800000000003</v>
      </c>
      <c r="H101" s="89">
        <v>1359.6299999999999</v>
      </c>
      <c r="I101" s="89">
        <v>475.70000000000005</v>
      </c>
      <c r="J101" s="112">
        <v>553.17704885727164</v>
      </c>
      <c r="K101" s="112">
        <v>546.68886997812899</v>
      </c>
      <c r="L101" s="112">
        <v>524.953862569286</v>
      </c>
      <c r="M101" s="112">
        <v>614.07167490114693</v>
      </c>
      <c r="N101" s="112">
        <v>365.05482034625277</v>
      </c>
      <c r="O101" s="112">
        <v>127.5635894923505</v>
      </c>
      <c r="P101">
        <f t="shared" si="5"/>
        <v>8473.4698661444381</v>
      </c>
      <c r="Q101" s="4"/>
      <c r="R101" s="98"/>
      <c r="S101" s="4"/>
    </row>
    <row r="102" spans="1:19">
      <c r="A102" s="160">
        <f t="shared" si="4"/>
        <v>91</v>
      </c>
      <c r="B102" s="122">
        <v>9220</v>
      </c>
      <c r="C102" s="4" t="s">
        <v>329</v>
      </c>
      <c r="D102" s="89">
        <v>1082814.4000000001</v>
      </c>
      <c r="E102" s="89">
        <v>809555.07</v>
      </c>
      <c r="F102" s="89">
        <v>1033750.9199999999</v>
      </c>
      <c r="G102" s="89">
        <v>1079131.6000000001</v>
      </c>
      <c r="H102" s="89">
        <v>957419.21</v>
      </c>
      <c r="I102" s="89">
        <v>1240212.52</v>
      </c>
      <c r="J102" s="112">
        <f>-('C.2.2 B 02'!J46+'C.2.2 B 12'!J34+'C.2.2 B 91'!J65)</f>
        <v>1215435.6866229963</v>
      </c>
      <c r="K102" s="112">
        <f>-('C.2.2 B 02'!K46+'C.2.2 B 12'!K34+'C.2.2 B 91'!K65)</f>
        <v>1351086.9870691821</v>
      </c>
      <c r="L102" s="112">
        <f>-('C.2.2 B 02'!L46+'C.2.2 B 12'!L34+'C.2.2 B 91'!L65)</f>
        <v>1188084.6665711834</v>
      </c>
      <c r="M102" s="112">
        <f>-('C.2.2 B 02'!M46+'C.2.2 B 12'!M34+'C.2.2 B 91'!M65)</f>
        <v>1298161.9781283436</v>
      </c>
      <c r="N102" s="112">
        <f>-('C.2.2 B 02'!N46+'C.2.2 B 12'!N34+'C.2.2 B 91'!N65)</f>
        <v>1143476.1993351639</v>
      </c>
      <c r="O102" s="112">
        <f>-('C.2.2 B 02'!O46+'C.2.2 B 12'!O34+'C.2.2 B 91'!O65)</f>
        <v>2779061.2788554388</v>
      </c>
      <c r="P102">
        <f>SUM(D102:O102)</f>
        <v>15178190.516582308</v>
      </c>
      <c r="Q102" s="69"/>
      <c r="R102" s="174"/>
      <c r="S102" s="4"/>
    </row>
    <row r="103" spans="1:19">
      <c r="A103" s="160">
        <f t="shared" si="4"/>
        <v>92</v>
      </c>
      <c r="B103" s="122">
        <v>9230</v>
      </c>
      <c r="C103" s="4" t="s">
        <v>330</v>
      </c>
      <c r="D103" s="89">
        <v>7439</v>
      </c>
      <c r="E103" s="89">
        <v>6315</v>
      </c>
      <c r="F103" s="89">
        <v>8992.5</v>
      </c>
      <c r="G103" s="89">
        <v>6567</v>
      </c>
      <c r="H103" s="89">
        <v>9441.9699999999993</v>
      </c>
      <c r="I103" s="89">
        <v>88516</v>
      </c>
      <c r="J103" s="112">
        <v>21539.135553652792</v>
      </c>
      <c r="K103" s="112">
        <v>23186.539917270689</v>
      </c>
      <c r="L103" s="112">
        <v>25610.667250807288</v>
      </c>
      <c r="M103" s="112">
        <v>23625.012561579635</v>
      </c>
      <c r="N103" s="112">
        <v>20962.857221132461</v>
      </c>
      <c r="O103" s="112">
        <v>15106.135516612419</v>
      </c>
      <c r="P103">
        <f t="shared" si="5"/>
        <v>257301.81802105528</v>
      </c>
      <c r="Q103" s="4"/>
      <c r="R103" s="98"/>
      <c r="S103" s="4"/>
    </row>
    <row r="104" spans="1:19">
      <c r="A104" s="160">
        <f t="shared" si="4"/>
        <v>93</v>
      </c>
      <c r="B104" s="122">
        <v>9240</v>
      </c>
      <c r="C104" s="4" t="s">
        <v>331</v>
      </c>
      <c r="D104" s="89">
        <v>12388.360000000004</v>
      </c>
      <c r="E104" s="89">
        <v>11822.090000000004</v>
      </c>
      <c r="F104" s="89">
        <v>12394.300000000003</v>
      </c>
      <c r="G104" s="89">
        <v>9729.1600000000035</v>
      </c>
      <c r="H104" s="89">
        <v>12497.200000000004</v>
      </c>
      <c r="I104" s="89">
        <v>12824.989999999998</v>
      </c>
      <c r="J104" s="112">
        <v>343.99892592498952</v>
      </c>
      <c r="K104" s="112">
        <v>0</v>
      </c>
      <c r="L104" s="112">
        <v>0</v>
      </c>
      <c r="M104" s="112">
        <v>573.33154320831591</v>
      </c>
      <c r="N104" s="112">
        <v>0</v>
      </c>
      <c r="O104" s="112">
        <v>0</v>
      </c>
      <c r="P104">
        <f t="shared" si="5"/>
        <v>72573.430469133324</v>
      </c>
      <c r="Q104" s="4"/>
      <c r="R104" s="98"/>
      <c r="S104" s="4"/>
    </row>
    <row r="105" spans="1:19">
      <c r="A105" s="160">
        <f t="shared" si="4"/>
        <v>94</v>
      </c>
      <c r="B105" s="122">
        <v>9250</v>
      </c>
      <c r="C105" s="4" t="s">
        <v>332</v>
      </c>
      <c r="D105" s="89">
        <v>2619.3200000000002</v>
      </c>
      <c r="E105" s="89">
        <v>4798.04</v>
      </c>
      <c r="F105" s="89">
        <v>2613.61</v>
      </c>
      <c r="G105" s="89">
        <v>8073.82</v>
      </c>
      <c r="H105" s="89">
        <v>7894.6</v>
      </c>
      <c r="I105" s="89">
        <v>15566.539999999999</v>
      </c>
      <c r="J105" s="112">
        <v>4093.6557435737195</v>
      </c>
      <c r="K105" s="112">
        <v>4315.5896013951615</v>
      </c>
      <c r="L105" s="112">
        <v>4762.1204043717316</v>
      </c>
      <c r="M105" s="112">
        <v>4535.7948540068737</v>
      </c>
      <c r="N105" s="112">
        <v>3904.8303007151735</v>
      </c>
      <c r="O105" s="112">
        <v>2816.123316729997</v>
      </c>
      <c r="P105">
        <f t="shared" si="5"/>
        <v>65994.044220792654</v>
      </c>
      <c r="Q105" s="4"/>
      <c r="R105" s="98"/>
      <c r="S105" s="4"/>
    </row>
    <row r="106" spans="1:19">
      <c r="A106" s="160">
        <f t="shared" si="4"/>
        <v>95</v>
      </c>
      <c r="B106" s="122">
        <v>9260</v>
      </c>
      <c r="C106" s="4" t="s">
        <v>333</v>
      </c>
      <c r="D106" s="89">
        <v>132988.85999999999</v>
      </c>
      <c r="E106" s="89">
        <v>135263.23000000007</v>
      </c>
      <c r="F106" s="89">
        <v>145655.39000000001</v>
      </c>
      <c r="G106" s="89">
        <v>124403.68000000002</v>
      </c>
      <c r="H106" s="89">
        <v>127287.87999999999</v>
      </c>
      <c r="I106" s="89">
        <v>135284.45000000004</v>
      </c>
      <c r="J106" s="112">
        <v>187964.04093288735</v>
      </c>
      <c r="K106" s="112">
        <v>184396.20565130378</v>
      </c>
      <c r="L106" s="112">
        <v>183756.96942879655</v>
      </c>
      <c r="M106" s="112">
        <v>181403.99101277348</v>
      </c>
      <c r="N106" s="112">
        <v>187122.07791022767</v>
      </c>
      <c r="O106" s="112">
        <v>178892.08083776131</v>
      </c>
      <c r="P106">
        <f>SUM(D106:O106)</f>
        <v>1904418.8557737505</v>
      </c>
      <c r="Q106" s="4"/>
      <c r="R106" s="98"/>
      <c r="S106" s="4"/>
    </row>
    <row r="107" spans="1:19">
      <c r="A107" s="160">
        <f t="shared" si="4"/>
        <v>96</v>
      </c>
      <c r="B107" s="122">
        <v>9270</v>
      </c>
      <c r="C107" s="4" t="s">
        <v>334</v>
      </c>
      <c r="D107" s="89">
        <v>291.5</v>
      </c>
      <c r="E107" s="89">
        <v>0</v>
      </c>
      <c r="F107" s="89">
        <v>0</v>
      </c>
      <c r="G107" s="89">
        <v>0</v>
      </c>
      <c r="H107" s="89">
        <v>0</v>
      </c>
      <c r="I107" s="89">
        <v>0</v>
      </c>
      <c r="J107" s="112">
        <v>57.901821074445429</v>
      </c>
      <c r="K107" s="112">
        <v>55.110325522324104</v>
      </c>
      <c r="L107" s="112">
        <v>66.896640075725244</v>
      </c>
      <c r="M107" s="112">
        <v>85.010344547268062</v>
      </c>
      <c r="N107" s="112">
        <v>54.489993177408252</v>
      </c>
      <c r="O107" s="112">
        <v>480.23648814005435</v>
      </c>
      <c r="P107">
        <f t="shared" si="5"/>
        <v>1091.1456125372256</v>
      </c>
      <c r="Q107" s="4"/>
      <c r="R107" s="98"/>
      <c r="S107" s="4"/>
    </row>
    <row r="108" spans="1:19">
      <c r="A108" s="160">
        <f t="shared" si="4"/>
        <v>97</v>
      </c>
      <c r="B108" s="122">
        <v>9280</v>
      </c>
      <c r="C108" s="4" t="s">
        <v>335</v>
      </c>
      <c r="D108" s="89">
        <v>5273.92</v>
      </c>
      <c r="E108" s="89">
        <v>6367.87</v>
      </c>
      <c r="F108" s="89">
        <v>9450.82</v>
      </c>
      <c r="G108" s="89">
        <v>8257.42</v>
      </c>
      <c r="H108" s="89">
        <v>10743.67</v>
      </c>
      <c r="I108" s="89">
        <v>11474.25</v>
      </c>
      <c r="J108" s="112">
        <v>9657.4454873552022</v>
      </c>
      <c r="K108" s="112">
        <v>9612.3194078757642</v>
      </c>
      <c r="L108" s="112">
        <v>11271.270854412345</v>
      </c>
      <c r="M108" s="112">
        <v>12926.732220531212</v>
      </c>
      <c r="N108" s="112">
        <v>9196.8608409912886</v>
      </c>
      <c r="O108" s="112">
        <v>54496.514683375353</v>
      </c>
      <c r="P108">
        <f t="shared" si="5"/>
        <v>158729.09349454116</v>
      </c>
      <c r="Q108" s="4"/>
      <c r="R108" s="98"/>
      <c r="S108" s="4"/>
    </row>
    <row r="109" spans="1:19">
      <c r="A109" s="160">
        <f t="shared" si="4"/>
        <v>98</v>
      </c>
      <c r="B109" s="122">
        <v>9302</v>
      </c>
      <c r="C109" s="4" t="s">
        <v>336</v>
      </c>
      <c r="D109" s="89">
        <v>19279.97</v>
      </c>
      <c r="E109" s="89">
        <v>5007.47</v>
      </c>
      <c r="F109" s="89">
        <v>5908.47</v>
      </c>
      <c r="G109" s="89">
        <v>12526.02</v>
      </c>
      <c r="H109" s="89">
        <v>7246.62</v>
      </c>
      <c r="I109" s="89">
        <v>11246.619999999999</v>
      </c>
      <c r="J109" s="112">
        <v>1498.4950235676317</v>
      </c>
      <c r="K109" s="112">
        <v>16294.86956373161</v>
      </c>
      <c r="L109" s="112">
        <v>12115.206254272283</v>
      </c>
      <c r="M109" s="112">
        <v>1952.0695506477005</v>
      </c>
      <c r="N109" s="112">
        <v>471.83068938081772</v>
      </c>
      <c r="O109" s="112">
        <v>2261.7843762973466</v>
      </c>
      <c r="P109">
        <f t="shared" si="5"/>
        <v>95809.425457897407</v>
      </c>
      <c r="Q109" s="4"/>
      <c r="R109" s="98"/>
      <c r="S109" s="4"/>
    </row>
    <row r="110" spans="1:19">
      <c r="A110" s="160">
        <f t="shared" si="4"/>
        <v>99</v>
      </c>
      <c r="B110" s="122">
        <v>9310</v>
      </c>
      <c r="C110" t="s">
        <v>212</v>
      </c>
      <c r="D110" s="89">
        <v>0</v>
      </c>
      <c r="E110" s="89">
        <v>0</v>
      </c>
      <c r="F110" s="89">
        <v>0</v>
      </c>
      <c r="G110" s="89">
        <v>1020</v>
      </c>
      <c r="H110" s="89">
        <v>0</v>
      </c>
      <c r="I110" s="89">
        <v>0</v>
      </c>
      <c r="J110" s="112">
        <v>22.01867417773736</v>
      </c>
      <c r="K110" s="112">
        <v>272.82042183237593</v>
      </c>
      <c r="L110" s="112">
        <v>201.33513717314639</v>
      </c>
      <c r="M110" s="112">
        <v>28.126594069506968</v>
      </c>
      <c r="N110" s="112">
        <v>4.8260107786821607</v>
      </c>
      <c r="O110" s="112">
        <v>10.40608574153341</v>
      </c>
      <c r="P110">
        <f t="shared" si="5"/>
        <v>1559.5329237729823</v>
      </c>
      <c r="Q110" s="4"/>
      <c r="R110" s="98"/>
      <c r="S110" s="4"/>
    </row>
    <row r="111" spans="1:19">
      <c r="A111" s="160">
        <f t="shared" si="4"/>
        <v>100</v>
      </c>
      <c r="B111" s="122">
        <v>9320</v>
      </c>
      <c r="C111" t="s">
        <v>337</v>
      </c>
      <c r="D111" s="89">
        <f>0</f>
        <v>0</v>
      </c>
      <c r="E111" s="89">
        <f>0</f>
        <v>0</v>
      </c>
      <c r="F111" s="89">
        <f>0</f>
        <v>0</v>
      </c>
      <c r="G111" s="89">
        <f>0</f>
        <v>0</v>
      </c>
      <c r="H111" s="89">
        <f>0</f>
        <v>0</v>
      </c>
      <c r="I111" s="89">
        <f>0</f>
        <v>0</v>
      </c>
      <c r="J111" s="112">
        <v>0</v>
      </c>
      <c r="K111" s="112">
        <v>0</v>
      </c>
      <c r="L111" s="112">
        <v>0</v>
      </c>
      <c r="M111" s="112">
        <v>0</v>
      </c>
      <c r="N111" s="112">
        <v>0</v>
      </c>
      <c r="O111" s="112">
        <v>0</v>
      </c>
      <c r="P111">
        <f t="shared" si="5"/>
        <v>0</v>
      </c>
      <c r="Q111" s="4"/>
      <c r="R111" s="4"/>
      <c r="S111" s="4"/>
    </row>
    <row r="112" spans="1:19">
      <c r="A112" s="160">
        <f t="shared" si="4"/>
        <v>101</v>
      </c>
      <c r="B112" s="4"/>
      <c r="C112" s="4"/>
      <c r="D112" s="175"/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  <c r="O112" s="176"/>
      <c r="P112" s="4"/>
      <c r="Q112" s="4"/>
      <c r="R112" s="4"/>
      <c r="S112" s="4"/>
    </row>
    <row r="113" spans="1:19" ht="15.75" thickBot="1">
      <c r="A113" s="160">
        <f t="shared" si="4"/>
        <v>102</v>
      </c>
      <c r="B113" s="4"/>
      <c r="C113" s="4" t="s">
        <v>338</v>
      </c>
      <c r="D113" s="177">
        <f t="shared" ref="D113:O113" si="6">SUM(D14:D112)</f>
        <v>-2300013.1800000025</v>
      </c>
      <c r="E113" s="177">
        <f t="shared" si="6"/>
        <v>-3618576.5999999982</v>
      </c>
      <c r="F113" s="177">
        <f t="shared" si="6"/>
        <v>-5464630.0600000005</v>
      </c>
      <c r="G113" s="177">
        <f t="shared" si="6"/>
        <v>-6293641.299999997</v>
      </c>
      <c r="H113" s="177">
        <f t="shared" si="6"/>
        <v>-5094056.8699999955</v>
      </c>
      <c r="I113" s="177">
        <f t="shared" si="6"/>
        <v>-4006709.6599999936</v>
      </c>
      <c r="J113" s="177">
        <f t="shared" si="6"/>
        <v>-3318725.678610588</v>
      </c>
      <c r="K113" s="177">
        <f t="shared" si="6"/>
        <v>-1822924.6686409446</v>
      </c>
      <c r="L113" s="177">
        <f t="shared" si="6"/>
        <v>-1201823.586377101</v>
      </c>
      <c r="M113" s="177">
        <f t="shared" si="6"/>
        <v>-1258860.9522207</v>
      </c>
      <c r="N113" s="177">
        <f t="shared" si="6"/>
        <v>-1394602.0622004729</v>
      </c>
      <c r="O113" s="177">
        <f t="shared" si="6"/>
        <v>110164.84239754835</v>
      </c>
      <c r="P113" s="177">
        <f>SUM(P12:P112)</f>
        <v>-29161761.807838328</v>
      </c>
      <c r="Q113" s="178"/>
      <c r="R113" s="4"/>
      <c r="S113" s="4"/>
    </row>
    <row r="114" spans="1:19" ht="15.75" thickTop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>
      <c r="A115" s="4"/>
      <c r="B115" s="4"/>
      <c r="C115" s="4" t="s">
        <v>339</v>
      </c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R115" s="4"/>
      <c r="S115" s="4"/>
    </row>
    <row r="116" spans="1:19">
      <c r="A116" s="4"/>
      <c r="B116" s="4"/>
      <c r="C116" s="179" t="s">
        <v>340</v>
      </c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69"/>
      <c r="P116" s="4"/>
      <c r="Q116" s="4"/>
      <c r="R116" s="4"/>
      <c r="S116" s="4"/>
    </row>
    <row r="117" spans="1:19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P117" s="4"/>
      <c r="Q117" s="4"/>
      <c r="R117" s="4"/>
      <c r="S117" s="4"/>
    </row>
    <row r="118" spans="1:19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R118" s="4"/>
      <c r="S118" s="4"/>
    </row>
    <row r="119" spans="1:19">
      <c r="A119" s="4"/>
      <c r="B119" s="4" t="s">
        <v>341</v>
      </c>
      <c r="C119" s="179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P119">
        <f>SUM(P30:P111)</f>
        <v>101595525.13166906</v>
      </c>
      <c r="R119" s="4"/>
      <c r="S119" s="4"/>
    </row>
    <row r="120" spans="1:19">
      <c r="A120" s="4"/>
      <c r="B120" s="4" t="s">
        <v>342</v>
      </c>
      <c r="C120" s="4"/>
      <c r="D120" s="66"/>
      <c r="E120" s="66"/>
      <c r="F120" s="6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>
      <c r="A121" s="4"/>
      <c r="B121" s="4" t="s">
        <v>343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>
      <c r="A122" s="4"/>
      <c r="B122" s="4" t="s">
        <v>344</v>
      </c>
      <c r="C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t="s">
        <v>345</v>
      </c>
      <c r="P122">
        <f>SUM(P47:P111)+P30+P31-P102</f>
        <v>16133468.920000004</v>
      </c>
      <c r="Q122" s="4"/>
      <c r="R122" s="4"/>
      <c r="S122" s="4"/>
    </row>
    <row r="123" spans="1:19">
      <c r="A123" s="4"/>
      <c r="B123" s="4" t="s">
        <v>346</v>
      </c>
      <c r="C123" s="4"/>
      <c r="D123">
        <f t="shared" ref="D123:O123" si="7">SUM(D47:D111)+D30+D31-D102</f>
        <v>1237497.3299999994</v>
      </c>
      <c r="E123">
        <f t="shared" si="7"/>
        <v>1226116.2200000002</v>
      </c>
      <c r="F123">
        <f t="shared" si="7"/>
        <v>1250262.6999999993</v>
      </c>
      <c r="G123">
        <f t="shared" si="7"/>
        <v>1222005.3000000003</v>
      </c>
      <c r="H123">
        <f t="shared" si="7"/>
        <v>1287606.92</v>
      </c>
      <c r="I123">
        <f t="shared" si="7"/>
        <v>1521532.8600000008</v>
      </c>
      <c r="J123">
        <f t="shared" si="7"/>
        <v>1382342.3300000005</v>
      </c>
      <c r="K123">
        <f t="shared" si="7"/>
        <v>1407956.8699999996</v>
      </c>
      <c r="L123">
        <f t="shared" si="7"/>
        <v>1444772.03</v>
      </c>
      <c r="M123">
        <f t="shared" si="7"/>
        <v>1410393.8799999997</v>
      </c>
      <c r="N123">
        <f t="shared" si="7"/>
        <v>1368759.4900000007</v>
      </c>
      <c r="O123">
        <f t="shared" si="7"/>
        <v>1374222.9900000002</v>
      </c>
      <c r="P123" s="4"/>
      <c r="Q123" s="4"/>
      <c r="R123" s="4"/>
      <c r="S123" s="4"/>
    </row>
    <row r="124" spans="1:19">
      <c r="A124" s="4"/>
      <c r="B124" s="4"/>
      <c r="C124" s="4"/>
      <c r="D124">
        <v>1237497.3299999998</v>
      </c>
      <c r="E124">
        <v>1226116.2200000002</v>
      </c>
      <c r="F124">
        <v>1250262.6999999997</v>
      </c>
      <c r="G124">
        <v>1222005.3000000003</v>
      </c>
      <c r="H124">
        <v>1287606.92</v>
      </c>
      <c r="I124">
        <v>1521532.85</v>
      </c>
      <c r="J124">
        <v>1382342.3299999998</v>
      </c>
      <c r="K124">
        <v>1407956.8699999999</v>
      </c>
      <c r="L124">
        <v>1444772.0300000003</v>
      </c>
      <c r="M124">
        <v>1410393.8800000001</v>
      </c>
      <c r="N124">
        <v>1368759.49</v>
      </c>
      <c r="O124">
        <v>1374222.9900000005</v>
      </c>
      <c r="P124" s="4"/>
      <c r="Q124" s="4"/>
      <c r="R124" s="4"/>
      <c r="S124" s="4"/>
    </row>
    <row r="125" spans="1:19">
      <c r="A125" s="4"/>
      <c r="B125" s="4"/>
      <c r="C125" s="69"/>
      <c r="D125">
        <f>D123-D124</f>
        <v>0</v>
      </c>
      <c r="E125">
        <f t="shared" ref="E125:O125" si="8">E123-E124</f>
        <v>0</v>
      </c>
      <c r="F125">
        <f t="shared" si="8"/>
        <v>0</v>
      </c>
      <c r="G125">
        <f t="shared" si="8"/>
        <v>0</v>
      </c>
      <c r="H125">
        <f t="shared" si="8"/>
        <v>0</v>
      </c>
      <c r="I125">
        <f t="shared" si="8"/>
        <v>1.0000000707805157E-2</v>
      </c>
      <c r="J125">
        <f t="shared" si="8"/>
        <v>0</v>
      </c>
      <c r="K125">
        <f t="shared" si="8"/>
        <v>0</v>
      </c>
      <c r="L125">
        <f t="shared" si="8"/>
        <v>0</v>
      </c>
      <c r="M125">
        <f t="shared" si="8"/>
        <v>0</v>
      </c>
      <c r="N125">
        <f t="shared" si="8"/>
        <v>0</v>
      </c>
      <c r="O125">
        <f t="shared" si="8"/>
        <v>0</v>
      </c>
      <c r="P125" s="4"/>
      <c r="Q125" s="4"/>
      <c r="R125" s="4"/>
      <c r="S125" s="4"/>
    </row>
    <row r="126" spans="1:19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179"/>
      <c r="O126" s="8"/>
      <c r="P126" s="4"/>
      <c r="Q126" s="4"/>
      <c r="R126" s="4"/>
      <c r="S126" s="4"/>
    </row>
    <row r="127" spans="1:19">
      <c r="A127" s="4"/>
      <c r="B127" s="4"/>
      <c r="C127" s="69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8"/>
      <c r="P127" s="4"/>
      <c r="Q127" s="4"/>
      <c r="R127" s="4"/>
      <c r="S127" s="4"/>
    </row>
    <row r="128" spans="1:19">
      <c r="A128" s="4"/>
      <c r="B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8"/>
      <c r="P128" s="4"/>
      <c r="Q128" s="4"/>
      <c r="R128" s="4"/>
      <c r="S128" s="4"/>
    </row>
    <row r="129" spans="1:19">
      <c r="A129" s="4"/>
      <c r="B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8"/>
      <c r="P129" s="4"/>
      <c r="Q129" s="4"/>
      <c r="R129" s="4"/>
      <c r="S129" s="4"/>
    </row>
    <row r="130" spans="1:19">
      <c r="A130" s="4"/>
      <c r="B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>
      <c r="A131" s="4"/>
      <c r="B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>
      <c r="P132" s="4"/>
    </row>
    <row r="133" spans="1:19">
      <c r="P133" s="4"/>
    </row>
    <row r="134" spans="1:19">
      <c r="P134" s="4"/>
    </row>
    <row r="135" spans="1:19">
      <c r="P135" s="4"/>
    </row>
    <row r="137" spans="1:19">
      <c r="D137" s="180"/>
      <c r="E137" s="180"/>
      <c r="F137" s="180"/>
      <c r="G137" s="180"/>
      <c r="H137" s="180"/>
      <c r="I137" s="180"/>
      <c r="J137" s="180"/>
      <c r="K137" s="180"/>
      <c r="L137" s="180"/>
      <c r="M137" s="180"/>
      <c r="N137" s="180"/>
      <c r="O137" s="180"/>
      <c r="P137" s="180"/>
    </row>
    <row r="139" spans="1:19">
      <c r="D139" s="69"/>
    </row>
    <row r="141" spans="1:19">
      <c r="J141" s="181"/>
    </row>
    <row r="143" spans="1:19">
      <c r="C143" s="69"/>
    </row>
  </sheetData>
  <mergeCells count="4">
    <mergeCell ref="A1:P1"/>
    <mergeCell ref="A2:P2"/>
    <mergeCell ref="A3:P3"/>
    <mergeCell ref="A4:P4"/>
  </mergeCells>
  <printOptions horizontalCentered="1"/>
  <pageMargins left="0.5" right="0.5" top="0.75" bottom="0.75" header="0.5" footer="0.25"/>
  <pageSetup scale="48" fitToHeight="2" orientation="landscape" verticalDpi="300" r:id="rId1"/>
  <headerFooter alignWithMargins="0">
    <oddHeader>&amp;RCASE NO. 2021-00214
FR_16(8)(c) 
ATTACHMENT 1</oddHeader>
    <oddFooter>&amp;RSchedule &amp;A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BB8AE-79FE-417A-A99B-1BEBE129D5CE}">
  <dimension ref="A1:R67"/>
  <sheetViews>
    <sheetView view="pageBreakPreview" topLeftCell="A6" zoomScale="80" zoomScaleNormal="100" zoomScaleSheetLayoutView="80" workbookViewId="0">
      <selection activeCell="A14" sqref="A14"/>
    </sheetView>
  </sheetViews>
  <sheetFormatPr defaultColWidth="7.109375" defaultRowHeight="15"/>
  <cols>
    <col min="1" max="1" width="4.6640625" customWidth="1"/>
    <col min="2" max="2" width="6.6640625" customWidth="1"/>
    <col min="3" max="3" width="38.88671875" customWidth="1"/>
    <col min="4" max="5" width="13.109375" bestFit="1" customWidth="1"/>
    <col min="6" max="6" width="11.44140625" customWidth="1"/>
    <col min="7" max="8" width="13.109375" bestFit="1" customWidth="1"/>
    <col min="9" max="9" width="11.5546875" bestFit="1" customWidth="1"/>
    <col min="10" max="10" width="11.6640625" customWidth="1"/>
    <col min="11" max="14" width="13.109375" bestFit="1" customWidth="1"/>
    <col min="15" max="15" width="12.44140625" customWidth="1"/>
    <col min="16" max="16" width="14.109375" bestFit="1" customWidth="1"/>
    <col min="17" max="17" width="9.109375" customWidth="1"/>
    <col min="18" max="18" width="12.5546875" customWidth="1"/>
    <col min="23" max="23" width="11.33203125" customWidth="1"/>
    <col min="24" max="24" width="12.5546875" customWidth="1"/>
  </cols>
  <sheetData>
    <row r="1" spans="1:18">
      <c r="A1" s="237" t="s">
        <v>404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4"/>
    </row>
    <row r="2" spans="1:18">
      <c r="A2" s="237" t="s">
        <v>405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4"/>
    </row>
    <row r="3" spans="1:18" ht="15.75">
      <c r="A3" s="242" t="s">
        <v>347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4"/>
    </row>
    <row r="4" spans="1:18">
      <c r="A4" s="237" t="s">
        <v>406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4"/>
    </row>
    <row r="5" spans="1:18">
      <c r="A5" s="4"/>
      <c r="B5" s="130"/>
      <c r="C5" s="130"/>
      <c r="D5" s="130"/>
      <c r="E5" s="130"/>
      <c r="F5" s="130"/>
      <c r="G5" s="182"/>
      <c r="H5" s="69"/>
      <c r="I5" s="130"/>
      <c r="J5" s="130"/>
      <c r="K5" s="130"/>
      <c r="L5" s="130"/>
      <c r="M5" s="130"/>
      <c r="N5" s="130"/>
      <c r="O5" s="130"/>
      <c r="P5" s="4"/>
      <c r="Q5" s="4"/>
    </row>
    <row r="6" spans="1:18" ht="15.75">
      <c r="A6" s="50" t="str">
        <f>'C.2.2 B 09'!A6</f>
        <v>Data:___X____Base Period________Forecasted Period</v>
      </c>
      <c r="B6" s="4"/>
      <c r="C6" s="7"/>
      <c r="D6" s="4"/>
      <c r="E6" s="4"/>
      <c r="F6" s="4"/>
      <c r="G6" s="4"/>
      <c r="H6" s="183"/>
      <c r="I6" s="4"/>
      <c r="K6" s="184"/>
      <c r="L6" s="4"/>
      <c r="M6" s="4"/>
      <c r="N6" s="130"/>
      <c r="O6" s="130"/>
      <c r="P6" s="8" t="s">
        <v>240</v>
      </c>
      <c r="Q6" s="4"/>
    </row>
    <row r="7" spans="1:18">
      <c r="A7" s="50" t="str">
        <f>'C.2.2 B 09'!A7</f>
        <v>Type of Filing:___X____Original________Updated ________Revised</v>
      </c>
      <c r="B7" s="4"/>
      <c r="C7" s="7"/>
      <c r="D7" s="4"/>
      <c r="E7" s="69"/>
      <c r="F7" s="4"/>
      <c r="G7" s="4"/>
      <c r="H7" s="4"/>
      <c r="I7" s="4"/>
      <c r="P7" s="52" t="s">
        <v>241</v>
      </c>
      <c r="Q7" s="4"/>
    </row>
    <row r="8" spans="1:18">
      <c r="A8" s="50" t="str">
        <f>'C.2.2 B 09'!A8</f>
        <v>Workpaper Reference No(s).____________________</v>
      </c>
      <c r="B8" s="2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2"/>
      <c r="P8" s="55" t="str">
        <f>'C.1'!J9</f>
        <v>Witness: Christian, Densman</v>
      </c>
      <c r="Q8" s="4"/>
    </row>
    <row r="9" spans="1:18">
      <c r="A9" s="156" t="s">
        <v>22</v>
      </c>
      <c r="B9" s="157" t="s">
        <v>242</v>
      </c>
      <c r="C9" s="158"/>
      <c r="D9" s="133" t="str">
        <f>'C.2.2 B 09'!D9</f>
        <v>actual</v>
      </c>
      <c r="E9" s="133" t="str">
        <f>'C.2.2 B 09'!F9</f>
        <v>actual</v>
      </c>
      <c r="F9" s="133" t="str">
        <f>'C.2.2 B 09'!F9</f>
        <v>actual</v>
      </c>
      <c r="G9" s="133" t="str">
        <f>'C.2.2 B 09'!G9</f>
        <v>actual</v>
      </c>
      <c r="H9" s="133" t="str">
        <f>'C.2.2 B 09'!H9</f>
        <v>actual</v>
      </c>
      <c r="I9" s="133" t="str">
        <f>'C.2.2 B 09'!I9</f>
        <v>actual</v>
      </c>
      <c r="J9" s="133" t="str">
        <f>'C.2.2 B 09'!J9</f>
        <v>Budgeted</v>
      </c>
      <c r="K9" s="133" t="str">
        <f>'C.2.2 B 09'!K9</f>
        <v>Budgeted</v>
      </c>
      <c r="L9" s="133" t="str">
        <f>'C.2.2 B 09'!L9</f>
        <v>Budgeted</v>
      </c>
      <c r="M9" s="133" t="str">
        <f>'C.2.2 B 09'!M9</f>
        <v>Budgeted</v>
      </c>
      <c r="N9" s="133" t="str">
        <f>'C.2.2 B 09'!N9</f>
        <v>Budgeted</v>
      </c>
      <c r="O9" s="133" t="str">
        <f>'C.2.2 B 09'!O9</f>
        <v>Budgeted</v>
      </c>
      <c r="P9" s="185"/>
      <c r="Q9" s="4"/>
    </row>
    <row r="10" spans="1:18">
      <c r="A10" s="161" t="s">
        <v>25</v>
      </c>
      <c r="B10" s="1" t="s">
        <v>25</v>
      </c>
      <c r="C10" s="162" t="s">
        <v>245</v>
      </c>
      <c r="D10" s="186">
        <f>'C.2.2 B 09'!D10</f>
        <v>44105</v>
      </c>
      <c r="E10" s="186">
        <f>'C.2.2 B 09'!F10</f>
        <v>44166</v>
      </c>
      <c r="F10" s="186">
        <f>'C.2.2 B 09'!F10</f>
        <v>44166</v>
      </c>
      <c r="G10" s="186">
        <f>'C.2.2 B 09'!G10</f>
        <v>44197</v>
      </c>
      <c r="H10" s="186">
        <f>'C.2.2 B 09'!H10</f>
        <v>44228</v>
      </c>
      <c r="I10" s="186">
        <f>'C.2.2 B 09'!I10</f>
        <v>44256</v>
      </c>
      <c r="J10" s="186">
        <f>'C.2.2 B 09'!J10</f>
        <v>44287</v>
      </c>
      <c r="K10" s="186">
        <f>'C.2.2 B 09'!K10</f>
        <v>44317</v>
      </c>
      <c r="L10" s="186">
        <f>'C.2.2 B 09'!L10</f>
        <v>44348</v>
      </c>
      <c r="M10" s="186">
        <f>'C.2.2 B 09'!M10</f>
        <v>44378</v>
      </c>
      <c r="N10" s="186">
        <f>'C.2.2 B 09'!N10</f>
        <v>44409</v>
      </c>
      <c r="O10" s="186">
        <f>'C.2.2 B 09'!O10</f>
        <v>44440</v>
      </c>
      <c r="P10" s="186" t="str">
        <f>'C.2.2 B 09'!P10</f>
        <v>Total</v>
      </c>
      <c r="Q10" s="4"/>
    </row>
    <row r="11" spans="1:18">
      <c r="A11" s="4"/>
      <c r="B11" s="4"/>
      <c r="C11" s="4"/>
      <c r="D11" s="13" t="s">
        <v>247</v>
      </c>
      <c r="E11" s="13" t="s">
        <v>247</v>
      </c>
      <c r="F11" s="13" t="s">
        <v>247</v>
      </c>
      <c r="G11" s="13" t="s">
        <v>247</v>
      </c>
      <c r="H11" s="13" t="s">
        <v>247</v>
      </c>
      <c r="I11" s="13" t="s">
        <v>247</v>
      </c>
      <c r="J11" s="13" t="s">
        <v>247</v>
      </c>
      <c r="K11" s="13" t="s">
        <v>247</v>
      </c>
      <c r="L11" s="13" t="s">
        <v>247</v>
      </c>
      <c r="M11" s="13" t="s">
        <v>247</v>
      </c>
      <c r="N11" s="13" t="s">
        <v>247</v>
      </c>
      <c r="O11" s="13" t="s">
        <v>247</v>
      </c>
      <c r="P11" s="13" t="s">
        <v>247</v>
      </c>
      <c r="Q11" s="4"/>
    </row>
    <row r="12" spans="1:18">
      <c r="A12" s="4"/>
      <c r="B12" s="122" t="s">
        <v>221</v>
      </c>
      <c r="C12" t="s">
        <v>248</v>
      </c>
      <c r="D12" s="89">
        <v>93619.030000000028</v>
      </c>
      <c r="E12" s="89">
        <v>523047.33000000007</v>
      </c>
      <c r="F12" s="89">
        <v>4612374</v>
      </c>
      <c r="G12" s="89">
        <v>-4454688.8100000005</v>
      </c>
      <c r="H12" s="89">
        <v>-3622273.06</v>
      </c>
      <c r="I12" s="89">
        <v>4713612</v>
      </c>
      <c r="J12" s="187"/>
      <c r="K12" s="187"/>
      <c r="L12" s="187"/>
      <c r="M12" s="187"/>
      <c r="N12" s="187"/>
      <c r="O12" s="187"/>
      <c r="P12">
        <f t="shared" ref="P12:P13" si="0">SUM(D12:O12)</f>
        <v>1865690.4899999998</v>
      </c>
      <c r="Q12" s="4"/>
      <c r="R12" s="165"/>
    </row>
    <row r="13" spans="1:18">
      <c r="A13" s="4"/>
      <c r="B13" s="4"/>
      <c r="C13" s="4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>
        <f t="shared" si="0"/>
        <v>0</v>
      </c>
      <c r="Q13" s="4"/>
    </row>
    <row r="14" spans="1:18">
      <c r="A14" s="3">
        <v>1</v>
      </c>
      <c r="B14" s="122">
        <v>4030</v>
      </c>
      <c r="C14" s="4" t="s">
        <v>71</v>
      </c>
      <c r="D14" s="89">
        <v>-2.4010660126805305E-10</v>
      </c>
      <c r="E14" s="89">
        <v>1.7280399333685637E-11</v>
      </c>
      <c r="F14" s="89">
        <v>-2.7284841053187847E-12</v>
      </c>
      <c r="G14" s="89">
        <v>-7.4578565545380116E-11</v>
      </c>
      <c r="H14" s="89">
        <v>-2.8376234695315361E-10</v>
      </c>
      <c r="I14" s="89">
        <v>-1.2823875294998288E-10</v>
      </c>
      <c r="J14" s="89">
        <f>0</f>
        <v>0</v>
      </c>
      <c r="K14" s="89">
        <f>0</f>
        <v>0</v>
      </c>
      <c r="L14" s="89">
        <f>0</f>
        <v>0</v>
      </c>
      <c r="M14" s="89">
        <f>0</f>
        <v>0</v>
      </c>
      <c r="N14" s="89">
        <f>0</f>
        <v>0</v>
      </c>
      <c r="O14" s="89">
        <f>0</f>
        <v>0</v>
      </c>
      <c r="P14">
        <f>SUM(D14:O14)</f>
        <v>-7.1213435148820281E-10</v>
      </c>
      <c r="Q14" s="69"/>
      <c r="R14" s="165"/>
    </row>
    <row r="15" spans="1:18">
      <c r="A15" s="160">
        <f>A14+1</f>
        <v>2</v>
      </c>
      <c r="B15" s="122">
        <v>4081</v>
      </c>
      <c r="C15" s="4" t="s">
        <v>250</v>
      </c>
      <c r="D15" s="89">
        <v>2.8194335754960775E-11</v>
      </c>
      <c r="E15" s="89">
        <v>-1.9999999940182533E-2</v>
      </c>
      <c r="F15" s="89">
        <v>-2.7478108677314594E-10</v>
      </c>
      <c r="G15" s="89">
        <v>9.9999999138162821E-3</v>
      </c>
      <c r="H15" s="89">
        <v>-1.0000000012723831E-2</v>
      </c>
      <c r="I15" s="89">
        <v>1.9999999866740836E-2</v>
      </c>
      <c r="J15" s="89">
        <f>0</f>
        <v>0</v>
      </c>
      <c r="K15" s="89">
        <f>0</f>
        <v>0</v>
      </c>
      <c r="L15" s="89">
        <f>0</f>
        <v>0</v>
      </c>
      <c r="M15" s="89">
        <f>0</f>
        <v>0</v>
      </c>
      <c r="N15" s="89">
        <f>0</f>
        <v>0</v>
      </c>
      <c r="O15" s="89">
        <f>0</f>
        <v>0</v>
      </c>
      <c r="P15">
        <f>SUM(D15:O15)</f>
        <v>-4.1893599700415507E-10</v>
      </c>
      <c r="Q15" s="69"/>
    </row>
    <row r="16" spans="1:18">
      <c r="A16" s="160">
        <f t="shared" ref="A16:A46" si="1">A15+1</f>
        <v>3</v>
      </c>
      <c r="B16" s="122">
        <v>8210</v>
      </c>
      <c r="C16" t="s">
        <v>283</v>
      </c>
      <c r="D16" s="89">
        <f>0</f>
        <v>0</v>
      </c>
      <c r="E16" s="89">
        <f>0</f>
        <v>0</v>
      </c>
      <c r="F16" s="89">
        <f>0</f>
        <v>0</v>
      </c>
      <c r="G16" s="89">
        <f>0</f>
        <v>0</v>
      </c>
      <c r="H16" s="89">
        <f>0</f>
        <v>0</v>
      </c>
      <c r="I16" s="89">
        <f>0</f>
        <v>0</v>
      </c>
      <c r="J16" s="89">
        <v>0</v>
      </c>
      <c r="K16" s="89">
        <v>0</v>
      </c>
      <c r="L16" s="89">
        <v>0</v>
      </c>
      <c r="M16" s="89">
        <v>0</v>
      </c>
      <c r="N16" s="89">
        <v>0</v>
      </c>
      <c r="O16" s="89">
        <v>0</v>
      </c>
      <c r="P16">
        <f>SUM(D16:O16)</f>
        <v>0</v>
      </c>
      <c r="Q16" s="69"/>
    </row>
    <row r="17" spans="1:17">
      <c r="A17" s="160">
        <f>A16+1</f>
        <v>4</v>
      </c>
      <c r="B17" s="122">
        <v>8700</v>
      </c>
      <c r="C17" s="4" t="s">
        <v>297</v>
      </c>
      <c r="D17" s="89">
        <v>191.5</v>
      </c>
      <c r="E17" s="89">
        <v>176.5</v>
      </c>
      <c r="F17" s="89">
        <v>1620.99</v>
      </c>
      <c r="G17" s="89">
        <v>6.5500000000000114</v>
      </c>
      <c r="H17" s="89">
        <v>176.5</v>
      </c>
      <c r="I17" s="89">
        <v>176.5</v>
      </c>
      <c r="J17" s="89">
        <v>645.70289822601535</v>
      </c>
      <c r="K17" s="89">
        <v>634.72054793521102</v>
      </c>
      <c r="L17" s="89">
        <v>654.64110325387651</v>
      </c>
      <c r="M17" s="89">
        <v>651.08520259986403</v>
      </c>
      <c r="N17" s="89">
        <v>644.73325711178404</v>
      </c>
      <c r="O17" s="89">
        <v>667.8530688797689</v>
      </c>
      <c r="P17">
        <f t="shared" ref="P17:P41" si="2">SUM(D17:O17)</f>
        <v>6247.27607800652</v>
      </c>
      <c r="Q17" s="4"/>
    </row>
    <row r="18" spans="1:17">
      <c r="A18" s="160">
        <f t="shared" si="1"/>
        <v>5</v>
      </c>
      <c r="B18" s="122">
        <v>8560</v>
      </c>
      <c r="C18" t="s">
        <v>348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9">
        <v>0</v>
      </c>
      <c r="O18" s="89">
        <v>0</v>
      </c>
      <c r="P18">
        <f t="shared" si="2"/>
        <v>0</v>
      </c>
      <c r="Q18" s="4"/>
    </row>
    <row r="19" spans="1:17">
      <c r="A19" s="160">
        <f t="shared" si="1"/>
        <v>6</v>
      </c>
      <c r="B19" s="122">
        <v>8740</v>
      </c>
      <c r="C19" s="4" t="s">
        <v>301</v>
      </c>
      <c r="D19" s="89">
        <v>5862.9700000000012</v>
      </c>
      <c r="E19" s="89">
        <v>10458.82</v>
      </c>
      <c r="F19" s="89">
        <v>-5224.83</v>
      </c>
      <c r="G19" s="89">
        <v>7918.87</v>
      </c>
      <c r="H19" s="89">
        <v>4937.92</v>
      </c>
      <c r="I19" s="89">
        <v>-33591.440000000002</v>
      </c>
      <c r="J19" s="89">
        <v>68496.723513510748</v>
      </c>
      <c r="K19" s="89">
        <v>68738.418682313728</v>
      </c>
      <c r="L19" s="89">
        <v>69346.016145623871</v>
      </c>
      <c r="M19" s="89">
        <v>68603.694266142556</v>
      </c>
      <c r="N19" s="89">
        <v>68463.082012093015</v>
      </c>
      <c r="O19" s="89">
        <v>69328.478311868617</v>
      </c>
      <c r="P19">
        <f t="shared" si="2"/>
        <v>403338.72293155256</v>
      </c>
      <c r="Q19" s="4"/>
    </row>
    <row r="20" spans="1:17">
      <c r="A20" s="160">
        <f t="shared" si="1"/>
        <v>7</v>
      </c>
      <c r="B20" s="122">
        <v>8780</v>
      </c>
      <c r="C20" s="4" t="s">
        <v>305</v>
      </c>
      <c r="D20" s="89">
        <f>0</f>
        <v>0</v>
      </c>
      <c r="E20" s="89">
        <f>0</f>
        <v>0</v>
      </c>
      <c r="F20" s="89">
        <f>0</f>
        <v>0</v>
      </c>
      <c r="G20" s="89">
        <f>0</f>
        <v>0</v>
      </c>
      <c r="H20" s="89">
        <f>0</f>
        <v>0</v>
      </c>
      <c r="I20" s="89">
        <f>0</f>
        <v>0</v>
      </c>
      <c r="J20" s="89">
        <v>0</v>
      </c>
      <c r="K20" s="89">
        <v>0</v>
      </c>
      <c r="L20" s="89">
        <v>0</v>
      </c>
      <c r="M20" s="89">
        <v>0</v>
      </c>
      <c r="N20" s="89">
        <v>0</v>
      </c>
      <c r="O20" s="89">
        <v>0</v>
      </c>
      <c r="P20">
        <f t="shared" si="2"/>
        <v>0</v>
      </c>
      <c r="Q20" s="4"/>
    </row>
    <row r="21" spans="1:17">
      <c r="A21" s="160">
        <f t="shared" si="1"/>
        <v>8</v>
      </c>
      <c r="B21" s="122">
        <v>8800</v>
      </c>
      <c r="C21" s="4" t="s">
        <v>307</v>
      </c>
      <c r="D21" s="89">
        <v>995</v>
      </c>
      <c r="E21" s="89">
        <v>29.34</v>
      </c>
      <c r="F21" s="89">
        <v>0</v>
      </c>
      <c r="G21" s="89">
        <v>0</v>
      </c>
      <c r="H21" s="89">
        <v>0</v>
      </c>
      <c r="I21" s="89">
        <v>9883.1</v>
      </c>
      <c r="J21" s="89">
        <v>2270.1507539182526</v>
      </c>
      <c r="K21" s="89">
        <v>2258.4849773053293</v>
      </c>
      <c r="L21" s="89">
        <v>2339.3280175560758</v>
      </c>
      <c r="M21" s="89">
        <v>2324.7005232851293</v>
      </c>
      <c r="N21" s="89">
        <v>2266.2034626409609</v>
      </c>
      <c r="O21" s="89">
        <v>20173.946705467268</v>
      </c>
      <c r="P21">
        <f t="shared" si="2"/>
        <v>42540.254440173019</v>
      </c>
      <c r="Q21" s="4"/>
    </row>
    <row r="22" spans="1:17">
      <c r="A22" s="160">
        <f t="shared" si="1"/>
        <v>9</v>
      </c>
      <c r="B22" s="122">
        <v>8810</v>
      </c>
      <c r="C22" s="4" t="s">
        <v>308</v>
      </c>
      <c r="D22" s="89">
        <v>838.42000000000007</v>
      </c>
      <c r="E22" s="89">
        <v>1681.66</v>
      </c>
      <c r="F22" s="89">
        <v>201.1400000000001</v>
      </c>
      <c r="G22" s="89">
        <v>-16315.23</v>
      </c>
      <c r="H22" s="89">
        <v>-592.26</v>
      </c>
      <c r="I22" s="89">
        <v>-362.24</v>
      </c>
      <c r="J22" s="89">
        <v>-3040.132100437555</v>
      </c>
      <c r="K22" s="89">
        <v>-3040.132100437555</v>
      </c>
      <c r="L22" s="89">
        <v>-3045.7770193076108</v>
      </c>
      <c r="M22" s="89">
        <v>-3040.132100437555</v>
      </c>
      <c r="N22" s="89">
        <v>-3040.132100437555</v>
      </c>
      <c r="O22" s="89">
        <v>-3043.1187272246243</v>
      </c>
      <c r="P22">
        <f t="shared" si="2"/>
        <v>-32797.934148282453</v>
      </c>
      <c r="Q22" s="4"/>
    </row>
    <row r="23" spans="1:17">
      <c r="A23" s="160">
        <f t="shared" si="1"/>
        <v>10</v>
      </c>
      <c r="B23" s="122">
        <v>8850</v>
      </c>
      <c r="C23" s="4" t="s">
        <v>309</v>
      </c>
      <c r="D23" s="89">
        <f>0</f>
        <v>0</v>
      </c>
      <c r="E23" s="89">
        <f>0</f>
        <v>0</v>
      </c>
      <c r="F23" s="89">
        <f>0</f>
        <v>0</v>
      </c>
      <c r="G23" s="89">
        <f>0</f>
        <v>0</v>
      </c>
      <c r="H23" s="89">
        <f>0</f>
        <v>0</v>
      </c>
      <c r="I23" s="89">
        <f>0</f>
        <v>0</v>
      </c>
      <c r="J23" s="89">
        <v>0</v>
      </c>
      <c r="K23" s="89">
        <v>0</v>
      </c>
      <c r="L23" s="89">
        <v>0</v>
      </c>
      <c r="M23" s="89">
        <v>0</v>
      </c>
      <c r="N23" s="89">
        <v>0</v>
      </c>
      <c r="O23" s="89">
        <v>0</v>
      </c>
      <c r="P23">
        <f t="shared" si="2"/>
        <v>0</v>
      </c>
      <c r="Q23" s="4"/>
    </row>
    <row r="24" spans="1:17">
      <c r="A24" s="160">
        <f t="shared" si="1"/>
        <v>11</v>
      </c>
      <c r="B24" s="122">
        <v>8900</v>
      </c>
      <c r="C24" t="s">
        <v>313</v>
      </c>
      <c r="D24" s="89">
        <f>0</f>
        <v>0</v>
      </c>
      <c r="E24" s="89">
        <f>0</f>
        <v>0</v>
      </c>
      <c r="F24" s="89">
        <f>0</f>
        <v>0</v>
      </c>
      <c r="G24" s="89">
        <f>0</f>
        <v>0</v>
      </c>
      <c r="H24" s="89">
        <f>0</f>
        <v>0</v>
      </c>
      <c r="I24" s="89">
        <f>0</f>
        <v>0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0</v>
      </c>
      <c r="P24">
        <f t="shared" si="2"/>
        <v>0</v>
      </c>
      <c r="Q24" s="4"/>
    </row>
    <row r="25" spans="1:17">
      <c r="A25" s="160">
        <f t="shared" si="1"/>
        <v>12</v>
      </c>
      <c r="B25" s="122">
        <v>9010</v>
      </c>
      <c r="C25" s="4" t="s">
        <v>318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  <c r="L25" s="89">
        <v>0</v>
      </c>
      <c r="M25" s="89">
        <v>0</v>
      </c>
      <c r="N25" s="89">
        <v>0</v>
      </c>
      <c r="O25" s="89">
        <v>0</v>
      </c>
      <c r="P25">
        <f t="shared" si="2"/>
        <v>0</v>
      </c>
      <c r="Q25" s="4"/>
    </row>
    <row r="26" spans="1:17">
      <c r="A26" s="160">
        <f t="shared" si="1"/>
        <v>13</v>
      </c>
      <c r="B26" s="122">
        <v>9030</v>
      </c>
      <c r="C26" s="4" t="s">
        <v>320</v>
      </c>
      <c r="D26" s="89">
        <v>9950.67</v>
      </c>
      <c r="E26" s="89">
        <v>9680.4399999999987</v>
      </c>
      <c r="F26" s="89">
        <v>10052.82</v>
      </c>
      <c r="G26" s="89">
        <v>9579.11</v>
      </c>
      <c r="H26" s="89">
        <v>7383.68</v>
      </c>
      <c r="I26" s="89">
        <v>6556.66</v>
      </c>
      <c r="J26" s="89">
        <v>9015.2315691721578</v>
      </c>
      <c r="K26" s="89">
        <v>8625.5142377056509</v>
      </c>
      <c r="L26" s="89">
        <v>9463.6760423713749</v>
      </c>
      <c r="M26" s="89">
        <v>9054.87896335398</v>
      </c>
      <c r="N26" s="89">
        <v>9050.1052363575272</v>
      </c>
      <c r="O26" s="89">
        <v>9177.708866226676</v>
      </c>
      <c r="P26">
        <f t="shared" si="2"/>
        <v>107590.49491518737</v>
      </c>
      <c r="Q26" s="4"/>
    </row>
    <row r="27" spans="1:17">
      <c r="A27" s="160">
        <f t="shared" si="1"/>
        <v>14</v>
      </c>
      <c r="B27" s="122">
        <v>9040</v>
      </c>
      <c r="C27" s="4" t="s">
        <v>321</v>
      </c>
      <c r="D27" s="89">
        <f>0</f>
        <v>0</v>
      </c>
      <c r="E27" s="89">
        <f>0</f>
        <v>0</v>
      </c>
      <c r="F27" s="89">
        <f>0</f>
        <v>0</v>
      </c>
      <c r="G27" s="89">
        <f>0</f>
        <v>0</v>
      </c>
      <c r="H27" s="89">
        <f>0</f>
        <v>0</v>
      </c>
      <c r="I27" s="89">
        <f>0</f>
        <v>0</v>
      </c>
      <c r="J27" s="89">
        <v>0</v>
      </c>
      <c r="K27" s="89">
        <v>0</v>
      </c>
      <c r="L27" s="89">
        <v>0</v>
      </c>
      <c r="M27" s="89">
        <v>0</v>
      </c>
      <c r="N27" s="89">
        <v>0</v>
      </c>
      <c r="O27" s="89">
        <v>20493544</v>
      </c>
      <c r="P27">
        <f t="shared" si="2"/>
        <v>20493544</v>
      </c>
      <c r="Q27" s="4"/>
    </row>
    <row r="28" spans="1:17">
      <c r="A28" s="160">
        <f t="shared" si="1"/>
        <v>15</v>
      </c>
      <c r="B28" s="122">
        <v>9100</v>
      </c>
      <c r="C28" s="4" t="s">
        <v>323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0</v>
      </c>
      <c r="N28" s="89">
        <v>0</v>
      </c>
      <c r="O28" s="89">
        <v>0</v>
      </c>
      <c r="P28">
        <f t="shared" si="2"/>
        <v>0</v>
      </c>
      <c r="Q28" s="4"/>
    </row>
    <row r="29" spans="1:17">
      <c r="A29" s="160">
        <f t="shared" si="1"/>
        <v>16</v>
      </c>
      <c r="B29" s="122">
        <v>9120</v>
      </c>
      <c r="C29" t="s">
        <v>325</v>
      </c>
      <c r="D29" s="89">
        <v>16725.25</v>
      </c>
      <c r="E29" s="89">
        <v>13023.16</v>
      </c>
      <c r="F29" s="89">
        <v>20634.500000000004</v>
      </c>
      <c r="G29" s="89">
        <v>10106.09</v>
      </c>
      <c r="H29" s="89">
        <v>10279.459999999999</v>
      </c>
      <c r="I29" s="89">
        <v>9867.66</v>
      </c>
      <c r="J29" s="89">
        <v>15148.158187377789</v>
      </c>
      <c r="K29" s="89">
        <v>16138.248265882978</v>
      </c>
      <c r="L29" s="89">
        <v>15141.919408882181</v>
      </c>
      <c r="M29" s="89">
        <v>17524.905820454333</v>
      </c>
      <c r="N29" s="89">
        <v>16532.988900916334</v>
      </c>
      <c r="O29" s="89">
        <v>17511.066391107463</v>
      </c>
      <c r="P29">
        <f t="shared" si="2"/>
        <v>178633.40697462106</v>
      </c>
      <c r="Q29" s="4"/>
    </row>
    <row r="30" spans="1:17">
      <c r="A30" s="160">
        <f t="shared" si="1"/>
        <v>17</v>
      </c>
      <c r="B30" s="122">
        <v>9160</v>
      </c>
      <c r="C30" t="s">
        <v>349</v>
      </c>
      <c r="D30" s="89">
        <f>0</f>
        <v>0</v>
      </c>
      <c r="E30" s="89">
        <f>0</f>
        <v>0</v>
      </c>
      <c r="F30" s="89">
        <f>0</f>
        <v>0</v>
      </c>
      <c r="G30" s="89">
        <f>0</f>
        <v>0</v>
      </c>
      <c r="H30" s="89">
        <f>0</f>
        <v>0</v>
      </c>
      <c r="I30" s="89">
        <f>0</f>
        <v>0</v>
      </c>
      <c r="J30" s="89">
        <v>0</v>
      </c>
      <c r="K30" s="89">
        <v>0</v>
      </c>
      <c r="L30" s="89">
        <v>0</v>
      </c>
      <c r="M30" s="89">
        <v>0</v>
      </c>
      <c r="N30" s="89">
        <v>0</v>
      </c>
      <c r="O30" s="89">
        <v>0</v>
      </c>
      <c r="P30">
        <f t="shared" si="2"/>
        <v>0</v>
      </c>
      <c r="Q30" s="4"/>
    </row>
    <row r="31" spans="1:17">
      <c r="A31" s="160">
        <f t="shared" si="1"/>
        <v>18</v>
      </c>
      <c r="B31" s="122">
        <v>9200</v>
      </c>
      <c r="C31" s="4" t="s">
        <v>327</v>
      </c>
      <c r="D31" s="89">
        <v>-674500.99999999825</v>
      </c>
      <c r="E31" s="89">
        <v>-3232736.22</v>
      </c>
      <c r="F31" s="89">
        <v>-1373917.7499999995</v>
      </c>
      <c r="G31" s="89">
        <v>-2933233.92</v>
      </c>
      <c r="H31" s="89">
        <v>-3189449.8599999994</v>
      </c>
      <c r="I31" s="89">
        <v>-2224757.7499999986</v>
      </c>
      <c r="J31" s="89">
        <v>-3538153.0737666846</v>
      </c>
      <c r="K31" s="89">
        <v>-4918214.2557761436</v>
      </c>
      <c r="L31" s="89">
        <v>-3555013.7601088076</v>
      </c>
      <c r="M31" s="89">
        <v>-3954091.1833593673</v>
      </c>
      <c r="N31" s="89">
        <v>-3024910.541044883</v>
      </c>
      <c r="O31" s="89">
        <v>-3131627.9860983384</v>
      </c>
      <c r="P31">
        <f t="shared" si="2"/>
        <v>-35750607.300154217</v>
      </c>
      <c r="Q31" s="4"/>
    </row>
    <row r="32" spans="1:17">
      <c r="A32" s="160">
        <f t="shared" si="1"/>
        <v>19</v>
      </c>
      <c r="B32" s="122">
        <v>9210</v>
      </c>
      <c r="C32" s="4" t="s">
        <v>328</v>
      </c>
      <c r="D32" s="89">
        <v>2659290.8800000004</v>
      </c>
      <c r="E32" s="89">
        <v>2536561.1399999987</v>
      </c>
      <c r="F32" s="89">
        <v>2622285.38</v>
      </c>
      <c r="G32" s="89">
        <v>2388729.63</v>
      </c>
      <c r="H32" s="89">
        <v>2559956.0300000003</v>
      </c>
      <c r="I32" s="89">
        <v>2631300.81</v>
      </c>
      <c r="J32" s="89">
        <v>3592791.722185717</v>
      </c>
      <c r="K32" s="89">
        <v>3360712.1266616024</v>
      </c>
      <c r="L32" s="89">
        <v>3416733.722998878</v>
      </c>
      <c r="M32" s="89">
        <v>3385039.199422481</v>
      </c>
      <c r="N32" s="89">
        <v>3321938.7189634759</v>
      </c>
      <c r="O32" s="89">
        <v>5023503.1415613638</v>
      </c>
      <c r="P32">
        <f t="shared" si="2"/>
        <v>37498842.501793526</v>
      </c>
      <c r="Q32" s="4"/>
    </row>
    <row r="33" spans="1:18">
      <c r="A33" s="160">
        <f t="shared" si="1"/>
        <v>20</v>
      </c>
      <c r="B33" s="122">
        <v>9220</v>
      </c>
      <c r="C33" s="4" t="s">
        <v>329</v>
      </c>
      <c r="D33" s="89">
        <v>-9953031.4299999997</v>
      </c>
      <c r="E33" s="89">
        <v>-6233532.1899999985</v>
      </c>
      <c r="F33" s="89">
        <v>-8710901.9600000028</v>
      </c>
      <c r="G33" s="89">
        <v>-8416254.8599999975</v>
      </c>
      <c r="H33" s="89">
        <v>-7515000.8000000017</v>
      </c>
      <c r="I33" s="89">
        <v>-11872058.930000002</v>
      </c>
      <c r="J33" s="188">
        <f t="shared" ref="J33:O33" si="3">-(SUM(J14:J32,J34:J41))</f>
        <v>-9040891.8499999959</v>
      </c>
      <c r="K33" s="188">
        <f t="shared" si="3"/>
        <v>-11991043.059999995</v>
      </c>
      <c r="L33" s="188">
        <f t="shared" si="3"/>
        <v>-9647400.9099999946</v>
      </c>
      <c r="M33" s="188">
        <f t="shared" si="3"/>
        <v>-10511624.709999995</v>
      </c>
      <c r="N33" s="188">
        <f t="shared" si="3"/>
        <v>-8669383.709999999</v>
      </c>
      <c r="O33" s="188">
        <f t="shared" si="3"/>
        <v>-41786801.18999999</v>
      </c>
      <c r="P33">
        <f t="shared" si="2"/>
        <v>-144347925.59999996</v>
      </c>
      <c r="Q33" s="69"/>
    </row>
    <row r="34" spans="1:18">
      <c r="A34" s="160">
        <f t="shared" si="1"/>
        <v>21</v>
      </c>
      <c r="B34" s="122">
        <v>9230</v>
      </c>
      <c r="C34" s="4" t="s">
        <v>330</v>
      </c>
      <c r="D34" s="89">
        <v>894023.3600000001</v>
      </c>
      <c r="E34" s="89">
        <v>854946.47000000009</v>
      </c>
      <c r="F34" s="89">
        <v>826624.74</v>
      </c>
      <c r="G34" s="89">
        <v>847252.16</v>
      </c>
      <c r="H34" s="89">
        <v>1176194.7700000003</v>
      </c>
      <c r="I34" s="89">
        <v>1062100.5799999998</v>
      </c>
      <c r="J34" s="89">
        <v>1213250.0711173653</v>
      </c>
      <c r="K34" s="89">
        <v>1261432.0947888519</v>
      </c>
      <c r="L34" s="89">
        <v>1261812.8011866785</v>
      </c>
      <c r="M34" s="89">
        <v>1270294.8221298491</v>
      </c>
      <c r="N34" s="89">
        <v>1210032.3585461036</v>
      </c>
      <c r="O34" s="89">
        <v>11005989.81530362</v>
      </c>
      <c r="P34">
        <f t="shared" si="2"/>
        <v>22883954.04307247</v>
      </c>
      <c r="Q34" s="4"/>
    </row>
    <row r="35" spans="1:18">
      <c r="A35" s="160">
        <f t="shared" si="1"/>
        <v>22</v>
      </c>
      <c r="B35" s="122">
        <v>9240</v>
      </c>
      <c r="C35" s="4" t="s">
        <v>331</v>
      </c>
      <c r="D35" s="89">
        <v>9023.86</v>
      </c>
      <c r="E35" s="89">
        <v>9023.86</v>
      </c>
      <c r="F35" s="89">
        <v>9032.4599999999991</v>
      </c>
      <c r="G35" s="89">
        <v>9023.86</v>
      </c>
      <c r="H35" s="89">
        <v>9023.86</v>
      </c>
      <c r="I35" s="89">
        <v>9717.19</v>
      </c>
      <c r="J35" s="89">
        <v>10825.165236247549</v>
      </c>
      <c r="K35" s="89">
        <v>10825.165236247549</v>
      </c>
      <c r="L35" s="89">
        <v>10825.165236247549</v>
      </c>
      <c r="M35" s="89">
        <v>10825.165236247549</v>
      </c>
      <c r="N35" s="89">
        <v>10900.039603801652</v>
      </c>
      <c r="O35" s="89">
        <v>10825.165236247549</v>
      </c>
      <c r="P35">
        <f t="shared" si="2"/>
        <v>119870.95578503938</v>
      </c>
      <c r="Q35" s="4"/>
    </row>
    <row r="36" spans="1:18">
      <c r="A36" s="160">
        <f t="shared" si="1"/>
        <v>23</v>
      </c>
      <c r="B36" s="122">
        <v>9250</v>
      </c>
      <c r="C36" s="4" t="s">
        <v>332</v>
      </c>
      <c r="D36" s="89">
        <v>2756598.2199999997</v>
      </c>
      <c r="E36" s="89">
        <v>2294190.9099999997</v>
      </c>
      <c r="F36" s="89">
        <v>2747643.0100000002</v>
      </c>
      <c r="G36" s="89">
        <v>2770998.27</v>
      </c>
      <c r="H36" s="89">
        <v>2766989.4800000004</v>
      </c>
      <c r="I36" s="89">
        <v>103137.16000000015</v>
      </c>
      <c r="J36" s="89">
        <v>2653093.1582426662</v>
      </c>
      <c r="K36" s="89">
        <v>2652772.1697166492</v>
      </c>
      <c r="L36" s="89">
        <v>2653102.7415367938</v>
      </c>
      <c r="M36" s="89">
        <v>2653118.9418594711</v>
      </c>
      <c r="N36" s="89">
        <v>2671418.137758621</v>
      </c>
      <c r="O36" s="89">
        <v>2653118.8990754327</v>
      </c>
      <c r="P36">
        <f t="shared" si="2"/>
        <v>29376181.098189633</v>
      </c>
      <c r="Q36" s="4"/>
    </row>
    <row r="37" spans="1:18">
      <c r="A37" s="160">
        <f t="shared" si="1"/>
        <v>24</v>
      </c>
      <c r="B37" s="122">
        <v>9260</v>
      </c>
      <c r="C37" s="4" t="s">
        <v>333</v>
      </c>
      <c r="D37" s="89">
        <v>2672275.7399999998</v>
      </c>
      <c r="E37" s="89">
        <v>2744975.4899999993</v>
      </c>
      <c r="F37" s="89">
        <v>2887846.8699999996</v>
      </c>
      <c r="G37" s="89">
        <v>4090987.3899999997</v>
      </c>
      <c r="H37" s="89">
        <v>3279883.51</v>
      </c>
      <c r="I37" s="89">
        <v>5373014.1700000009</v>
      </c>
      <c r="J37" s="89">
        <v>4302453.8671469083</v>
      </c>
      <c r="K37" s="89">
        <v>8814611.0692081619</v>
      </c>
      <c r="L37" s="89">
        <v>4472114.3906851467</v>
      </c>
      <c r="M37" s="89">
        <v>6334503.9637681404</v>
      </c>
      <c r="N37" s="89">
        <v>3670463.7083556219</v>
      </c>
      <c r="O37" s="89">
        <v>3761062.1296100719</v>
      </c>
      <c r="P37">
        <f t="shared" si="2"/>
        <v>52404192.298774049</v>
      </c>
      <c r="Q37" s="4"/>
    </row>
    <row r="38" spans="1:18">
      <c r="A38" s="160">
        <f t="shared" si="1"/>
        <v>25</v>
      </c>
      <c r="B38" s="122">
        <v>9301</v>
      </c>
      <c r="C38" s="4" t="s">
        <v>350</v>
      </c>
      <c r="D38" s="89">
        <f>0</f>
        <v>0</v>
      </c>
      <c r="E38" s="89">
        <f>0</f>
        <v>0</v>
      </c>
      <c r="F38" s="89">
        <f>0</f>
        <v>0</v>
      </c>
      <c r="G38" s="89">
        <f>0</f>
        <v>0</v>
      </c>
      <c r="H38" s="89">
        <f>0</f>
        <v>0</v>
      </c>
      <c r="I38" s="89">
        <f>0</f>
        <v>0</v>
      </c>
      <c r="J38" s="89">
        <v>0</v>
      </c>
      <c r="K38" s="89">
        <v>0</v>
      </c>
      <c r="L38" s="89">
        <v>0</v>
      </c>
      <c r="M38" s="89">
        <v>0</v>
      </c>
      <c r="N38" s="89">
        <v>0</v>
      </c>
      <c r="O38" s="89">
        <v>0</v>
      </c>
      <c r="P38">
        <f t="shared" si="2"/>
        <v>0</v>
      </c>
      <c r="Q38" s="4"/>
    </row>
    <row r="39" spans="1:18">
      <c r="A39" s="160">
        <f t="shared" si="1"/>
        <v>26</v>
      </c>
      <c r="B39" s="122">
        <v>9302</v>
      </c>
      <c r="C39" s="4" t="s">
        <v>336</v>
      </c>
      <c r="D39" s="89">
        <v>549726.27</v>
      </c>
      <c r="E39" s="89">
        <v>112310.48000000001</v>
      </c>
      <c r="F39" s="89">
        <v>547447.46000000008</v>
      </c>
      <c r="G39" s="89">
        <v>687802.95</v>
      </c>
      <c r="H39" s="89">
        <v>523819.50000000006</v>
      </c>
      <c r="I39" s="89">
        <v>2145254.2600000002</v>
      </c>
      <c r="J39" s="89">
        <v>214879.02444943885</v>
      </c>
      <c r="K39" s="89">
        <v>217213.60353239247</v>
      </c>
      <c r="L39" s="89">
        <v>794456.33155038464</v>
      </c>
      <c r="M39" s="89">
        <v>217756.78776682273</v>
      </c>
      <c r="N39" s="89">
        <v>217254.0450031863</v>
      </c>
      <c r="O39" s="89">
        <v>1283872.2026455146</v>
      </c>
      <c r="P39">
        <f t="shared" si="2"/>
        <v>7511792.9149477389</v>
      </c>
      <c r="Q39" s="4"/>
    </row>
    <row r="40" spans="1:18">
      <c r="A40" s="160">
        <f t="shared" si="1"/>
        <v>27</v>
      </c>
      <c r="B40" s="122">
        <v>9310</v>
      </c>
      <c r="C40" s="4" t="s">
        <v>212</v>
      </c>
      <c r="D40" s="89">
        <v>419451.93000000005</v>
      </c>
      <c r="E40" s="89">
        <v>405841.35</v>
      </c>
      <c r="F40" s="89">
        <v>414345.16999999987</v>
      </c>
      <c r="G40" s="89">
        <v>406290.9499999999</v>
      </c>
      <c r="H40" s="89">
        <v>433844.62</v>
      </c>
      <c r="I40" s="89">
        <v>371906.23999999993</v>
      </c>
      <c r="J40" s="89">
        <v>471795.44015733991</v>
      </c>
      <c r="K40" s="89">
        <v>471807.23736069928</v>
      </c>
      <c r="L40" s="89">
        <v>472408.38179578341</v>
      </c>
      <c r="M40" s="89">
        <v>471925.0775955026</v>
      </c>
      <c r="N40" s="89">
        <v>471802.07539647486</v>
      </c>
      <c r="O40" s="89">
        <v>509032.43427796412</v>
      </c>
      <c r="P40">
        <f t="shared" si="2"/>
        <v>5320450.9065837627</v>
      </c>
      <c r="Q40" s="4"/>
    </row>
    <row r="41" spans="1:18">
      <c r="A41" s="160">
        <f t="shared" si="1"/>
        <v>28</v>
      </c>
      <c r="B41" s="122">
        <v>9320</v>
      </c>
      <c r="C41" s="4" t="s">
        <v>337</v>
      </c>
      <c r="D41" s="89">
        <v>21992.44</v>
      </c>
      <c r="E41" s="89">
        <v>25758.79</v>
      </c>
      <c r="F41" s="89">
        <v>38480.229999999996</v>
      </c>
      <c r="G41" s="89">
        <v>23613.9</v>
      </c>
      <c r="H41" s="89">
        <v>2923.3599999999988</v>
      </c>
      <c r="I41" s="89">
        <v>16721.189999999999</v>
      </c>
      <c r="J41" s="89">
        <v>27420.640409229214</v>
      </c>
      <c r="K41" s="89">
        <v>26528.594660828538</v>
      </c>
      <c r="L41" s="89">
        <v>27061.331420510418</v>
      </c>
      <c r="M41" s="89">
        <v>27132.802905450317</v>
      </c>
      <c r="N41" s="89">
        <v>26568.186648914623</v>
      </c>
      <c r="O41" s="89">
        <v>63665.453771795539</v>
      </c>
      <c r="P41">
        <f t="shared" si="2"/>
        <v>327866.91981672868</v>
      </c>
      <c r="Q41" s="4"/>
    </row>
    <row r="42" spans="1:18" ht="15.75" thickBot="1">
      <c r="A42" s="160">
        <f t="shared" si="1"/>
        <v>29</v>
      </c>
      <c r="B42" s="4" t="s">
        <v>338</v>
      </c>
      <c r="C42" s="189"/>
      <c r="D42" s="177">
        <f t="shared" ref="D42:P42" si="4">SUM(D14:D41)</f>
        <v>-610585.91999999818</v>
      </c>
      <c r="E42" s="177">
        <f t="shared" si="4"/>
        <v>-447610.02000000112</v>
      </c>
      <c r="F42" s="177">
        <f t="shared" si="4"/>
        <v>36170.22999999726</v>
      </c>
      <c r="G42" s="177">
        <f t="shared" si="4"/>
        <v>-113494.26999999766</v>
      </c>
      <c r="H42" s="177">
        <f t="shared" si="4"/>
        <v>70369.759999999384</v>
      </c>
      <c r="I42" s="177">
        <f t="shared" si="4"/>
        <v>-2391134.8199999989</v>
      </c>
      <c r="J42" s="177">
        <f t="shared" si="4"/>
        <v>-5.0931703299283981E-11</v>
      </c>
      <c r="K42" s="177">
        <f t="shared" si="4"/>
        <v>-1.0986695997416973E-9</v>
      </c>
      <c r="L42" s="177">
        <f t="shared" si="4"/>
        <v>9.2404661700129509E-10</v>
      </c>
      <c r="M42" s="177">
        <f t="shared" si="4"/>
        <v>1.255102688446641E-9</v>
      </c>
      <c r="N42" s="177">
        <f t="shared" si="4"/>
        <v>-6.0754246078431606E-10</v>
      </c>
      <c r="O42" s="177">
        <f t="shared" si="4"/>
        <v>4.8748916015028954E-9</v>
      </c>
      <c r="P42" s="177">
        <f t="shared" si="4"/>
        <v>-3456285.0399999684</v>
      </c>
      <c r="Q42" s="4"/>
    </row>
    <row r="43" spans="1:18" ht="15.75" thickTop="1">
      <c r="A43" s="160">
        <f t="shared" si="1"/>
        <v>30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8">
      <c r="A44" s="160">
        <f t="shared" si="1"/>
        <v>31</v>
      </c>
      <c r="B44" s="190">
        <f>B33</f>
        <v>9220</v>
      </c>
      <c r="C44" s="190" t="str">
        <f>C33</f>
        <v>A&amp;G-Administrative expense transferred-Credit</v>
      </c>
      <c r="D44" s="191">
        <f>D33</f>
        <v>-9953031.4299999997</v>
      </c>
      <c r="E44" s="191">
        <f t="shared" ref="E44:I44" si="5">E33</f>
        <v>-6233532.1899999985</v>
      </c>
      <c r="F44" s="191">
        <f t="shared" si="5"/>
        <v>-8710901.9600000028</v>
      </c>
      <c r="G44" s="191">
        <f t="shared" si="5"/>
        <v>-8416254.8599999975</v>
      </c>
      <c r="H44" s="191">
        <f t="shared" si="5"/>
        <v>-7515000.8000000017</v>
      </c>
      <c r="I44" s="191">
        <f t="shared" si="5"/>
        <v>-11872058.930000002</v>
      </c>
      <c r="J44" s="191">
        <f t="shared" ref="J44:K44" si="6">-(J42-J33)</f>
        <v>-9040891.8499999959</v>
      </c>
      <c r="K44" s="191">
        <f t="shared" si="6"/>
        <v>-11991043.059999993</v>
      </c>
      <c r="L44" s="191">
        <f>L33</f>
        <v>-9647400.9099999946</v>
      </c>
      <c r="M44" s="191">
        <f>M33</f>
        <v>-10511624.709999995</v>
      </c>
      <c r="N44" s="191">
        <f>N33</f>
        <v>-8669383.709999999</v>
      </c>
      <c r="O44" s="191">
        <f>O33</f>
        <v>-41786801.18999999</v>
      </c>
      <c r="P44">
        <f t="shared" ref="P44" si="7">SUM(D44:O44)</f>
        <v>-144347925.59999996</v>
      </c>
      <c r="Q44" s="4"/>
    </row>
    <row r="45" spans="1:18">
      <c r="A45" s="160">
        <f t="shared" si="1"/>
        <v>32</v>
      </c>
      <c r="B45" s="4"/>
      <c r="C45" s="5" t="s">
        <v>351</v>
      </c>
      <c r="D45" s="192">
        <f>D46/D44</f>
        <v>5.0470760946848534E-2</v>
      </c>
      <c r="E45" s="192">
        <f t="shared" ref="E45:I45" si="8">E46/E44</f>
        <v>5.0781419001543662E-2</v>
      </c>
      <c r="F45" s="192">
        <f t="shared" si="8"/>
        <v>5.0721162059778238E-2</v>
      </c>
      <c r="G45" s="192">
        <f t="shared" si="8"/>
        <v>5.068944169307156E-2</v>
      </c>
      <c r="H45" s="192">
        <f t="shared" si="8"/>
        <v>5.0649035193715469E-2</v>
      </c>
      <c r="I45" s="192">
        <f t="shared" si="8"/>
        <v>5.0352896117236506E-2</v>
      </c>
      <c r="J45" s="192">
        <v>4.9714119999999994E-2</v>
      </c>
      <c r="K45" s="192">
        <v>4.9714119999999994E-2</v>
      </c>
      <c r="L45" s="192">
        <v>4.9714119999999994E-2</v>
      </c>
      <c r="M45" s="192">
        <v>4.9714119999999994E-2</v>
      </c>
      <c r="N45" s="192">
        <v>4.9714119999999994E-2</v>
      </c>
      <c r="O45" s="192">
        <v>4.9714119999999994E-2</v>
      </c>
      <c r="P45" s="192">
        <f t="shared" ref="P45" si="9">P46/P44</f>
        <v>5.0031230137501E-2</v>
      </c>
      <c r="Q45" s="4"/>
      <c r="R45" s="165"/>
    </row>
    <row r="46" spans="1:18">
      <c r="A46" s="160">
        <f t="shared" si="1"/>
        <v>33</v>
      </c>
      <c r="B46" s="4"/>
      <c r="C46" s="4" t="s">
        <v>352</v>
      </c>
      <c r="D46">
        <v>-502337.07</v>
      </c>
      <c r="E46">
        <v>-316547.61</v>
      </c>
      <c r="F46">
        <v>-441827.07</v>
      </c>
      <c r="G46">
        <v>-426615.26</v>
      </c>
      <c r="H46">
        <v>-380627.54</v>
      </c>
      <c r="I46">
        <v>-597792.55000000005</v>
      </c>
      <c r="J46">
        <f t="shared" ref="J46:O46" si="10">J44*J45</f>
        <v>-449459.98233792174</v>
      </c>
      <c r="K46">
        <f t="shared" si="10"/>
        <v>-596124.15361000679</v>
      </c>
      <c r="L46">
        <f t="shared" si="10"/>
        <v>-479612.04652784887</v>
      </c>
      <c r="M46">
        <f t="shared" si="10"/>
        <v>-522576.1722279049</v>
      </c>
      <c r="N46">
        <f t="shared" si="10"/>
        <v>-430990.78208498511</v>
      </c>
      <c r="O46">
        <f t="shared" si="10"/>
        <v>-2077394.0487758021</v>
      </c>
      <c r="P46">
        <f>SUM(D46:O46)</f>
        <v>-7221904.2855644701</v>
      </c>
      <c r="Q46" s="4"/>
      <c r="R46" s="165"/>
    </row>
    <row r="47" spans="1:18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>
      <c r="A49" s="4"/>
      <c r="B49" s="4" t="s">
        <v>353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69"/>
      <c r="Q50" s="4"/>
    </row>
    <row r="51" spans="1:17">
      <c r="A51" s="4"/>
      <c r="B51" s="4" t="s">
        <v>341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>
      <c r="A52" s="4"/>
      <c r="B52" s="4" t="s">
        <v>354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>
      <c r="A53" s="4"/>
      <c r="B53" s="4" t="s">
        <v>343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69"/>
    </row>
    <row r="54" spans="1:17">
      <c r="A54" s="4"/>
      <c r="B54" t="s">
        <v>355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8"/>
      <c r="P54" s="4"/>
      <c r="Q54" s="193"/>
    </row>
    <row r="55" spans="1:17">
      <c r="A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8"/>
      <c r="P55" s="4"/>
      <c r="Q55" s="193"/>
    </row>
    <row r="56" spans="1:17">
      <c r="A56" s="4"/>
      <c r="B56" s="4"/>
      <c r="C56" s="4"/>
      <c r="D56" s="31"/>
      <c r="E56" s="31"/>
      <c r="F56" s="31"/>
      <c r="G56" s="31"/>
      <c r="H56" s="31"/>
      <c r="I56" s="31"/>
      <c r="J56" s="31"/>
      <c r="K56" s="194"/>
      <c r="L56" s="194"/>
      <c r="M56" s="194"/>
      <c r="N56" s="194"/>
      <c r="O56" s="8"/>
      <c r="P56" s="4"/>
      <c r="Q56" s="193"/>
    </row>
    <row r="57" spans="1:17">
      <c r="A57" s="4"/>
      <c r="B57" s="69"/>
      <c r="C57" s="6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193"/>
    </row>
    <row r="58" spans="1:17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193"/>
    </row>
    <row r="59" spans="1:17">
      <c r="A59" s="4"/>
      <c r="B59" s="4"/>
      <c r="C59" s="4"/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 s="4"/>
      <c r="Q59" s="4"/>
    </row>
    <row r="60" spans="1:17">
      <c r="A60" s="4"/>
      <c r="B60" s="4"/>
      <c r="C60" s="4"/>
      <c r="D60">
        <f t="shared" ref="D60:O60" si="11">-D44</f>
        <v>9953031.4299999997</v>
      </c>
      <c r="E60">
        <f t="shared" si="11"/>
        <v>6233532.1899999985</v>
      </c>
      <c r="F60">
        <f t="shared" si="11"/>
        <v>8710901.9600000028</v>
      </c>
      <c r="G60">
        <f t="shared" si="11"/>
        <v>8416254.8599999975</v>
      </c>
      <c r="H60">
        <f t="shared" si="11"/>
        <v>7515000.8000000017</v>
      </c>
      <c r="I60">
        <f t="shared" si="11"/>
        <v>11872058.930000002</v>
      </c>
      <c r="J60">
        <f t="shared" si="11"/>
        <v>9040891.8499999959</v>
      </c>
      <c r="K60">
        <f t="shared" si="11"/>
        <v>11991043.059999993</v>
      </c>
      <c r="L60">
        <f t="shared" si="11"/>
        <v>9647400.9099999946</v>
      </c>
      <c r="M60">
        <f t="shared" si="11"/>
        <v>10511624.709999995</v>
      </c>
      <c r="N60">
        <f t="shared" si="11"/>
        <v>8669383.709999999</v>
      </c>
      <c r="O60">
        <f t="shared" si="11"/>
        <v>41786801.18999999</v>
      </c>
      <c r="P60" s="4"/>
      <c r="Q60" s="4"/>
    </row>
    <row r="61" spans="1:17">
      <c r="A61" s="4"/>
      <c r="B61" s="4"/>
      <c r="C61" s="69"/>
      <c r="D61">
        <f>D59-D60</f>
        <v>-9953031.4299999997</v>
      </c>
      <c r="E61">
        <f t="shared" ref="E61:O61" si="12">E59-E60</f>
        <v>-6233532.1899999985</v>
      </c>
      <c r="F61">
        <f t="shared" si="12"/>
        <v>-8710901.9600000028</v>
      </c>
      <c r="G61">
        <f t="shared" si="12"/>
        <v>-8416254.8599999975</v>
      </c>
      <c r="H61">
        <f t="shared" si="12"/>
        <v>-7515000.8000000017</v>
      </c>
      <c r="I61">
        <f t="shared" si="12"/>
        <v>-11872058.930000002</v>
      </c>
      <c r="J61">
        <f t="shared" si="12"/>
        <v>-9040891.8499999959</v>
      </c>
      <c r="K61">
        <f t="shared" si="12"/>
        <v>-11991043.059999993</v>
      </c>
      <c r="L61">
        <f t="shared" si="12"/>
        <v>-9647400.9099999946</v>
      </c>
      <c r="M61">
        <f t="shared" si="12"/>
        <v>-10511624.709999995</v>
      </c>
      <c r="N61">
        <f t="shared" si="12"/>
        <v>-8669383.709999999</v>
      </c>
      <c r="O61">
        <f t="shared" si="12"/>
        <v>-41786801.18999999</v>
      </c>
      <c r="P61" s="4"/>
      <c r="Q61" s="4"/>
    </row>
    <row r="62" spans="1:17">
      <c r="A62" s="4"/>
      <c r="B62" s="4"/>
      <c r="C62" s="6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>
      <c r="O63" s="8"/>
    </row>
    <row r="64" spans="1:17">
      <c r="O64" s="8" t="s">
        <v>356</v>
      </c>
      <c r="P64">
        <f>SUM(P17:P41)-P33+SUM('C.2.2 B 12'!P14:P28)-'C.2.2 B 12'!P22</f>
        <v>190992733.86000001</v>
      </c>
    </row>
    <row r="65" spans="3:15">
      <c r="O65" s="8" t="s">
        <v>357</v>
      </c>
    </row>
    <row r="67" spans="3:15">
      <c r="C67" s="69"/>
    </row>
  </sheetData>
  <mergeCells count="4">
    <mergeCell ref="A1:P1"/>
    <mergeCell ref="A2:P2"/>
    <mergeCell ref="A3:P3"/>
    <mergeCell ref="A4:P4"/>
  </mergeCells>
  <printOptions horizontalCentered="1"/>
  <pageMargins left="0.5" right="0.5" top="0.75" bottom="0.65" header="0.5" footer="0.25"/>
  <pageSetup scale="49" fitToHeight="2" orientation="landscape" verticalDpi="300" r:id="rId1"/>
  <headerFooter alignWithMargins="0">
    <oddHeader>&amp;RCASE NO. 2021-00214
FR_16(8)(c) 
ATTACHMENT 1</oddHeader>
    <oddFooter>&amp;RSchedule &amp;A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00E17-DD0E-4D44-A034-6EF566564DBC}">
  <dimension ref="A1:Q52"/>
  <sheetViews>
    <sheetView view="pageBreakPreview" zoomScale="80" zoomScaleNormal="100" zoomScaleSheetLayoutView="80" workbookViewId="0">
      <selection activeCell="A12" sqref="A12"/>
    </sheetView>
  </sheetViews>
  <sheetFormatPr defaultColWidth="7.109375" defaultRowHeight="15"/>
  <cols>
    <col min="1" max="1" width="4.6640625" customWidth="1"/>
    <col min="2" max="2" width="7.21875" customWidth="1"/>
    <col min="3" max="3" width="54.21875" customWidth="1"/>
    <col min="4" max="4" width="13.109375" bestFit="1" customWidth="1"/>
    <col min="5" max="6" width="11.109375" customWidth="1"/>
    <col min="7" max="8" width="13.109375" bestFit="1" customWidth="1"/>
    <col min="9" max="9" width="11.109375" customWidth="1"/>
    <col min="10" max="10" width="10.88671875" customWidth="1"/>
    <col min="11" max="14" width="13.109375" bestFit="1" customWidth="1"/>
    <col min="15" max="15" width="12.44140625" customWidth="1"/>
    <col min="16" max="16" width="12.44140625" bestFit="1" customWidth="1"/>
    <col min="17" max="17" width="12.44140625" customWidth="1"/>
    <col min="18" max="18" width="12.5546875" customWidth="1"/>
    <col min="19" max="19" width="11.33203125" bestFit="1" customWidth="1"/>
  </cols>
  <sheetData>
    <row r="1" spans="1:17">
      <c r="A1" s="237" t="s">
        <v>404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4"/>
    </row>
    <row r="2" spans="1:17">
      <c r="A2" s="237" t="s">
        <v>405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4"/>
    </row>
    <row r="3" spans="1:17" ht="15.75">
      <c r="A3" s="242" t="s">
        <v>358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4"/>
    </row>
    <row r="4" spans="1:17">
      <c r="A4" s="237" t="s">
        <v>406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4"/>
    </row>
    <row r="5" spans="1:17">
      <c r="A5" s="4"/>
      <c r="B5" s="130"/>
      <c r="C5" s="130"/>
      <c r="D5" s="130"/>
      <c r="E5" s="130"/>
      <c r="F5" s="130"/>
      <c r="G5" s="182"/>
      <c r="H5" s="130"/>
      <c r="I5" s="130"/>
      <c r="J5" s="130"/>
      <c r="K5" s="130"/>
      <c r="L5" s="130"/>
      <c r="M5" s="130"/>
      <c r="N5" s="130"/>
      <c r="O5" s="130"/>
      <c r="P5" s="4"/>
      <c r="Q5" s="4"/>
    </row>
    <row r="6" spans="1:17" ht="15.75">
      <c r="A6" s="50" t="str">
        <f>'C.2.2 B 09'!A6</f>
        <v>Data:___X____Base Period________Forecasted Period</v>
      </c>
      <c r="B6" s="4"/>
      <c r="C6" s="7"/>
      <c r="D6" s="183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8" t="s">
        <v>240</v>
      </c>
      <c r="Q6" s="4"/>
    </row>
    <row r="7" spans="1:17">
      <c r="A7" s="50" t="str">
        <f>'C.2.2 B 09'!A7</f>
        <v>Type of Filing:___X____Original________Updated ________Revised</v>
      </c>
      <c r="B7" s="4"/>
      <c r="C7" s="7"/>
      <c r="D7" s="4"/>
      <c r="E7" s="4"/>
      <c r="F7" s="4"/>
      <c r="G7" s="4"/>
      <c r="H7" s="4"/>
      <c r="I7" s="4"/>
      <c r="P7" s="52" t="s">
        <v>241</v>
      </c>
      <c r="Q7" s="4"/>
    </row>
    <row r="8" spans="1:17">
      <c r="A8" s="53" t="str">
        <f>'C.2.2 B 09'!A8</f>
        <v>Workpaper Reference No(s).____________________</v>
      </c>
      <c r="B8" s="2"/>
      <c r="C8" s="10"/>
      <c r="D8" s="11"/>
      <c r="E8" s="11"/>
      <c r="F8" s="11"/>
      <c r="G8" s="11"/>
      <c r="H8" s="11"/>
      <c r="I8" s="11"/>
      <c r="J8" s="11"/>
      <c r="K8" s="11"/>
      <c r="L8" s="11"/>
      <c r="M8" s="2"/>
      <c r="N8" s="2"/>
      <c r="O8" s="2"/>
      <c r="P8" s="55" t="str">
        <f>'C.1'!J9</f>
        <v>Witness: Christian, Densman</v>
      </c>
      <c r="Q8" s="4"/>
    </row>
    <row r="9" spans="1:17">
      <c r="A9" s="156" t="s">
        <v>22</v>
      </c>
      <c r="B9" s="157" t="s">
        <v>242</v>
      </c>
      <c r="C9" s="158"/>
      <c r="D9" s="133" t="str">
        <f>'C.2.2 B 09'!D9</f>
        <v>actual</v>
      </c>
      <c r="E9" s="133" t="str">
        <f>'C.2.2 B 09'!F9</f>
        <v>actual</v>
      </c>
      <c r="F9" s="133" t="str">
        <f>'C.2.2 B 09'!F9</f>
        <v>actual</v>
      </c>
      <c r="G9" s="133" t="str">
        <f>'C.2.2 B 09'!G9</f>
        <v>actual</v>
      </c>
      <c r="H9" s="133" t="str">
        <f>'C.2.2 B 09'!H9</f>
        <v>actual</v>
      </c>
      <c r="I9" s="133" t="str">
        <f>'C.2.2 B 09'!I9</f>
        <v>actual</v>
      </c>
      <c r="J9" s="133" t="str">
        <f>'C.2.2 B 09'!J9</f>
        <v>Budgeted</v>
      </c>
      <c r="K9" s="133" t="str">
        <f>'C.2.2 B 09'!K9</f>
        <v>Budgeted</v>
      </c>
      <c r="L9" s="133" t="str">
        <f>'C.2.2 B 09'!L9</f>
        <v>Budgeted</v>
      </c>
      <c r="M9" s="133" t="str">
        <f>'C.2.2 B 09'!M9</f>
        <v>Budgeted</v>
      </c>
      <c r="N9" s="133" t="str">
        <f>'C.2.2 B 09'!N9</f>
        <v>Budgeted</v>
      </c>
      <c r="O9" s="133" t="str">
        <f>'C.2.2 B 09'!O9</f>
        <v>Budgeted</v>
      </c>
      <c r="P9" s="185"/>
      <c r="Q9" s="3"/>
    </row>
    <row r="10" spans="1:17">
      <c r="A10" s="161" t="s">
        <v>25</v>
      </c>
      <c r="B10" s="1" t="s">
        <v>25</v>
      </c>
      <c r="C10" s="162" t="s">
        <v>245</v>
      </c>
      <c r="D10" s="186">
        <f>'C.2.2 B 09'!D10</f>
        <v>44105</v>
      </c>
      <c r="E10" s="186">
        <f>'C.2.2 B 09'!F10</f>
        <v>44166</v>
      </c>
      <c r="F10" s="186">
        <f>'C.2.2 B 09'!F10</f>
        <v>44166</v>
      </c>
      <c r="G10" s="186">
        <f>'C.2.2 B 09'!G10</f>
        <v>44197</v>
      </c>
      <c r="H10" s="186">
        <f>'C.2.2 B 09'!H10</f>
        <v>44228</v>
      </c>
      <c r="I10" s="186">
        <f>'C.2.2 B 09'!I10</f>
        <v>44256</v>
      </c>
      <c r="J10" s="186">
        <f>'C.2.2 B 09'!J10</f>
        <v>44287</v>
      </c>
      <c r="K10" s="186">
        <f>'C.2.2 B 09'!K10</f>
        <v>44317</v>
      </c>
      <c r="L10" s="186">
        <f>'C.2.2 B 09'!L10</f>
        <v>44348</v>
      </c>
      <c r="M10" s="186">
        <f>'C.2.2 B 09'!M10</f>
        <v>44378</v>
      </c>
      <c r="N10" s="186">
        <f>'C.2.2 B 09'!N10</f>
        <v>44409</v>
      </c>
      <c r="O10" s="186">
        <f>'C.2.2 B 09'!O10</f>
        <v>44440</v>
      </c>
      <c r="P10" s="186" t="str">
        <f>'C.2.2 B 09'!P10</f>
        <v>Total</v>
      </c>
      <c r="Q10" s="3"/>
    </row>
    <row r="11" spans="1:17">
      <c r="A11" s="4"/>
      <c r="B11" s="4"/>
      <c r="C11" s="4"/>
      <c r="D11" s="13" t="s">
        <v>247</v>
      </c>
      <c r="E11" s="13" t="s">
        <v>247</v>
      </c>
      <c r="F11" s="13" t="s">
        <v>247</v>
      </c>
      <c r="G11" s="13" t="s">
        <v>247</v>
      </c>
      <c r="H11" s="13" t="s">
        <v>247</v>
      </c>
      <c r="I11" s="13" t="s">
        <v>247</v>
      </c>
      <c r="J11" s="13" t="s">
        <v>247</v>
      </c>
      <c r="K11" s="13" t="s">
        <v>247</v>
      </c>
      <c r="L11" s="13" t="s">
        <v>247</v>
      </c>
      <c r="M11" s="13" t="s">
        <v>247</v>
      </c>
      <c r="N11" s="13" t="s">
        <v>247</v>
      </c>
      <c r="O11" s="13" t="s">
        <v>247</v>
      </c>
      <c r="P11" s="13" t="s">
        <v>247</v>
      </c>
      <c r="Q11" s="13"/>
    </row>
    <row r="12" spans="1:17">
      <c r="A12" s="3">
        <v>1</v>
      </c>
      <c r="B12" s="122">
        <v>4030</v>
      </c>
      <c r="C12" s="4" t="s">
        <v>71</v>
      </c>
      <c r="D12" s="89">
        <v>0</v>
      </c>
      <c r="E12" s="89">
        <v>0</v>
      </c>
      <c r="F12" s="89">
        <v>1.1641532182693481E-10</v>
      </c>
      <c r="G12" s="89">
        <v>1.1641532182693481E-10</v>
      </c>
      <c r="H12" s="89">
        <v>1.1641532182693481E-10</v>
      </c>
      <c r="I12" s="89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>
        <f t="shared" ref="P12:P25" si="0">SUM(D12:O12)</f>
        <v>3.4924596548080444E-10</v>
      </c>
      <c r="Q12" s="69"/>
    </row>
    <row r="13" spans="1:17">
      <c r="A13" s="160">
        <f>A12+1</f>
        <v>2</v>
      </c>
      <c r="B13" s="122">
        <v>4081</v>
      </c>
      <c r="C13" s="4" t="s">
        <v>250</v>
      </c>
      <c r="D13" s="89">
        <v>-2.9103830456733704E-11</v>
      </c>
      <c r="E13" s="89">
        <v>5.8207660913467407E-11</v>
      </c>
      <c r="F13" s="89">
        <v>2.9103830456733704E-11</v>
      </c>
      <c r="G13" s="89">
        <v>0</v>
      </c>
      <c r="H13" s="89">
        <v>-1.0000000009313226E-2</v>
      </c>
      <c r="I13" s="89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>
        <f t="shared" si="0"/>
        <v>-9.9999999511055648E-3</v>
      </c>
      <c r="Q13" s="4"/>
    </row>
    <row r="14" spans="1:17">
      <c r="A14" s="160">
        <f t="shared" ref="A14:A35" si="1">A13+1</f>
        <v>3</v>
      </c>
      <c r="B14" s="122">
        <v>8700</v>
      </c>
      <c r="C14" s="4" t="s">
        <v>297</v>
      </c>
      <c r="D14" s="89">
        <v>0</v>
      </c>
      <c r="E14" s="89">
        <v>3775.77</v>
      </c>
      <c r="F14" s="89">
        <v>0</v>
      </c>
      <c r="G14" s="89">
        <v>0</v>
      </c>
      <c r="H14" s="89">
        <v>172.49</v>
      </c>
      <c r="I14" s="89">
        <v>0</v>
      </c>
      <c r="J14" s="85">
        <v>117.40310176145465</v>
      </c>
      <c r="K14" s="85">
        <v>114.61865088192474</v>
      </c>
      <c r="L14" s="85">
        <v>113.32674397121139</v>
      </c>
      <c r="M14" s="85">
        <v>117.83373739835912</v>
      </c>
      <c r="N14" s="85">
        <v>111.17356578668912</v>
      </c>
      <c r="O14" s="85">
        <v>109.98714487224683</v>
      </c>
      <c r="P14">
        <f t="shared" si="0"/>
        <v>4632.6029446718876</v>
      </c>
      <c r="Q14" s="4"/>
    </row>
    <row r="15" spans="1:17">
      <c r="A15" s="160">
        <f t="shared" si="1"/>
        <v>4</v>
      </c>
      <c r="B15" s="122">
        <v>8740</v>
      </c>
      <c r="C15" s="4" t="s">
        <v>301</v>
      </c>
      <c r="D15" s="89">
        <v>11348.06</v>
      </c>
      <c r="E15" s="89">
        <v>9512.83</v>
      </c>
      <c r="F15" s="89">
        <v>6381.18</v>
      </c>
      <c r="G15" s="89">
        <v>12271.98</v>
      </c>
      <c r="H15" s="89">
        <v>6747.79</v>
      </c>
      <c r="I15" s="89">
        <v>4409.18</v>
      </c>
      <c r="J15" s="85">
        <v>9707.2708369586526</v>
      </c>
      <c r="K15" s="85">
        <v>9342.9694172340769</v>
      </c>
      <c r="L15" s="85">
        <v>9707.2708369586526</v>
      </c>
      <c r="M15" s="85">
        <v>9421.5011100409793</v>
      </c>
      <c r="N15" s="85">
        <v>9421.5011100409793</v>
      </c>
      <c r="O15" s="85">
        <v>9421.4931942195435</v>
      </c>
      <c r="P15">
        <f t="shared" si="0"/>
        <v>107693.02650545287</v>
      </c>
      <c r="Q15" s="4"/>
    </row>
    <row r="16" spans="1:17">
      <c r="A16" s="160">
        <f t="shared" si="1"/>
        <v>5</v>
      </c>
      <c r="B16" s="122">
        <v>8800</v>
      </c>
      <c r="C16" s="4" t="s">
        <v>307</v>
      </c>
      <c r="D16" s="89">
        <f>0</f>
        <v>0</v>
      </c>
      <c r="E16" s="89">
        <f>0</f>
        <v>0</v>
      </c>
      <c r="F16" s="89">
        <f>0</f>
        <v>0</v>
      </c>
      <c r="G16" s="89">
        <f>0</f>
        <v>0</v>
      </c>
      <c r="H16" s="89">
        <f>0</f>
        <v>0</v>
      </c>
      <c r="I16" s="89">
        <f>0</f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>
        <f t="shared" si="0"/>
        <v>0</v>
      </c>
      <c r="Q16" s="4"/>
    </row>
    <row r="17" spans="1:17">
      <c r="A17" s="160">
        <f>A16+1</f>
        <v>6</v>
      </c>
      <c r="B17" s="122">
        <v>9010</v>
      </c>
      <c r="C17" s="4" t="s">
        <v>318</v>
      </c>
      <c r="D17" s="89">
        <v>367825.37</v>
      </c>
      <c r="E17" s="89">
        <v>373216.01</v>
      </c>
      <c r="F17" s="89">
        <v>380641.79</v>
      </c>
      <c r="G17" s="89">
        <v>373085.69</v>
      </c>
      <c r="H17" s="89">
        <v>347547.32999999996</v>
      </c>
      <c r="I17" s="89">
        <v>431838.25999999995</v>
      </c>
      <c r="J17" s="85">
        <v>456880.34141682804</v>
      </c>
      <c r="K17" s="85">
        <v>435042.11148568196</v>
      </c>
      <c r="L17" s="85">
        <v>454782.08333512011</v>
      </c>
      <c r="M17" s="85">
        <v>441648.6578001781</v>
      </c>
      <c r="N17" s="85">
        <v>439050.94775564526</v>
      </c>
      <c r="O17" s="85">
        <v>438879.12699799321</v>
      </c>
      <c r="P17">
        <f t="shared" si="0"/>
        <v>4940437.7187914466</v>
      </c>
      <c r="Q17" s="4"/>
    </row>
    <row r="18" spans="1:17">
      <c r="A18" s="160">
        <f t="shared" si="1"/>
        <v>7</v>
      </c>
      <c r="B18" s="122">
        <v>9020</v>
      </c>
      <c r="C18" s="4" t="s">
        <v>319</v>
      </c>
      <c r="D18" s="89">
        <f>0</f>
        <v>0</v>
      </c>
      <c r="E18" s="89">
        <f>0</f>
        <v>0</v>
      </c>
      <c r="F18" s="89">
        <f>0</f>
        <v>0</v>
      </c>
      <c r="G18" s="89">
        <f>0</f>
        <v>0</v>
      </c>
      <c r="H18" s="89">
        <f>0</f>
        <v>0</v>
      </c>
      <c r="I18" s="89">
        <f>0</f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>
        <f t="shared" si="0"/>
        <v>0</v>
      </c>
      <c r="Q18" s="4"/>
    </row>
    <row r="19" spans="1:17">
      <c r="A19" s="160">
        <f t="shared" si="1"/>
        <v>8</v>
      </c>
      <c r="B19" s="122">
        <v>9030</v>
      </c>
      <c r="C19" s="4" t="s">
        <v>320</v>
      </c>
      <c r="D19" s="89">
        <v>1825152.3199999998</v>
      </c>
      <c r="E19" s="89">
        <v>1679301.4100000001</v>
      </c>
      <c r="F19" s="89">
        <v>1893104.77</v>
      </c>
      <c r="G19" s="89">
        <v>1769755.31</v>
      </c>
      <c r="H19" s="89">
        <v>1674505.02</v>
      </c>
      <c r="I19" s="89">
        <v>1859986.7500000002</v>
      </c>
      <c r="J19" s="85">
        <v>2137170.8263267516</v>
      </c>
      <c r="K19" s="85">
        <v>2006379.9594416935</v>
      </c>
      <c r="L19" s="85">
        <v>2097488.3104089545</v>
      </c>
      <c r="M19" s="85">
        <v>2065387.7389834442</v>
      </c>
      <c r="N19" s="85">
        <v>2026187.4170779991</v>
      </c>
      <c r="O19" s="85">
        <v>2024983.1706443292</v>
      </c>
      <c r="P19">
        <f t="shared" si="0"/>
        <v>23059403.002883174</v>
      </c>
      <c r="Q19" s="4"/>
    </row>
    <row r="20" spans="1:17">
      <c r="A20" s="160">
        <f t="shared" si="1"/>
        <v>9</v>
      </c>
      <c r="B20" s="122">
        <v>9200</v>
      </c>
      <c r="C20" s="4" t="s">
        <v>327</v>
      </c>
      <c r="D20" s="89">
        <v>270729.69</v>
      </c>
      <c r="E20" s="89">
        <v>253169.12</v>
      </c>
      <c r="F20" s="89">
        <v>290399.92000000004</v>
      </c>
      <c r="G20" s="89">
        <v>344454.85000000003</v>
      </c>
      <c r="H20" s="89">
        <v>249039.50999999998</v>
      </c>
      <c r="I20" s="89">
        <v>300879.83</v>
      </c>
      <c r="J20" s="85">
        <v>338598.81823494891</v>
      </c>
      <c r="K20" s="85">
        <v>323578.1969347503</v>
      </c>
      <c r="L20" s="85">
        <v>338598.81823494891</v>
      </c>
      <c r="M20" s="85">
        <v>326816.16075769626</v>
      </c>
      <c r="N20" s="85">
        <v>326816.16075769626</v>
      </c>
      <c r="O20" s="85">
        <v>326815.83437808411</v>
      </c>
      <c r="P20">
        <f t="shared" si="0"/>
        <v>3689896.9092981252</v>
      </c>
      <c r="Q20" s="4"/>
    </row>
    <row r="21" spans="1:17">
      <c r="A21" s="160">
        <f t="shared" si="1"/>
        <v>10</v>
      </c>
      <c r="B21" s="122">
        <v>9210</v>
      </c>
      <c r="C21" s="4" t="s">
        <v>328</v>
      </c>
      <c r="D21" s="89">
        <v>659502.9</v>
      </c>
      <c r="E21" s="89">
        <v>649344.78</v>
      </c>
      <c r="F21" s="89">
        <v>648815.22000000009</v>
      </c>
      <c r="G21" s="89">
        <v>666149.92000000004</v>
      </c>
      <c r="H21" s="89">
        <v>719356.57000000007</v>
      </c>
      <c r="I21" s="89">
        <v>720359.04</v>
      </c>
      <c r="J21" s="85">
        <v>208930.2136277417</v>
      </c>
      <c r="K21" s="85">
        <v>175445.48509584501</v>
      </c>
      <c r="L21" s="85">
        <v>190749.5601261991</v>
      </c>
      <c r="M21" s="85">
        <v>207776.55482664966</v>
      </c>
      <c r="N21" s="85">
        <v>185986.46078597062</v>
      </c>
      <c r="O21" s="85">
        <v>178664.74735281381</v>
      </c>
      <c r="P21">
        <f t="shared" si="0"/>
        <v>5211081.4518152205</v>
      </c>
      <c r="Q21" s="4"/>
    </row>
    <row r="22" spans="1:17">
      <c r="A22" s="160">
        <f t="shared" si="1"/>
        <v>11</v>
      </c>
      <c r="B22" s="122">
        <v>9220</v>
      </c>
      <c r="C22" s="4" t="s">
        <v>329</v>
      </c>
      <c r="D22" s="89">
        <v>-4167435.9899999998</v>
      </c>
      <c r="E22" s="89">
        <v>-3982735.0799999996</v>
      </c>
      <c r="F22" s="89">
        <v>-4269084.95</v>
      </c>
      <c r="G22" s="89">
        <v>-4205869.2299999995</v>
      </c>
      <c r="H22" s="89">
        <v>-3968320.12</v>
      </c>
      <c r="I22" s="89">
        <v>-4422928.54</v>
      </c>
      <c r="J22" s="85">
        <f t="shared" ref="J22:O22" si="2">-(SUM(J12:J21)+SUM(J23:J28))</f>
        <v>-4328807.6100000003</v>
      </c>
      <c r="K22" s="85">
        <f t="shared" si="2"/>
        <v>-4098354.8899999997</v>
      </c>
      <c r="L22" s="85">
        <f t="shared" si="2"/>
        <v>-4255048.6099999994</v>
      </c>
      <c r="M22" s="85">
        <f t="shared" si="2"/>
        <v>-4193695.0100000007</v>
      </c>
      <c r="N22" s="85">
        <f t="shared" si="2"/>
        <v>-4111654.0100000002</v>
      </c>
      <c r="O22" s="85">
        <f t="shared" si="2"/>
        <v>-4097159.31</v>
      </c>
      <c r="P22">
        <f t="shared" si="0"/>
        <v>-50101093.349999994</v>
      </c>
      <c r="Q22" s="69"/>
    </row>
    <row r="23" spans="1:17">
      <c r="A23" s="160">
        <f t="shared" si="1"/>
        <v>12</v>
      </c>
      <c r="B23" s="122">
        <v>9230</v>
      </c>
      <c r="C23" s="4" t="s">
        <v>330</v>
      </c>
      <c r="D23" s="89">
        <v>78414.45</v>
      </c>
      <c r="E23" s="89">
        <v>49788.66</v>
      </c>
      <c r="F23" s="89">
        <v>34290.61</v>
      </c>
      <c r="G23" s="89">
        <v>95902.249999999985</v>
      </c>
      <c r="H23" s="89">
        <v>72232.569999999992</v>
      </c>
      <c r="I23" s="89">
        <v>97684.86</v>
      </c>
      <c r="J23" s="85">
        <v>81879.238881814061</v>
      </c>
      <c r="K23" s="85">
        <v>35861.245558563547</v>
      </c>
      <c r="L23" s="85">
        <v>64467.025191935492</v>
      </c>
      <c r="M23" s="85">
        <v>76508.588555390481</v>
      </c>
      <c r="N23" s="85">
        <v>58135.311122888736</v>
      </c>
      <c r="O23" s="85">
        <v>49650.814270366085</v>
      </c>
      <c r="P23">
        <f t="shared" si="0"/>
        <v>794815.62358095834</v>
      </c>
      <c r="Q23" s="4"/>
    </row>
    <row r="24" spans="1:17">
      <c r="A24" s="160">
        <f t="shared" si="1"/>
        <v>13</v>
      </c>
      <c r="B24" s="122">
        <v>9240</v>
      </c>
      <c r="C24" s="4" t="s">
        <v>331</v>
      </c>
      <c r="D24" s="89">
        <v>6576.15</v>
      </c>
      <c r="E24" s="89">
        <v>6576.15</v>
      </c>
      <c r="F24" s="89">
        <v>6576.15</v>
      </c>
      <c r="G24" s="89">
        <v>6576.15</v>
      </c>
      <c r="H24" s="89">
        <v>6576.15</v>
      </c>
      <c r="I24" s="89">
        <v>6666.03</v>
      </c>
      <c r="J24" s="85">
        <v>0</v>
      </c>
      <c r="K24" s="85">
        <v>0</v>
      </c>
      <c r="L24" s="85">
        <v>0</v>
      </c>
      <c r="M24" s="85">
        <v>0</v>
      </c>
      <c r="N24" s="85">
        <v>0</v>
      </c>
      <c r="O24" s="85">
        <v>0</v>
      </c>
      <c r="P24">
        <f t="shared" si="0"/>
        <v>39546.78</v>
      </c>
      <c r="Q24" s="4"/>
    </row>
    <row r="25" spans="1:17">
      <c r="A25" s="160">
        <f t="shared" si="1"/>
        <v>14</v>
      </c>
      <c r="B25" s="122">
        <v>9250</v>
      </c>
      <c r="C25" t="s">
        <v>332</v>
      </c>
      <c r="D25" s="89">
        <v>92.95</v>
      </c>
      <c r="E25" s="89">
        <v>92.95</v>
      </c>
      <c r="F25" s="89">
        <v>92.95</v>
      </c>
      <c r="G25" s="89">
        <v>176.83</v>
      </c>
      <c r="H25" s="89">
        <v>92.95</v>
      </c>
      <c r="I25" s="89">
        <v>92.95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0</v>
      </c>
      <c r="P25">
        <f t="shared" si="0"/>
        <v>641.58000000000015</v>
      </c>
      <c r="Q25" s="4"/>
    </row>
    <row r="26" spans="1:17">
      <c r="A26" s="160">
        <f t="shared" si="1"/>
        <v>15</v>
      </c>
      <c r="B26" s="122">
        <v>9260</v>
      </c>
      <c r="C26" s="4" t="s">
        <v>333</v>
      </c>
      <c r="D26" s="89">
        <v>847167.99</v>
      </c>
      <c r="E26" s="89">
        <v>857813.24</v>
      </c>
      <c r="F26" s="89">
        <v>907833.74</v>
      </c>
      <c r="G26" s="89">
        <v>837584.61</v>
      </c>
      <c r="H26" s="89">
        <v>790921.69000000006</v>
      </c>
      <c r="I26" s="89">
        <v>908983.74</v>
      </c>
      <c r="J26" s="85">
        <v>999638.79235812812</v>
      </c>
      <c r="K26" s="85">
        <v>1016720.8175486103</v>
      </c>
      <c r="L26" s="85">
        <v>1003272.7292551731</v>
      </c>
      <c r="M26" s="85">
        <v>970075.55195723369</v>
      </c>
      <c r="N26" s="85">
        <v>970075.55195723369</v>
      </c>
      <c r="O26" s="85">
        <v>972764.65614174202</v>
      </c>
      <c r="P26">
        <f>SUM(D26:O26)</f>
        <v>11082853.109218119</v>
      </c>
      <c r="Q26" s="4"/>
    </row>
    <row r="27" spans="1:17">
      <c r="A27" s="160">
        <f t="shared" si="1"/>
        <v>16</v>
      </c>
      <c r="B27" s="122">
        <v>9310</v>
      </c>
      <c r="C27" s="4" t="s">
        <v>212</v>
      </c>
      <c r="D27" s="89">
        <v>100626.11000000002</v>
      </c>
      <c r="E27" s="89">
        <v>99559.650000000009</v>
      </c>
      <c r="F27" s="89">
        <v>100784.92</v>
      </c>
      <c r="G27" s="89">
        <v>99911.650000000009</v>
      </c>
      <c r="H27" s="89">
        <v>100746.33</v>
      </c>
      <c r="I27" s="89">
        <v>91362.880000000005</v>
      </c>
      <c r="J27" s="85">
        <v>95882.460777098371</v>
      </c>
      <c r="K27" s="85">
        <v>95868.031512873058</v>
      </c>
      <c r="L27" s="85">
        <v>95868.031512873058</v>
      </c>
      <c r="M27" s="85">
        <v>95940.177833999551</v>
      </c>
      <c r="N27" s="85">
        <v>95868.031512873058</v>
      </c>
      <c r="O27" s="85">
        <v>95868.031512873058</v>
      </c>
      <c r="P27">
        <f>SUM(D27:O27)</f>
        <v>1168286.3046625899</v>
      </c>
      <c r="Q27" s="4"/>
    </row>
    <row r="28" spans="1:17">
      <c r="A28" s="160">
        <f t="shared" si="1"/>
        <v>17</v>
      </c>
      <c r="B28" s="122">
        <v>9320</v>
      </c>
      <c r="C28" s="4" t="s">
        <v>337</v>
      </c>
      <c r="D28" s="89">
        <v>0</v>
      </c>
      <c r="E28" s="89">
        <v>584.51</v>
      </c>
      <c r="F28" s="89">
        <v>163.69</v>
      </c>
      <c r="G28" s="89">
        <v>0</v>
      </c>
      <c r="H28" s="89">
        <v>381.69</v>
      </c>
      <c r="I28" s="89">
        <v>665</v>
      </c>
      <c r="J28" s="85">
        <v>2.2444379693866385</v>
      </c>
      <c r="K28" s="85">
        <v>1.4543538660489996</v>
      </c>
      <c r="L28" s="85">
        <v>1.4543538660489996</v>
      </c>
      <c r="M28" s="85">
        <v>2.2444379693866385</v>
      </c>
      <c r="N28" s="85">
        <v>1.4543538660489996</v>
      </c>
      <c r="O28" s="85">
        <v>1.4483627069715579</v>
      </c>
      <c r="P28">
        <f>SUM(D28:O28)</f>
        <v>1805.1903002438914</v>
      </c>
      <c r="Q28" s="4"/>
    </row>
    <row r="29" spans="1:17">
      <c r="A29" s="160">
        <f t="shared" si="1"/>
        <v>18</v>
      </c>
      <c r="B29" s="4"/>
      <c r="C29" s="189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4"/>
      <c r="Q29" s="4"/>
    </row>
    <row r="30" spans="1:17" ht="15.75" thickBot="1">
      <c r="A30" s="160">
        <f t="shared" si="1"/>
        <v>19</v>
      </c>
      <c r="B30" s="4" t="s">
        <v>338</v>
      </c>
      <c r="C30" s="189"/>
      <c r="D30" s="177">
        <f>SUM(D12:D28)</f>
        <v>2.9103830456733704E-11</v>
      </c>
      <c r="E30" s="177">
        <f t="shared" ref="E30:P30" si="3">SUM(E12:E29)</f>
        <v>3.2537172955926508E-10</v>
      </c>
      <c r="F30" s="177">
        <f t="shared" si="3"/>
        <v>-9.9999998806765689E-3</v>
      </c>
      <c r="G30" s="177">
        <f t="shared" si="3"/>
        <v>1.0000000460422598E-2</v>
      </c>
      <c r="H30" s="177">
        <f t="shared" si="3"/>
        <v>-3.9999999937720077E-2</v>
      </c>
      <c r="I30" s="177">
        <f t="shared" si="3"/>
        <v>-1.9999999552965164E-2</v>
      </c>
      <c r="J30" s="177">
        <f t="shared" si="3"/>
        <v>1.5512613416035492E-10</v>
      </c>
      <c r="K30" s="177">
        <f t="shared" si="3"/>
        <v>1.5811951747934927E-10</v>
      </c>
      <c r="L30" s="177">
        <f t="shared" si="3"/>
        <v>6.2378080478708853E-10</v>
      </c>
      <c r="M30" s="177">
        <f t="shared" si="3"/>
        <v>2.4158897105053256E-11</v>
      </c>
      <c r="N30" s="177">
        <f t="shared" si="3"/>
        <v>4.1704195652414455E-11</v>
      </c>
      <c r="O30" s="177">
        <f t="shared" si="3"/>
        <v>-2.8784308270246584E-11</v>
      </c>
      <c r="P30" s="177">
        <f t="shared" si="3"/>
        <v>-5.9999993086194081E-2</v>
      </c>
      <c r="Q30" s="178"/>
    </row>
    <row r="31" spans="1:17" ht="15.75" thickTop="1">
      <c r="A31" s="160">
        <f t="shared" si="1"/>
        <v>20</v>
      </c>
      <c r="B31" s="4"/>
      <c r="C31" s="189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>
      <c r="A32" s="160">
        <f t="shared" si="1"/>
        <v>21</v>
      </c>
      <c r="B32" s="190">
        <f>B22</f>
        <v>9220</v>
      </c>
      <c r="C32" s="195" t="str">
        <f>C22</f>
        <v>A&amp;G-Administrative expense transferred-Credit</v>
      </c>
      <c r="D32" s="191">
        <f>D22</f>
        <v>-4167435.9899999998</v>
      </c>
      <c r="E32" s="191">
        <f t="shared" ref="E32:I32" si="4">E22</f>
        <v>-3982735.0799999996</v>
      </c>
      <c r="F32" s="191">
        <f t="shared" si="4"/>
        <v>-4269084.95</v>
      </c>
      <c r="G32" s="191">
        <f t="shared" si="4"/>
        <v>-4205869.2299999995</v>
      </c>
      <c r="H32" s="191">
        <f t="shared" si="4"/>
        <v>-3968320.12</v>
      </c>
      <c r="I32" s="191">
        <f t="shared" si="4"/>
        <v>-4422928.54</v>
      </c>
      <c r="J32" s="191">
        <f t="shared" ref="J32:K32" si="5">-(J30-J22)</f>
        <v>-4328807.6100000003</v>
      </c>
      <c r="K32" s="191">
        <f t="shared" si="5"/>
        <v>-4098354.8899999997</v>
      </c>
      <c r="L32" s="196">
        <f>L22</f>
        <v>-4255048.6099999994</v>
      </c>
      <c r="M32" s="196">
        <f>M22</f>
        <v>-4193695.0100000007</v>
      </c>
      <c r="N32" s="196">
        <f>N22</f>
        <v>-4111654.0100000002</v>
      </c>
      <c r="O32" s="196">
        <f>O22</f>
        <v>-4097159.31</v>
      </c>
      <c r="P32">
        <f t="shared" ref="P32" si="6">SUM(D32:O32)</f>
        <v>-50101093.349999994</v>
      </c>
      <c r="Q32" s="4"/>
    </row>
    <row r="33" spans="1:17">
      <c r="A33" s="160">
        <f t="shared" si="1"/>
        <v>22</v>
      </c>
      <c r="B33" s="4"/>
      <c r="C33" s="5" t="s">
        <v>351</v>
      </c>
      <c r="D33" s="192">
        <f>D34/D32</f>
        <v>5.3071104278676638E-2</v>
      </c>
      <c r="E33" s="192">
        <f t="shared" ref="E33:I33" si="7">E34/E32</f>
        <v>5.2934279023148088E-2</v>
      </c>
      <c r="F33" s="192">
        <f t="shared" si="7"/>
        <v>5.3421490242305907E-2</v>
      </c>
      <c r="G33" s="192">
        <f t="shared" si="7"/>
        <v>5.2779629574930945E-2</v>
      </c>
      <c r="H33" s="192">
        <f t="shared" si="7"/>
        <v>5.2894807790859373E-2</v>
      </c>
      <c r="I33" s="192">
        <f t="shared" si="7"/>
        <v>5.3269110696506979E-2</v>
      </c>
      <c r="J33" s="192">
        <v>5.5573860000000003E-2</v>
      </c>
      <c r="K33" s="192">
        <v>5.5573860000000003E-2</v>
      </c>
      <c r="L33" s="192">
        <v>5.5573860000000003E-2</v>
      </c>
      <c r="M33" s="192">
        <v>5.5573860000000003E-2</v>
      </c>
      <c r="N33" s="192">
        <v>5.5573860000000003E-2</v>
      </c>
      <c r="O33" s="192">
        <v>5.5573860000000003E-2</v>
      </c>
      <c r="P33" s="192">
        <f t="shared" ref="P33" si="8">P34/P32</f>
        <v>5.4322216229595287E-2</v>
      </c>
      <c r="Q33" s="4"/>
    </row>
    <row r="34" spans="1:17">
      <c r="A34" s="160">
        <f t="shared" si="1"/>
        <v>23</v>
      </c>
      <c r="B34" s="4"/>
      <c r="C34" s="4" t="s">
        <v>352</v>
      </c>
      <c r="D34">
        <v>-221170.43</v>
      </c>
      <c r="E34">
        <v>-210823.21</v>
      </c>
      <c r="F34">
        <v>-228060.88</v>
      </c>
      <c r="G34">
        <v>-221984.22</v>
      </c>
      <c r="H34">
        <v>-209903.53</v>
      </c>
      <c r="I34">
        <v>-235605.47</v>
      </c>
      <c r="J34">
        <f t="shared" ref="J34:O34" si="9">J32*J33</f>
        <v>-240568.54808507464</v>
      </c>
      <c r="K34">
        <f t="shared" si="9"/>
        <v>-227761.4008871754</v>
      </c>
      <c r="L34">
        <f t="shared" si="9"/>
        <v>-236469.47574533458</v>
      </c>
      <c r="M34">
        <f t="shared" si="9"/>
        <v>-233059.81936843865</v>
      </c>
      <c r="N34">
        <f t="shared" si="9"/>
        <v>-228500.48432017863</v>
      </c>
      <c r="O34">
        <f t="shared" si="9"/>
        <v>-227694.95789163662</v>
      </c>
      <c r="P34">
        <f>SUM(D34:O34)</f>
        <v>-2721602.4262978383</v>
      </c>
      <c r="Q34" s="4"/>
    </row>
    <row r="35" spans="1:17">
      <c r="A35" s="160">
        <f t="shared" si="1"/>
        <v>24</v>
      </c>
      <c r="B35" s="4"/>
      <c r="C35" s="18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197"/>
      <c r="Q35" s="4"/>
    </row>
    <row r="36" spans="1:17">
      <c r="A36" s="4"/>
      <c r="B36" s="4"/>
      <c r="C36" s="18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>
      <c r="A37" s="4"/>
      <c r="B37" s="4" t="s">
        <v>353</v>
      </c>
      <c r="C37" s="189"/>
      <c r="D37" s="178"/>
      <c r="E37" s="178"/>
      <c r="F37" s="178"/>
      <c r="G37" s="178"/>
      <c r="H37" s="178"/>
      <c r="I37" s="178"/>
      <c r="J37" s="4"/>
      <c r="K37" s="4"/>
      <c r="L37" s="4"/>
      <c r="M37" s="4"/>
      <c r="N37" s="4"/>
      <c r="O37" s="4"/>
      <c r="P37" s="178"/>
      <c r="Q37" s="4"/>
    </row>
    <row r="38" spans="1:17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69"/>
      <c r="Q39" s="4"/>
    </row>
    <row r="40" spans="1:17">
      <c r="A40" s="4"/>
      <c r="B40" s="4" t="s">
        <v>341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>
      <c r="A41" s="4"/>
      <c r="B41" s="4" t="s">
        <v>354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69"/>
      <c r="Q41" s="4"/>
    </row>
    <row r="42" spans="1:17">
      <c r="A42" s="4"/>
      <c r="B42" s="4" t="s">
        <v>343</v>
      </c>
      <c r="C42" s="4"/>
      <c r="D42" s="69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>
      <c r="A43" s="4"/>
      <c r="B43" t="s">
        <v>355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>
      <c r="A46" s="4"/>
      <c r="B46" s="4"/>
      <c r="C46" s="6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>
      <c r="A50" s="4"/>
    </row>
    <row r="52" spans="1:17">
      <c r="C52" s="69"/>
    </row>
  </sheetData>
  <mergeCells count="4">
    <mergeCell ref="A1:P1"/>
    <mergeCell ref="A2:P2"/>
    <mergeCell ref="A3:P3"/>
    <mergeCell ref="A4:P4"/>
  </mergeCells>
  <printOptions horizontalCentered="1"/>
  <pageMargins left="0.5" right="0.5" top="0.75" bottom="0.63" header="0.5" footer="0.25"/>
  <pageSetup scale="47" fitToHeight="2" orientation="landscape" verticalDpi="300" r:id="rId1"/>
  <headerFooter alignWithMargins="0">
    <oddHeader>&amp;RCASE NO. 2021-00214
FR_16(8)(c) 
ATTACHMENT 1</oddHeader>
    <oddFooter>&amp;RSchedule &amp;A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46480-DA07-4010-8217-778E99389668}">
  <dimension ref="A1:R83"/>
  <sheetViews>
    <sheetView view="pageBreakPreview" zoomScale="80" zoomScaleNormal="100" zoomScaleSheetLayoutView="80" workbookViewId="0">
      <selection activeCell="A14" sqref="A14"/>
    </sheetView>
  </sheetViews>
  <sheetFormatPr defaultColWidth="7.109375" defaultRowHeight="15"/>
  <cols>
    <col min="1" max="1" width="6.21875" customWidth="1"/>
    <col min="2" max="2" width="7.21875" customWidth="1"/>
    <col min="3" max="3" width="38.88671875" customWidth="1"/>
    <col min="4" max="5" width="11.109375" customWidth="1"/>
    <col min="6" max="6" width="11.77734375" bestFit="1" customWidth="1"/>
    <col min="7" max="7" width="11.33203125" bestFit="1" customWidth="1"/>
    <col min="8" max="8" width="11.109375" customWidth="1"/>
    <col min="9" max="9" width="12" bestFit="1" customWidth="1"/>
    <col min="10" max="13" width="11.33203125" bestFit="1" customWidth="1"/>
    <col min="14" max="14" width="12.44140625" customWidth="1"/>
    <col min="15" max="15" width="10.5546875" bestFit="1" customWidth="1"/>
    <col min="16" max="16" width="12.44140625" customWidth="1"/>
    <col min="17" max="17" width="12.5546875" customWidth="1"/>
  </cols>
  <sheetData>
    <row r="1" spans="1:18">
      <c r="A1" s="237" t="s">
        <v>404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4"/>
      <c r="R1" s="4"/>
    </row>
    <row r="2" spans="1:18">
      <c r="A2" s="237" t="s">
        <v>405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4"/>
      <c r="R2" s="4"/>
    </row>
    <row r="3" spans="1:18" ht="15.75">
      <c r="A3" s="242" t="s">
        <v>359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4"/>
      <c r="R3" s="4"/>
    </row>
    <row r="4" spans="1:18">
      <c r="A4" s="237" t="s">
        <v>406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4"/>
      <c r="R4" s="4"/>
    </row>
    <row r="5" spans="1:18">
      <c r="A5" s="4"/>
      <c r="B5" s="130"/>
      <c r="C5" s="130"/>
      <c r="D5" s="130"/>
      <c r="E5" s="130"/>
      <c r="F5" s="130"/>
      <c r="G5" s="182"/>
      <c r="H5" s="130"/>
      <c r="I5" s="130"/>
      <c r="J5" s="130"/>
      <c r="K5" s="130"/>
      <c r="L5" s="130"/>
      <c r="M5" s="130"/>
      <c r="N5" s="130"/>
      <c r="O5" s="130"/>
      <c r="P5" s="4"/>
      <c r="Q5" s="4"/>
      <c r="R5" s="4"/>
    </row>
    <row r="6" spans="1:18" ht="15.75">
      <c r="A6" s="50" t="str">
        <f>'C.2.2 B 09'!A6</f>
        <v>Data:___X____Base Period________Forecasted Period</v>
      </c>
      <c r="B6" s="4"/>
      <c r="C6" s="7"/>
      <c r="D6" s="4"/>
      <c r="E6" s="4"/>
      <c r="F6" s="183"/>
      <c r="G6" s="4"/>
      <c r="H6" s="4"/>
      <c r="I6" s="4"/>
      <c r="J6" s="4"/>
      <c r="K6" s="4"/>
      <c r="L6" s="4"/>
      <c r="M6" s="4"/>
      <c r="N6" s="4"/>
      <c r="O6" s="4"/>
      <c r="P6" s="8" t="s">
        <v>240</v>
      </c>
      <c r="Q6" s="4"/>
      <c r="R6" s="4"/>
    </row>
    <row r="7" spans="1:18">
      <c r="A7" s="50" t="str">
        <f>'C.2.2 B 09'!A7</f>
        <v>Type of Filing:___X____Original________Updated ________Revised</v>
      </c>
      <c r="B7" s="4"/>
      <c r="C7" s="7"/>
      <c r="D7" s="4"/>
      <c r="E7" s="4"/>
      <c r="F7" s="4"/>
      <c r="G7" s="4"/>
      <c r="H7" s="4"/>
      <c r="I7" s="4"/>
      <c r="P7" s="52" t="s">
        <v>241</v>
      </c>
      <c r="Q7" s="4"/>
      <c r="R7" s="4"/>
    </row>
    <row r="8" spans="1:18">
      <c r="A8" s="53" t="str">
        <f>'C.2.2 B 09'!A8</f>
        <v>Workpaper Reference No(s).____________________</v>
      </c>
      <c r="B8" s="2"/>
      <c r="C8" s="10"/>
      <c r="D8" s="11"/>
      <c r="E8" s="11"/>
      <c r="F8" s="11"/>
      <c r="G8" s="11"/>
      <c r="H8" s="11"/>
      <c r="I8" s="11"/>
      <c r="J8" s="11"/>
      <c r="K8" s="11"/>
      <c r="L8" s="11"/>
      <c r="M8" s="2"/>
      <c r="N8" s="2"/>
      <c r="O8" s="2"/>
      <c r="P8" s="55" t="str">
        <f>'C.1'!J9</f>
        <v>Witness: Christian, Densman</v>
      </c>
      <c r="Q8" s="4"/>
      <c r="R8" s="4"/>
    </row>
    <row r="9" spans="1:18">
      <c r="A9" s="156" t="s">
        <v>22</v>
      </c>
      <c r="B9" s="157" t="s">
        <v>242</v>
      </c>
      <c r="C9" s="158"/>
      <c r="D9" s="133" t="str">
        <f>'C.2.2 B 09'!D9</f>
        <v>actual</v>
      </c>
      <c r="E9" s="133" t="str">
        <f>'C.2.2 B 09'!F9</f>
        <v>actual</v>
      </c>
      <c r="F9" s="133" t="str">
        <f>'C.2.2 B 09'!F9</f>
        <v>actual</v>
      </c>
      <c r="G9" s="133" t="str">
        <f>'C.2.2 B 09'!G9</f>
        <v>actual</v>
      </c>
      <c r="H9" s="133" t="str">
        <f>'C.2.2 B 09'!H9</f>
        <v>actual</v>
      </c>
      <c r="I9" s="133" t="str">
        <f>'C.2.2 B 09'!I9</f>
        <v>actual</v>
      </c>
      <c r="J9" s="133" t="str">
        <f>'C.2.2 B 09'!J9</f>
        <v>Budgeted</v>
      </c>
      <c r="K9" s="133" t="str">
        <f>'C.2.2 B 09'!K9</f>
        <v>Budgeted</v>
      </c>
      <c r="L9" s="133" t="str">
        <f>'C.2.2 B 09'!L9</f>
        <v>Budgeted</v>
      </c>
      <c r="M9" s="133" t="str">
        <f>'C.2.2 B 09'!M9</f>
        <v>Budgeted</v>
      </c>
      <c r="N9" s="133" t="str">
        <f>'C.2.2 B 09'!N9</f>
        <v>Budgeted</v>
      </c>
      <c r="O9" s="133" t="str">
        <f>'C.2.2 B 09'!O9</f>
        <v>Budgeted</v>
      </c>
      <c r="P9" s="185"/>
      <c r="Q9" s="3"/>
      <c r="R9" s="3"/>
    </row>
    <row r="10" spans="1:18">
      <c r="A10" s="161" t="s">
        <v>25</v>
      </c>
      <c r="B10" s="1" t="s">
        <v>25</v>
      </c>
      <c r="C10" s="162" t="s">
        <v>245</v>
      </c>
      <c r="D10" s="186">
        <f>'C.2.2 B 09'!D10</f>
        <v>44105</v>
      </c>
      <c r="E10" s="186">
        <f>'C.2.2 B 09'!E10</f>
        <v>44136</v>
      </c>
      <c r="F10" s="186">
        <f>'C.2.2 B 09'!F10</f>
        <v>44166</v>
      </c>
      <c r="G10" s="186">
        <f>'C.2.2 B 09'!G10</f>
        <v>44197</v>
      </c>
      <c r="H10" s="186">
        <f>'C.2.2 B 09'!H10</f>
        <v>44228</v>
      </c>
      <c r="I10" s="186">
        <f>'C.2.2 B 09'!I10</f>
        <v>44256</v>
      </c>
      <c r="J10" s="186">
        <f>'C.2.2 B 09'!J10</f>
        <v>44287</v>
      </c>
      <c r="K10" s="186">
        <f>'C.2.2 B 09'!K10</f>
        <v>44317</v>
      </c>
      <c r="L10" s="186">
        <f>'C.2.2 B 09'!L10</f>
        <v>44348</v>
      </c>
      <c r="M10" s="186">
        <f>'C.2.2 B 09'!M10</f>
        <v>44378</v>
      </c>
      <c r="N10" s="186">
        <f>'C.2.2 B 09'!N10</f>
        <v>44409</v>
      </c>
      <c r="O10" s="186">
        <f>'C.2.2 B 09'!O10</f>
        <v>44440</v>
      </c>
      <c r="P10" s="186" t="str">
        <f>'C.2.2 B 09'!P10</f>
        <v>Total</v>
      </c>
      <c r="Q10" s="3"/>
      <c r="R10" s="3"/>
    </row>
    <row r="11" spans="1:18">
      <c r="A11" s="4"/>
      <c r="B11" s="4"/>
      <c r="C11" s="4"/>
      <c r="D11" s="13" t="s">
        <v>247</v>
      </c>
      <c r="E11" s="13" t="s">
        <v>247</v>
      </c>
      <c r="F11" s="13" t="s">
        <v>247</v>
      </c>
      <c r="G11" s="13" t="s">
        <v>247</v>
      </c>
      <c r="H11" s="13" t="s">
        <v>247</v>
      </c>
      <c r="I11" s="13" t="s">
        <v>247</v>
      </c>
      <c r="J11" s="13" t="s">
        <v>247</v>
      </c>
      <c r="K11" s="13" t="s">
        <v>247</v>
      </c>
      <c r="L11" s="13" t="s">
        <v>247</v>
      </c>
      <c r="M11" s="13" t="s">
        <v>247</v>
      </c>
      <c r="N11" s="13" t="s">
        <v>247</v>
      </c>
      <c r="O11" s="13" t="s">
        <v>247</v>
      </c>
      <c r="P11" s="13" t="s">
        <v>247</v>
      </c>
      <c r="Q11" s="13"/>
      <c r="R11" s="4"/>
    </row>
    <row r="12" spans="1:18">
      <c r="A12" s="4"/>
      <c r="B12" s="122" t="s">
        <v>221</v>
      </c>
      <c r="C12" t="s">
        <v>248</v>
      </c>
      <c r="D12" s="89">
        <v>665312</v>
      </c>
      <c r="E12" s="89">
        <v>1429633.39</v>
      </c>
      <c r="F12" s="89">
        <v>-1740377</v>
      </c>
      <c r="G12" s="89">
        <v>3165370.89</v>
      </c>
      <c r="H12" s="89">
        <v>2485333.08</v>
      </c>
      <c r="I12" s="89">
        <v>-5632004</v>
      </c>
      <c r="J12" s="89"/>
      <c r="K12" s="85"/>
      <c r="L12" s="85"/>
      <c r="M12" s="85"/>
      <c r="N12" s="85"/>
      <c r="O12" s="85"/>
      <c r="P12">
        <f t="shared" ref="P12:P15" si="0">SUM(D12:O12)</f>
        <v>373268.36000000034</v>
      </c>
      <c r="Q12" s="13"/>
      <c r="R12" s="4"/>
    </row>
    <row r="13" spans="1:18">
      <c r="A13" s="4"/>
      <c r="B13" s="4"/>
      <c r="C13" s="4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>
        <f t="shared" si="0"/>
        <v>0</v>
      </c>
      <c r="Q13" s="13"/>
      <c r="R13" s="4"/>
    </row>
    <row r="14" spans="1:18">
      <c r="A14" s="3">
        <v>1</v>
      </c>
      <c r="B14" s="122">
        <v>4030</v>
      </c>
      <c r="C14" s="4" t="s">
        <v>71</v>
      </c>
      <c r="D14" s="89">
        <v>-4.5474735088646412E-13</v>
      </c>
      <c r="E14" s="89">
        <v>-1.0000000000218279E-2</v>
      </c>
      <c r="F14" s="89">
        <v>4.5474735088646412E-13</v>
      </c>
      <c r="G14" s="89">
        <v>-9.9999999997635314E-3</v>
      </c>
      <c r="H14" s="89">
        <v>1.0000000000218279E-2</v>
      </c>
      <c r="I14" s="89">
        <v>0</v>
      </c>
      <c r="J14" s="89">
        <f>0</f>
        <v>0</v>
      </c>
      <c r="K14" s="89">
        <f>0</f>
        <v>0</v>
      </c>
      <c r="L14" s="89">
        <f>0</f>
        <v>0</v>
      </c>
      <c r="M14" s="89">
        <f>0</f>
        <v>0</v>
      </c>
      <c r="N14" s="89">
        <f>0</f>
        <v>0</v>
      </c>
      <c r="O14" s="89">
        <f>0</f>
        <v>0</v>
      </c>
      <c r="P14">
        <f t="shared" si="0"/>
        <v>-9.9999999997635314E-3</v>
      </c>
      <c r="Q14" s="69"/>
      <c r="R14" s="4"/>
    </row>
    <row r="15" spans="1:18">
      <c r="A15" s="160">
        <f>A14+1</f>
        <v>2</v>
      </c>
      <c r="B15" s="122" t="s">
        <v>360</v>
      </c>
      <c r="C15" s="4" t="s">
        <v>249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f>0</f>
        <v>0</v>
      </c>
      <c r="K15" s="89">
        <f>0</f>
        <v>0</v>
      </c>
      <c r="L15" s="89">
        <f>0</f>
        <v>0</v>
      </c>
      <c r="M15" s="89">
        <f>0</f>
        <v>0</v>
      </c>
      <c r="N15" s="89">
        <f>0</f>
        <v>0</v>
      </c>
      <c r="O15" s="89">
        <f>0</f>
        <v>0</v>
      </c>
      <c r="P15">
        <f t="shared" si="0"/>
        <v>0</v>
      </c>
      <c r="Q15" s="69"/>
      <c r="R15" s="4"/>
    </row>
    <row r="16" spans="1:18">
      <c r="A16" s="160">
        <f t="shared" ref="A16:A65" si="1">A15+1</f>
        <v>3</v>
      </c>
      <c r="B16" s="122">
        <v>4081</v>
      </c>
      <c r="C16" s="4" t="s">
        <v>250</v>
      </c>
      <c r="D16" s="89">
        <v>3.637978807091713E-12</v>
      </c>
      <c r="E16" s="89">
        <v>-9.9999999947613105E-3</v>
      </c>
      <c r="F16" s="89">
        <v>3.637978807091713E-12</v>
      </c>
      <c r="G16" s="89">
        <v>3.637978807091713E-12</v>
      </c>
      <c r="H16" s="89">
        <v>1.4551915228366852E-11</v>
      </c>
      <c r="I16" s="89">
        <v>-7.2759576141834259E-12</v>
      </c>
      <c r="J16" s="89">
        <f>0</f>
        <v>0</v>
      </c>
      <c r="K16" s="89">
        <f>0</f>
        <v>0</v>
      </c>
      <c r="L16" s="89">
        <f>0</f>
        <v>0</v>
      </c>
      <c r="M16" s="89">
        <f>0</f>
        <v>0</v>
      </c>
      <c r="N16" s="89">
        <f>0</f>
        <v>0</v>
      </c>
      <c r="O16" s="89">
        <f>0</f>
        <v>0</v>
      </c>
      <c r="P16">
        <f t="shared" ref="P16:P59" si="2">SUM(D16:O16)</f>
        <v>-9.9999999765714165E-3</v>
      </c>
      <c r="Q16" s="4"/>
      <c r="R16" s="4"/>
    </row>
    <row r="17" spans="1:18">
      <c r="A17" s="160">
        <f t="shared" si="1"/>
        <v>4</v>
      </c>
      <c r="B17" s="122">
        <v>8170</v>
      </c>
      <c r="C17" s="4" t="s">
        <v>279</v>
      </c>
      <c r="D17" s="89">
        <v>42.91</v>
      </c>
      <c r="E17" s="89">
        <v>41.39</v>
      </c>
      <c r="F17" s="89">
        <v>39.950000000000003</v>
      </c>
      <c r="G17" s="89">
        <v>44.34</v>
      </c>
      <c r="H17" s="89">
        <v>90.28</v>
      </c>
      <c r="I17" s="89">
        <v>0.46</v>
      </c>
      <c r="J17" s="85">
        <v>72.859574105338893</v>
      </c>
      <c r="K17" s="85">
        <v>71.826680658907193</v>
      </c>
      <c r="L17" s="85">
        <v>70.184426980033876</v>
      </c>
      <c r="M17" s="85">
        <v>70.121198732735763</v>
      </c>
      <c r="N17" s="85">
        <v>69.992469222667054</v>
      </c>
      <c r="O17" s="85">
        <v>70.360777764966343</v>
      </c>
      <c r="P17">
        <f t="shared" si="2"/>
        <v>684.67512746464911</v>
      </c>
      <c r="Q17" s="4"/>
      <c r="R17" s="4"/>
    </row>
    <row r="18" spans="1:18">
      <c r="A18" s="160">
        <f t="shared" si="1"/>
        <v>5</v>
      </c>
      <c r="B18" s="122">
        <v>8180</v>
      </c>
      <c r="C18" s="4" t="s">
        <v>280</v>
      </c>
      <c r="D18" s="89">
        <v>30.04000000000002</v>
      </c>
      <c r="E18" s="89">
        <v>28.979999999999961</v>
      </c>
      <c r="F18" s="89">
        <v>27.970000000000027</v>
      </c>
      <c r="G18" s="89">
        <v>31.039999999999964</v>
      </c>
      <c r="H18" s="89">
        <v>63.200000000000045</v>
      </c>
      <c r="I18" s="89">
        <v>0.31999999999999984</v>
      </c>
      <c r="J18" s="85">
        <v>51.007039983126845</v>
      </c>
      <c r="K18" s="85">
        <v>50.283938894939297</v>
      </c>
      <c r="L18" s="85">
        <v>49.134240998824509</v>
      </c>
      <c r="M18" s="85">
        <v>49.089976593252572</v>
      </c>
      <c r="N18" s="85">
        <v>48.999856504743832</v>
      </c>
      <c r="O18" s="85">
        <v>49.257699468745045</v>
      </c>
      <c r="P18">
        <f t="shared" si="2"/>
        <v>479.32275244363211</v>
      </c>
      <c r="Q18" s="4"/>
      <c r="R18" s="4"/>
    </row>
    <row r="19" spans="1:18">
      <c r="A19" s="160">
        <f t="shared" si="1"/>
        <v>6</v>
      </c>
      <c r="B19" s="122">
        <v>8190</v>
      </c>
      <c r="C19" s="4" t="s">
        <v>281</v>
      </c>
      <c r="D19" s="89">
        <v>4.58</v>
      </c>
      <c r="E19" s="89">
        <v>31.66</v>
      </c>
      <c r="F19" s="89">
        <v>65.12</v>
      </c>
      <c r="G19" s="89">
        <v>73.81</v>
      </c>
      <c r="H19" s="89">
        <v>33.380000000000003</v>
      </c>
      <c r="I19" s="89">
        <v>16.239999999999998</v>
      </c>
      <c r="J19" s="85">
        <v>63.155453141322376</v>
      </c>
      <c r="K19" s="85">
        <v>62.260130124998078</v>
      </c>
      <c r="L19" s="85">
        <v>60.836607183287001</v>
      </c>
      <c r="M19" s="85">
        <v>60.78180026657801</v>
      </c>
      <c r="N19" s="85">
        <v>60.670216159192265</v>
      </c>
      <c r="O19" s="85">
        <v>60.989469917814326</v>
      </c>
      <c r="P19">
        <f t="shared" si="2"/>
        <v>593.48367679319199</v>
      </c>
      <c r="Q19" s="4"/>
      <c r="R19" s="4"/>
    </row>
    <row r="20" spans="1:18">
      <c r="A20" s="160">
        <f t="shared" si="1"/>
        <v>7</v>
      </c>
      <c r="B20" s="122">
        <v>8210</v>
      </c>
      <c r="C20" s="4" t="s">
        <v>283</v>
      </c>
      <c r="D20" s="89">
        <v>98.53</v>
      </c>
      <c r="E20" s="89">
        <v>114.78</v>
      </c>
      <c r="F20" s="89">
        <v>268.01</v>
      </c>
      <c r="G20" s="89">
        <v>299.08</v>
      </c>
      <c r="H20" s="89">
        <v>302.98</v>
      </c>
      <c r="I20" s="89">
        <v>210.46</v>
      </c>
      <c r="J20" s="85">
        <v>363.50839224328723</v>
      </c>
      <c r="K20" s="85">
        <v>358.35511704669921</v>
      </c>
      <c r="L20" s="85">
        <v>350.16164348068884</v>
      </c>
      <c r="M20" s="85">
        <v>349.8461873611339</v>
      </c>
      <c r="N20" s="85">
        <v>349.20393467418177</v>
      </c>
      <c r="O20" s="85">
        <v>351.04148653616653</v>
      </c>
      <c r="P20">
        <f t="shared" si="2"/>
        <v>3415.9567613421577</v>
      </c>
      <c r="Q20" s="4"/>
      <c r="R20" s="4"/>
    </row>
    <row r="21" spans="1:18">
      <c r="A21" s="160">
        <f t="shared" si="1"/>
        <v>8</v>
      </c>
      <c r="B21" s="122">
        <v>8240</v>
      </c>
      <c r="C21" s="4" t="s">
        <v>284</v>
      </c>
      <c r="D21" s="89">
        <f>0</f>
        <v>0</v>
      </c>
      <c r="E21" s="89">
        <f>0</f>
        <v>0</v>
      </c>
      <c r="F21" s="89">
        <f>0</f>
        <v>0</v>
      </c>
      <c r="G21" s="89">
        <f>0</f>
        <v>0</v>
      </c>
      <c r="H21" s="89">
        <f>0</f>
        <v>0</v>
      </c>
      <c r="I21" s="89">
        <f>0</f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>
        <f t="shared" si="2"/>
        <v>0</v>
      </c>
      <c r="Q21" s="4"/>
      <c r="R21" s="4"/>
    </row>
    <row r="22" spans="1:18">
      <c r="A22" s="160">
        <f t="shared" si="1"/>
        <v>9</v>
      </c>
      <c r="B22" s="122">
        <v>8250</v>
      </c>
      <c r="C22" s="4" t="s">
        <v>285</v>
      </c>
      <c r="D22" s="89">
        <v>882.02</v>
      </c>
      <c r="E22" s="89">
        <v>458.57</v>
      </c>
      <c r="F22" s="89">
        <v>1101.8100000000002</v>
      </c>
      <c r="G22" s="89">
        <v>2270.65</v>
      </c>
      <c r="H22" s="89">
        <v>1407.2199999999998</v>
      </c>
      <c r="I22" s="89">
        <v>933.5</v>
      </c>
      <c r="J22" s="85">
        <v>1981.778729946463</v>
      </c>
      <c r="K22" s="85">
        <v>1953.6840521011059</v>
      </c>
      <c r="L22" s="85">
        <v>1909.0147900318264</v>
      </c>
      <c r="M22" s="85">
        <v>1907.2949831682008</v>
      </c>
      <c r="N22" s="85">
        <v>1903.7935434726883</v>
      </c>
      <c r="O22" s="85">
        <v>1913.811527301842</v>
      </c>
      <c r="P22">
        <f t="shared" si="2"/>
        <v>18623.147626022128</v>
      </c>
      <c r="Q22" s="4"/>
      <c r="R22" s="4"/>
    </row>
    <row r="23" spans="1:18">
      <c r="A23" s="160">
        <f t="shared" si="1"/>
        <v>10</v>
      </c>
      <c r="B23" s="122">
        <v>8500</v>
      </c>
      <c r="C23" s="4" t="s">
        <v>153</v>
      </c>
      <c r="D23" s="89">
        <v>0</v>
      </c>
      <c r="E23" s="89">
        <v>24916.09</v>
      </c>
      <c r="F23" s="89">
        <v>1796.84</v>
      </c>
      <c r="G23" s="89">
        <v>1555.5</v>
      </c>
      <c r="H23" s="89">
        <v>867.9</v>
      </c>
      <c r="I23" s="89">
        <v>71.599999999999994</v>
      </c>
      <c r="J23" s="85">
        <v>9661.1592707280524</v>
      </c>
      <c r="K23" s="85">
        <v>9675.2435950747567</v>
      </c>
      <c r="L23" s="85">
        <v>8763.7329262834428</v>
      </c>
      <c r="M23" s="85">
        <v>9238.8839485337739</v>
      </c>
      <c r="N23" s="85">
        <v>8650.715595867794</v>
      </c>
      <c r="O23" s="85">
        <v>11644.979037982863</v>
      </c>
      <c r="P23">
        <f t="shared" si="2"/>
        <v>86842.644374470663</v>
      </c>
      <c r="Q23" s="4"/>
      <c r="R23" s="4"/>
    </row>
    <row r="24" spans="1:18">
      <c r="A24" s="160">
        <f t="shared" si="1"/>
        <v>11</v>
      </c>
      <c r="B24" s="122">
        <v>8560</v>
      </c>
      <c r="C24" s="4" t="s">
        <v>292</v>
      </c>
      <c r="D24" s="89">
        <v>38.620000000000005</v>
      </c>
      <c r="E24" s="89">
        <v>37.259999999999991</v>
      </c>
      <c r="F24" s="89">
        <v>35.95999999999998</v>
      </c>
      <c r="G24" s="89">
        <v>39.910000000000025</v>
      </c>
      <c r="H24" s="89">
        <v>81.259999999999991</v>
      </c>
      <c r="I24" s="89">
        <v>0.41999999999999993</v>
      </c>
      <c r="J24" s="85">
        <v>65.582888147955146</v>
      </c>
      <c r="K24" s="85">
        <v>64.65315260944999</v>
      </c>
      <c r="L24" s="85">
        <v>63.174915320052719</v>
      </c>
      <c r="M24" s="85">
        <v>63.118001851627128</v>
      </c>
      <c r="N24" s="85">
        <v>63.002128911607429</v>
      </c>
      <c r="O24" s="85">
        <v>63.33365346730443</v>
      </c>
      <c r="P24">
        <f t="shared" si="2"/>
        <v>616.29474030799679</v>
      </c>
      <c r="Q24" s="4"/>
      <c r="R24" s="4"/>
    </row>
    <row r="25" spans="1:18">
      <c r="A25" s="160">
        <f t="shared" si="1"/>
        <v>12</v>
      </c>
      <c r="B25" s="122">
        <v>8570</v>
      </c>
      <c r="C25" s="4" t="s">
        <v>293</v>
      </c>
      <c r="D25" s="89">
        <v>165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5">
        <v>149.41340367620606</v>
      </c>
      <c r="K25" s="85">
        <v>147.18130475624466</v>
      </c>
      <c r="L25" s="85">
        <v>144.06238733290036</v>
      </c>
      <c r="M25" s="85">
        <v>143.93591377133421</v>
      </c>
      <c r="N25" s="85">
        <v>143.67842000371019</v>
      </c>
      <c r="O25" s="85">
        <v>144.4203299305689</v>
      </c>
      <c r="P25">
        <f>SUM(D25:O25)</f>
        <v>1037.6917594709644</v>
      </c>
      <c r="Q25" s="4"/>
      <c r="R25" s="4"/>
    </row>
    <row r="26" spans="1:18">
      <c r="A26" s="160">
        <f t="shared" si="1"/>
        <v>13</v>
      </c>
      <c r="B26" s="122">
        <v>8600</v>
      </c>
      <c r="C26" s="4" t="s">
        <v>293</v>
      </c>
      <c r="D26" s="89">
        <v>64.349999999999994</v>
      </c>
      <c r="E26" s="89">
        <v>168.13</v>
      </c>
      <c r="F26" s="89">
        <v>49.629999999999995</v>
      </c>
      <c r="G26" s="89">
        <v>88.69</v>
      </c>
      <c r="H26" s="89">
        <v>180.58</v>
      </c>
      <c r="I26" s="89">
        <v>0.93</v>
      </c>
      <c r="J26" s="85">
        <v>3691.0276025401877</v>
      </c>
      <c r="K26" s="85">
        <v>3751.0846100643425</v>
      </c>
      <c r="L26" s="85">
        <v>3854.5993754322717</v>
      </c>
      <c r="M26" s="85">
        <v>4969.0545553622696</v>
      </c>
      <c r="N26" s="85">
        <v>4325.1419948441717</v>
      </c>
      <c r="O26" s="85">
        <v>4313.8452832561352</v>
      </c>
      <c r="P26">
        <f t="shared" si="2"/>
        <v>25457.063421499377</v>
      </c>
      <c r="Q26" s="4"/>
      <c r="R26" s="172"/>
    </row>
    <row r="27" spans="1:18">
      <c r="A27" s="160">
        <f t="shared" si="1"/>
        <v>14</v>
      </c>
      <c r="B27" s="122">
        <v>8650</v>
      </c>
      <c r="C27" s="198" t="s">
        <v>361</v>
      </c>
      <c r="D27" s="89">
        <f>0</f>
        <v>0</v>
      </c>
      <c r="E27" s="89">
        <f>0</f>
        <v>0</v>
      </c>
      <c r="F27" s="89">
        <f>0</f>
        <v>0</v>
      </c>
      <c r="G27" s="89">
        <f>0</f>
        <v>0</v>
      </c>
      <c r="H27" s="89">
        <f>0</f>
        <v>0</v>
      </c>
      <c r="I27" s="89">
        <f>0</f>
        <v>0</v>
      </c>
      <c r="J27" s="85">
        <v>0</v>
      </c>
      <c r="K27" s="85">
        <v>0</v>
      </c>
      <c r="L27" s="85">
        <v>0</v>
      </c>
      <c r="M27" s="85">
        <v>0</v>
      </c>
      <c r="N27" s="85">
        <v>0</v>
      </c>
      <c r="O27" s="85">
        <v>0</v>
      </c>
      <c r="P27">
        <f t="shared" si="2"/>
        <v>0</v>
      </c>
      <c r="Q27" s="4"/>
      <c r="R27" s="172"/>
    </row>
    <row r="28" spans="1:18">
      <c r="A28" s="160">
        <f t="shared" si="1"/>
        <v>15</v>
      </c>
      <c r="B28" s="122">
        <v>8700</v>
      </c>
      <c r="C28" s="4" t="s">
        <v>297</v>
      </c>
      <c r="D28" s="89">
        <v>139345.71999999994</v>
      </c>
      <c r="E28" s="89">
        <v>157717.82000000004</v>
      </c>
      <c r="F28" s="89">
        <v>164992.21999999997</v>
      </c>
      <c r="G28" s="89">
        <v>296232.22000000003</v>
      </c>
      <c r="H28" s="89">
        <v>195538.02999999997</v>
      </c>
      <c r="I28" s="89">
        <v>158320.26</v>
      </c>
      <c r="J28" s="85">
        <v>283249.14645465108</v>
      </c>
      <c r="K28" s="85">
        <v>249293.38043922393</v>
      </c>
      <c r="L28" s="85">
        <v>231059.85065718828</v>
      </c>
      <c r="M28" s="85">
        <v>243123.65238771925</v>
      </c>
      <c r="N28" s="85">
        <v>305307.61985556647</v>
      </c>
      <c r="O28" s="85">
        <v>217199.23360835653</v>
      </c>
      <c r="P28">
        <f t="shared" si="2"/>
        <v>2641379.1534027057</v>
      </c>
      <c r="Q28" s="4"/>
      <c r="R28" s="172"/>
    </row>
    <row r="29" spans="1:18">
      <c r="A29" s="160">
        <f t="shared" si="1"/>
        <v>16</v>
      </c>
      <c r="B29" s="122">
        <v>8711</v>
      </c>
      <c r="C29" s="4" t="s">
        <v>299</v>
      </c>
      <c r="D29" s="89">
        <f>0</f>
        <v>0</v>
      </c>
      <c r="E29" s="89">
        <f>0</f>
        <v>0</v>
      </c>
      <c r="F29" s="89">
        <f>0</f>
        <v>0</v>
      </c>
      <c r="G29" s="89">
        <f>0</f>
        <v>0</v>
      </c>
      <c r="H29" s="89">
        <f>0</f>
        <v>0</v>
      </c>
      <c r="I29" s="89">
        <f>0</f>
        <v>0</v>
      </c>
      <c r="J29" s="85">
        <v>0</v>
      </c>
      <c r="K29" s="85">
        <v>0</v>
      </c>
      <c r="L29" s="85">
        <v>0</v>
      </c>
      <c r="M29" s="85">
        <v>0</v>
      </c>
      <c r="N29" s="85">
        <v>0</v>
      </c>
      <c r="O29" s="85">
        <v>0</v>
      </c>
      <c r="P29">
        <f t="shared" si="2"/>
        <v>0</v>
      </c>
      <c r="Q29" s="4"/>
      <c r="R29" s="172"/>
    </row>
    <row r="30" spans="1:18">
      <c r="A30" s="160">
        <f t="shared" si="1"/>
        <v>17</v>
      </c>
      <c r="B30" s="122">
        <v>8740</v>
      </c>
      <c r="C30" s="4" t="s">
        <v>301</v>
      </c>
      <c r="D30" s="89">
        <v>7499.6599999999989</v>
      </c>
      <c r="E30" s="89">
        <v>14106.130000000001</v>
      </c>
      <c r="F30" s="89">
        <v>8495.9200000000019</v>
      </c>
      <c r="G30" s="89">
        <v>15885.039999999997</v>
      </c>
      <c r="H30" s="89">
        <v>10443.089999999998</v>
      </c>
      <c r="I30" s="89">
        <v>5713.2799999999988</v>
      </c>
      <c r="J30" s="85">
        <v>4729.4956909398716</v>
      </c>
      <c r="K30" s="85">
        <v>6902.0479677439189</v>
      </c>
      <c r="L30" s="85">
        <v>6824.343338875542</v>
      </c>
      <c r="M30" s="85">
        <v>7093.1690755857653</v>
      </c>
      <c r="N30" s="85">
        <v>5694.8036200340321</v>
      </c>
      <c r="O30" s="85">
        <v>9046.0009470493969</v>
      </c>
      <c r="P30">
        <f t="shared" si="2"/>
        <v>102432.98064022852</v>
      </c>
      <c r="Q30" s="4"/>
      <c r="R30" s="172"/>
    </row>
    <row r="31" spans="1:18">
      <c r="A31" s="160">
        <f t="shared" si="1"/>
        <v>18</v>
      </c>
      <c r="B31" s="122">
        <v>8750</v>
      </c>
      <c r="C31" s="4" t="s">
        <v>302</v>
      </c>
      <c r="D31" s="89">
        <v>40385.42</v>
      </c>
      <c r="E31" s="89">
        <v>33529.85</v>
      </c>
      <c r="F31" s="89">
        <v>33354.81</v>
      </c>
      <c r="G31" s="89">
        <v>39895.360000000001</v>
      </c>
      <c r="H31" s="89">
        <v>47737.26</v>
      </c>
      <c r="I31" s="89">
        <v>42150.710000000006</v>
      </c>
      <c r="J31" s="85">
        <v>26946.090837597414</v>
      </c>
      <c r="K31" s="85">
        <v>25608.292416956025</v>
      </c>
      <c r="L31" s="85">
        <v>28609.550372804424</v>
      </c>
      <c r="M31" s="85">
        <v>28043.547717282891</v>
      </c>
      <c r="N31" s="85">
        <v>26476.238883800383</v>
      </c>
      <c r="O31" s="85">
        <v>29672.216532054452</v>
      </c>
      <c r="P31">
        <f t="shared" si="2"/>
        <v>402409.34676049568</v>
      </c>
      <c r="Q31" s="4"/>
      <c r="R31" s="172"/>
    </row>
    <row r="32" spans="1:18">
      <c r="A32" s="160">
        <f t="shared" si="1"/>
        <v>19</v>
      </c>
      <c r="B32" s="122">
        <v>8760</v>
      </c>
      <c r="C32" t="s">
        <v>303</v>
      </c>
      <c r="D32" s="89">
        <v>14954.65</v>
      </c>
      <c r="E32" s="89">
        <v>3501.5099999999998</v>
      </c>
      <c r="F32" s="89">
        <v>6920.9599999999991</v>
      </c>
      <c r="G32" s="89">
        <v>10664.21</v>
      </c>
      <c r="H32" s="89">
        <v>17114.39</v>
      </c>
      <c r="I32" s="89">
        <v>17495.79</v>
      </c>
      <c r="J32" s="85">
        <v>7731.2460865126932</v>
      </c>
      <c r="K32" s="85">
        <v>7381.9161925183762</v>
      </c>
      <c r="L32" s="85">
        <v>7731.2460865126932</v>
      </c>
      <c r="M32" s="85">
        <v>7731.2460865126932</v>
      </c>
      <c r="N32" s="85">
        <v>7731.2460865126932</v>
      </c>
      <c r="O32" s="85">
        <v>7742.1729297120237</v>
      </c>
      <c r="P32">
        <f t="shared" si="2"/>
        <v>116700.58346828117</v>
      </c>
      <c r="Q32" s="4"/>
      <c r="R32" s="172"/>
    </row>
    <row r="33" spans="1:18">
      <c r="A33" s="160">
        <f t="shared" si="1"/>
        <v>20</v>
      </c>
      <c r="B33" s="122">
        <v>8770</v>
      </c>
      <c r="C33" s="4" t="s">
        <v>304</v>
      </c>
      <c r="D33" s="89">
        <v>0</v>
      </c>
      <c r="E33" s="89">
        <v>0</v>
      </c>
      <c r="F33" s="89">
        <v>0</v>
      </c>
      <c r="G33" s="89">
        <v>0</v>
      </c>
      <c r="H33" s="89">
        <v>-594.27</v>
      </c>
      <c r="I33" s="89">
        <v>0</v>
      </c>
      <c r="J33" s="85">
        <v>-348.59733882030184</v>
      </c>
      <c r="K33" s="85">
        <v>-269.80818106995889</v>
      </c>
      <c r="L33" s="85">
        <v>-768.80970256058538</v>
      </c>
      <c r="M33" s="85">
        <v>-560.85143301326025</v>
      </c>
      <c r="N33" s="85">
        <v>-267.42854481024239</v>
      </c>
      <c r="O33" s="85">
        <v>-1065.9517473708277</v>
      </c>
      <c r="P33">
        <f t="shared" si="2"/>
        <v>-3875.7169476451763</v>
      </c>
      <c r="Q33" s="4"/>
      <c r="R33" s="172"/>
    </row>
    <row r="34" spans="1:18">
      <c r="A34" s="160">
        <f t="shared" si="1"/>
        <v>21</v>
      </c>
      <c r="B34" s="122">
        <v>8780</v>
      </c>
      <c r="C34" s="4" t="s">
        <v>305</v>
      </c>
      <c r="D34" s="89">
        <v>-32.22</v>
      </c>
      <c r="E34" s="89">
        <v>703.87</v>
      </c>
      <c r="F34" s="89">
        <v>-31.360000000000014</v>
      </c>
      <c r="G34" s="89">
        <v>-25.69</v>
      </c>
      <c r="H34" s="89">
        <v>0</v>
      </c>
      <c r="I34" s="89">
        <v>86.52</v>
      </c>
      <c r="J34" s="85">
        <v>76.722086423570829</v>
      </c>
      <c r="K34" s="85">
        <v>73.25546305943756</v>
      </c>
      <c r="L34" s="85">
        <v>76.722086423570829</v>
      </c>
      <c r="M34" s="85">
        <v>76.722086423570829</v>
      </c>
      <c r="N34" s="85">
        <v>76.722086423570829</v>
      </c>
      <c r="O34" s="85">
        <v>76.830520458510989</v>
      </c>
      <c r="P34">
        <f t="shared" ref="P34" si="3">SUM(D34:O34)</f>
        <v>1158.0943292122317</v>
      </c>
      <c r="Q34" s="4"/>
      <c r="R34" s="172"/>
    </row>
    <row r="35" spans="1:18">
      <c r="A35" s="160">
        <f t="shared" si="1"/>
        <v>22</v>
      </c>
      <c r="B35" s="122">
        <v>8800</v>
      </c>
      <c r="C35" s="4" t="s">
        <v>307</v>
      </c>
      <c r="D35" s="89">
        <v>62949.62</v>
      </c>
      <c r="E35" s="89">
        <v>73531.02</v>
      </c>
      <c r="F35" s="89">
        <v>65229.94</v>
      </c>
      <c r="G35" s="89">
        <v>63613.43</v>
      </c>
      <c r="H35" s="89">
        <v>54706.84</v>
      </c>
      <c r="I35" s="89">
        <v>75256.34</v>
      </c>
      <c r="J35" s="85">
        <v>131929.79735325681</v>
      </c>
      <c r="K35" s="85">
        <v>119963.70068846201</v>
      </c>
      <c r="L35" s="85">
        <v>113657.60018490374</v>
      </c>
      <c r="M35" s="85">
        <v>113013.40400661723</v>
      </c>
      <c r="N35" s="85">
        <v>111792.94228969763</v>
      </c>
      <c r="O35" s="85">
        <v>141655.22858337953</v>
      </c>
      <c r="P35">
        <f t="shared" si="2"/>
        <v>1127299.8631063169</v>
      </c>
      <c r="Q35" s="4"/>
      <c r="R35" s="172"/>
    </row>
    <row r="36" spans="1:18">
      <c r="A36" s="160">
        <f t="shared" si="1"/>
        <v>23</v>
      </c>
      <c r="B36" s="122">
        <v>8810</v>
      </c>
      <c r="C36" s="4" t="s">
        <v>308</v>
      </c>
      <c r="D36" s="89">
        <v>27085.839999999986</v>
      </c>
      <c r="E36" s="89">
        <v>26509.170000000006</v>
      </c>
      <c r="F36" s="89">
        <v>26412.429999999993</v>
      </c>
      <c r="G36" s="89">
        <v>29001.720000000027</v>
      </c>
      <c r="H36" s="89">
        <v>27550.120000000014</v>
      </c>
      <c r="I36" s="89">
        <v>27016.200000000012</v>
      </c>
      <c r="J36" s="85">
        <v>38554.645345558391</v>
      </c>
      <c r="K36" s="85">
        <v>37953.715925397577</v>
      </c>
      <c r="L36" s="85">
        <v>37796.861590941022</v>
      </c>
      <c r="M36" s="85">
        <v>37174.944811939502</v>
      </c>
      <c r="N36" s="85">
        <v>36963.131214123467</v>
      </c>
      <c r="O36" s="85">
        <v>37574.710972986977</v>
      </c>
      <c r="P36">
        <f t="shared" si="2"/>
        <v>389593.48986094695</v>
      </c>
      <c r="Q36" s="4"/>
      <c r="R36" s="172"/>
    </row>
    <row r="37" spans="1:18">
      <c r="A37" s="160">
        <f t="shared" si="1"/>
        <v>24</v>
      </c>
      <c r="B37" s="122">
        <v>8870</v>
      </c>
      <c r="C37" s="4" t="s">
        <v>311</v>
      </c>
      <c r="D37" s="89">
        <v>-73</v>
      </c>
      <c r="E37" s="89">
        <v>0</v>
      </c>
      <c r="F37" s="89">
        <v>0</v>
      </c>
      <c r="G37" s="89">
        <v>0</v>
      </c>
      <c r="H37" s="89">
        <v>0</v>
      </c>
      <c r="I37" s="89">
        <v>0</v>
      </c>
      <c r="J37" s="85">
        <v>-7.988236405922911</v>
      </c>
      <c r="K37" s="85">
        <v>-7.6272946190936528</v>
      </c>
      <c r="L37" s="85">
        <v>-7.988236405922911</v>
      </c>
      <c r="M37" s="85">
        <v>-7.988236405922911</v>
      </c>
      <c r="N37" s="85">
        <v>-7.988236405922911</v>
      </c>
      <c r="O37" s="85">
        <v>-7.9995264626188129</v>
      </c>
      <c r="P37">
        <f t="shared" si="2"/>
        <v>-120.57976670540408</v>
      </c>
      <c r="Q37" s="4"/>
      <c r="R37" s="172"/>
    </row>
    <row r="38" spans="1:18">
      <c r="A38" s="160">
        <f t="shared" si="1"/>
        <v>25</v>
      </c>
      <c r="B38" s="122">
        <v>8890</v>
      </c>
      <c r="C38" s="4" t="s">
        <v>312</v>
      </c>
      <c r="D38" s="89">
        <v>5895.3899999999994</v>
      </c>
      <c r="E38" s="89">
        <v>9768.17</v>
      </c>
      <c r="F38" s="89">
        <v>4719.97</v>
      </c>
      <c r="G38" s="89">
        <v>5505.8</v>
      </c>
      <c r="H38" s="89">
        <v>12013.62</v>
      </c>
      <c r="I38" s="89">
        <v>16059.380000000001</v>
      </c>
      <c r="J38" s="85">
        <v>5904.9842336222755</v>
      </c>
      <c r="K38" s="85">
        <v>5638.1724553802196</v>
      </c>
      <c r="L38" s="85">
        <v>5904.9842336222755</v>
      </c>
      <c r="M38" s="85">
        <v>5904.9842336222755</v>
      </c>
      <c r="N38" s="85">
        <v>5904.9842336222755</v>
      </c>
      <c r="O38" s="85">
        <v>5913.3299564324534</v>
      </c>
      <c r="P38">
        <f t="shared" si="2"/>
        <v>89133.769346301793</v>
      </c>
      <c r="Q38" s="4"/>
      <c r="R38" s="172"/>
    </row>
    <row r="39" spans="1:18">
      <c r="A39" s="160">
        <f t="shared" si="1"/>
        <v>26</v>
      </c>
      <c r="B39" s="122">
        <v>8900</v>
      </c>
      <c r="C39" s="4" t="s">
        <v>313</v>
      </c>
      <c r="D39" s="89">
        <v>-147</v>
      </c>
      <c r="E39" s="89">
        <v>0</v>
      </c>
      <c r="F39" s="89">
        <v>0</v>
      </c>
      <c r="G39" s="89">
        <v>0</v>
      </c>
      <c r="H39" s="89">
        <v>0</v>
      </c>
      <c r="I39" s="89">
        <v>0</v>
      </c>
      <c r="J39" s="85">
        <v>-16.08590070781737</v>
      </c>
      <c r="K39" s="85">
        <v>-15.359072726120099</v>
      </c>
      <c r="L39" s="85">
        <v>-16.08590070781737</v>
      </c>
      <c r="M39" s="85">
        <v>-16.08590070781737</v>
      </c>
      <c r="N39" s="85">
        <v>-16.08590070781737</v>
      </c>
      <c r="O39" s="85">
        <v>-16.108635479520078</v>
      </c>
      <c r="P39">
        <f t="shared" si="2"/>
        <v>-242.81131103690961</v>
      </c>
      <c r="Q39" s="4"/>
      <c r="R39" s="172"/>
    </row>
    <row r="40" spans="1:18">
      <c r="A40" s="160">
        <f t="shared" si="1"/>
        <v>27</v>
      </c>
      <c r="B40" s="122">
        <v>8910</v>
      </c>
      <c r="C40" s="4" t="s">
        <v>314</v>
      </c>
      <c r="D40" s="89">
        <v>952.80000000000007</v>
      </c>
      <c r="E40" s="89">
        <v>708.08999999999992</v>
      </c>
      <c r="F40" s="89">
        <v>-373.89</v>
      </c>
      <c r="G40" s="89">
        <v>347.63</v>
      </c>
      <c r="H40" s="89">
        <v>1784.47</v>
      </c>
      <c r="I40" s="89">
        <v>-370.8</v>
      </c>
      <c r="J40" s="85">
        <v>333.56905529006588</v>
      </c>
      <c r="K40" s="85">
        <v>318.49701626552309</v>
      </c>
      <c r="L40" s="85">
        <v>333.56905529006588</v>
      </c>
      <c r="M40" s="85">
        <v>333.56905529006588</v>
      </c>
      <c r="N40" s="85">
        <v>333.56905529006588</v>
      </c>
      <c r="O40" s="85">
        <v>334.04050021919079</v>
      </c>
      <c r="P40">
        <f t="shared" si="2"/>
        <v>5035.1137376449778</v>
      </c>
      <c r="Q40" s="4"/>
      <c r="R40" s="172"/>
    </row>
    <row r="41" spans="1:18">
      <c r="A41" s="160">
        <f t="shared" si="1"/>
        <v>28</v>
      </c>
      <c r="B41" s="122">
        <v>9010</v>
      </c>
      <c r="C41" t="s">
        <v>318</v>
      </c>
      <c r="D41" s="89">
        <v>11142.44</v>
      </c>
      <c r="E41" s="89">
        <v>10759.199999999999</v>
      </c>
      <c r="F41" s="89">
        <v>11714.829999999998</v>
      </c>
      <c r="G41" s="89">
        <v>10696.17</v>
      </c>
      <c r="H41" s="89">
        <v>10190.27</v>
      </c>
      <c r="I41" s="89">
        <v>10278.519999999999</v>
      </c>
      <c r="J41" s="85">
        <v>7093.3621090385723</v>
      </c>
      <c r="K41" s="85">
        <v>6774.0912593608537</v>
      </c>
      <c r="L41" s="85">
        <v>7094.7120255324462</v>
      </c>
      <c r="M41" s="85">
        <v>7093.2038242518083</v>
      </c>
      <c r="N41" s="85">
        <v>7100.1400029373071</v>
      </c>
      <c r="O41" s="85">
        <v>7103.0424465872338</v>
      </c>
      <c r="P41">
        <f t="shared" si="2"/>
        <v>107039.98166770821</v>
      </c>
      <c r="Q41" s="4"/>
      <c r="R41" s="172"/>
    </row>
    <row r="42" spans="1:18">
      <c r="A42" s="160">
        <f t="shared" si="1"/>
        <v>29</v>
      </c>
      <c r="B42" s="122">
        <v>9020</v>
      </c>
      <c r="C42" t="s">
        <v>319</v>
      </c>
      <c r="D42" s="89">
        <v>46.349999999999994</v>
      </c>
      <c r="E42" s="89">
        <v>32.449999999999996</v>
      </c>
      <c r="F42" s="89">
        <v>18.019999999999996</v>
      </c>
      <c r="G42" s="89">
        <v>-4.12</v>
      </c>
      <c r="H42" s="89">
        <v>193.13</v>
      </c>
      <c r="I42" s="89">
        <v>-38.630000000000003</v>
      </c>
      <c r="J42" s="85">
        <v>27.050575884166349</v>
      </c>
      <c r="K42" s="85">
        <v>25.828318216985632</v>
      </c>
      <c r="L42" s="85">
        <v>27.050575884166349</v>
      </c>
      <c r="M42" s="85">
        <v>27.050575884166349</v>
      </c>
      <c r="N42" s="85">
        <v>27.050575884166349</v>
      </c>
      <c r="O42" s="85">
        <v>27.088807418621514</v>
      </c>
      <c r="P42">
        <f t="shared" si="2"/>
        <v>408.31942917227246</v>
      </c>
      <c r="Q42" s="4"/>
      <c r="R42" s="172"/>
    </row>
    <row r="43" spans="1:18">
      <c r="A43" s="160">
        <f t="shared" si="1"/>
        <v>30</v>
      </c>
      <c r="B43" s="122">
        <v>9030</v>
      </c>
      <c r="C43" s="4" t="s">
        <v>320</v>
      </c>
      <c r="D43" s="89">
        <v>178386.68</v>
      </c>
      <c r="E43" s="89">
        <v>137704.55000000002</v>
      </c>
      <c r="F43" s="89">
        <v>172860.59000000003</v>
      </c>
      <c r="G43" s="89">
        <v>176651.31999999998</v>
      </c>
      <c r="H43" s="89">
        <v>198238.99</v>
      </c>
      <c r="I43" s="89">
        <v>186086.76</v>
      </c>
      <c r="J43" s="85">
        <v>258521.12144462971</v>
      </c>
      <c r="K43" s="85">
        <v>237577.27647655143</v>
      </c>
      <c r="L43" s="85">
        <v>229755.61778642883</v>
      </c>
      <c r="M43" s="85">
        <v>228256.79780761179</v>
      </c>
      <c r="N43" s="85">
        <v>228296.10088012979</v>
      </c>
      <c r="O43" s="85">
        <v>274215.23985273071</v>
      </c>
      <c r="P43">
        <f t="shared" si="2"/>
        <v>2506551.0442480827</v>
      </c>
      <c r="Q43" s="4"/>
      <c r="R43" s="172"/>
    </row>
    <row r="44" spans="1:18">
      <c r="A44" s="160">
        <f t="shared" si="1"/>
        <v>31</v>
      </c>
      <c r="B44" s="122">
        <v>9040</v>
      </c>
      <c r="C44" s="4" t="s">
        <v>321</v>
      </c>
      <c r="D44" s="89">
        <f>0</f>
        <v>0</v>
      </c>
      <c r="E44" s="89">
        <f>0</f>
        <v>0</v>
      </c>
      <c r="F44" s="89">
        <f>0</f>
        <v>0</v>
      </c>
      <c r="G44" s="89">
        <f>0</f>
        <v>0</v>
      </c>
      <c r="H44" s="89">
        <f>0</f>
        <v>0</v>
      </c>
      <c r="I44" s="89">
        <f>0</f>
        <v>0</v>
      </c>
      <c r="J44" s="85">
        <v>34584</v>
      </c>
      <c r="K44" s="85">
        <v>29522</v>
      </c>
      <c r="L44" s="85">
        <v>27679</v>
      </c>
      <c r="M44" s="85">
        <v>27994</v>
      </c>
      <c r="N44" s="85">
        <v>28469</v>
      </c>
      <c r="O44" s="85">
        <v>30223</v>
      </c>
      <c r="P44">
        <f t="shared" si="2"/>
        <v>178471</v>
      </c>
      <c r="Q44" s="4"/>
      <c r="R44" s="172"/>
    </row>
    <row r="45" spans="1:18">
      <c r="A45" s="160">
        <f t="shared" si="1"/>
        <v>32</v>
      </c>
      <c r="B45" s="122">
        <v>9090</v>
      </c>
      <c r="C45" s="4" t="s">
        <v>322</v>
      </c>
      <c r="D45" s="89">
        <v>36687.96</v>
      </c>
      <c r="E45" s="89">
        <v>-14057.98</v>
      </c>
      <c r="F45" s="89">
        <v>22866.559999999998</v>
      </c>
      <c r="G45" s="89">
        <v>13091.859999999999</v>
      </c>
      <c r="H45" s="89">
        <v>13695.55</v>
      </c>
      <c r="I45" s="89">
        <v>15666.96</v>
      </c>
      <c r="J45" s="85">
        <v>16376.870615001135</v>
      </c>
      <c r="K45" s="85">
        <v>17366.25855018212</v>
      </c>
      <c r="L45" s="85">
        <v>18012.793989560563</v>
      </c>
      <c r="M45" s="85">
        <v>16162.313437126752</v>
      </c>
      <c r="N45" s="85">
        <v>25629.077936648489</v>
      </c>
      <c r="O45" s="85">
        <v>16044.357190870076</v>
      </c>
      <c r="P45">
        <f t="shared" ref="P45" si="4">SUM(D45:O45)</f>
        <v>197542.5817193891</v>
      </c>
      <c r="Q45" s="4"/>
      <c r="R45" s="172"/>
    </row>
    <row r="46" spans="1:18">
      <c r="A46" s="160">
        <f t="shared" si="1"/>
        <v>33</v>
      </c>
      <c r="B46" s="122">
        <v>9100</v>
      </c>
      <c r="C46" s="4" t="s">
        <v>323</v>
      </c>
      <c r="D46" s="89">
        <v>60.36</v>
      </c>
      <c r="E46" s="89">
        <v>25.3</v>
      </c>
      <c r="F46" s="89">
        <v>2.4700000000000002</v>
      </c>
      <c r="G46" s="89">
        <v>53.07</v>
      </c>
      <c r="H46" s="89">
        <v>27.77</v>
      </c>
      <c r="I46" s="89">
        <v>30.24</v>
      </c>
      <c r="J46" s="85">
        <v>129.02696619298069</v>
      </c>
      <c r="K46" s="85">
        <v>38.257488121778209</v>
      </c>
      <c r="L46" s="85">
        <v>17.385083530633022</v>
      </c>
      <c r="M46" s="85">
        <v>45.996623483081038</v>
      </c>
      <c r="N46" s="85">
        <v>65.885041940601383</v>
      </c>
      <c r="O46" s="85">
        <v>16.416459725628012</v>
      </c>
      <c r="P46">
        <f t="shared" si="2"/>
        <v>512.17766299470236</v>
      </c>
      <c r="Q46" s="4"/>
      <c r="R46" s="172"/>
    </row>
    <row r="47" spans="1:18">
      <c r="A47" s="160">
        <f t="shared" si="1"/>
        <v>34</v>
      </c>
      <c r="B47" s="122">
        <v>9110</v>
      </c>
      <c r="C47" s="4" t="s">
        <v>324</v>
      </c>
      <c r="D47" s="89">
        <v>10915.16</v>
      </c>
      <c r="E47" s="89">
        <v>14058</v>
      </c>
      <c r="F47" s="89">
        <v>11574.8</v>
      </c>
      <c r="G47" s="89">
        <v>10256.56</v>
      </c>
      <c r="H47" s="89">
        <v>11003.880000000001</v>
      </c>
      <c r="I47" s="89">
        <v>12875.32</v>
      </c>
      <c r="J47" s="85">
        <v>13423.578331425388</v>
      </c>
      <c r="K47" s="85">
        <v>11063.929708844513</v>
      </c>
      <c r="L47" s="85">
        <v>11759.546718464173</v>
      </c>
      <c r="M47" s="85">
        <v>11663.550948535498</v>
      </c>
      <c r="N47" s="85">
        <v>14428.360526127435</v>
      </c>
      <c r="O47" s="85">
        <v>11587.751799166768</v>
      </c>
      <c r="P47">
        <f t="shared" si="2"/>
        <v>144610.43803256378</v>
      </c>
      <c r="Q47" s="4"/>
      <c r="R47" s="172"/>
    </row>
    <row r="48" spans="1:18">
      <c r="A48" s="160">
        <f t="shared" si="1"/>
        <v>35</v>
      </c>
      <c r="B48" s="122">
        <v>9120</v>
      </c>
      <c r="C48" s="4" t="s">
        <v>325</v>
      </c>
      <c r="D48" s="89">
        <v>0</v>
      </c>
      <c r="E48" s="89">
        <v>0</v>
      </c>
      <c r="F48" s="89">
        <v>0</v>
      </c>
      <c r="G48" s="89">
        <v>0</v>
      </c>
      <c r="H48" s="89">
        <v>0</v>
      </c>
      <c r="I48" s="89">
        <v>0</v>
      </c>
      <c r="J48" s="85">
        <v>0</v>
      </c>
      <c r="K48" s="85">
        <v>0</v>
      </c>
      <c r="L48" s="85">
        <v>0</v>
      </c>
      <c r="M48" s="85">
        <v>0</v>
      </c>
      <c r="N48" s="85">
        <v>0</v>
      </c>
      <c r="O48" s="85">
        <v>0</v>
      </c>
      <c r="P48">
        <f t="shared" si="2"/>
        <v>0</v>
      </c>
      <c r="Q48" s="4"/>
      <c r="R48" s="172"/>
    </row>
    <row r="49" spans="1:18">
      <c r="A49" s="160">
        <f t="shared" si="1"/>
        <v>36</v>
      </c>
      <c r="B49" s="122">
        <v>9130</v>
      </c>
      <c r="C49" s="4" t="s">
        <v>326</v>
      </c>
      <c r="D49" s="89">
        <v>0</v>
      </c>
      <c r="E49" s="89">
        <v>0</v>
      </c>
      <c r="F49" s="89">
        <v>0</v>
      </c>
      <c r="G49" s="89">
        <v>0</v>
      </c>
      <c r="H49" s="89">
        <v>381.56</v>
      </c>
      <c r="I49" s="89">
        <v>0</v>
      </c>
      <c r="J49" s="85">
        <v>247.13382471057531</v>
      </c>
      <c r="K49" s="85">
        <v>73.277080305936906</v>
      </c>
      <c r="L49" s="85">
        <v>33.298792590474051</v>
      </c>
      <c r="M49" s="85">
        <v>88.100354682015961</v>
      </c>
      <c r="N49" s="85">
        <v>126.19394911327676</v>
      </c>
      <c r="O49" s="85">
        <v>31.443523783497938</v>
      </c>
      <c r="P49">
        <f t="shared" si="2"/>
        <v>981.00752518577679</v>
      </c>
      <c r="Q49" s="4"/>
      <c r="R49" s="172"/>
    </row>
    <row r="50" spans="1:18">
      <c r="A50" s="160">
        <f t="shared" si="1"/>
        <v>37</v>
      </c>
      <c r="B50" s="122">
        <v>9200</v>
      </c>
      <c r="C50" s="4" t="s">
        <v>327</v>
      </c>
      <c r="D50" s="89">
        <v>-23430.54</v>
      </c>
      <c r="E50" s="89">
        <v>-6224.37</v>
      </c>
      <c r="F50" s="89">
        <v>-6352.92</v>
      </c>
      <c r="G50" s="89">
        <v>-6289.33</v>
      </c>
      <c r="H50" s="89">
        <v>-37620.61</v>
      </c>
      <c r="I50" s="89">
        <v>-26547.97</v>
      </c>
      <c r="J50" s="85">
        <v>722.48917817524341</v>
      </c>
      <c r="K50" s="85">
        <v>634.05721022233718</v>
      </c>
      <c r="L50" s="85">
        <v>634.05721022233718</v>
      </c>
      <c r="M50" s="85">
        <v>722.48917817524341</v>
      </c>
      <c r="N50" s="85">
        <v>4171.3359283385835</v>
      </c>
      <c r="O50" s="85">
        <v>630.51993150422095</v>
      </c>
      <c r="P50">
        <f t="shared" si="2"/>
        <v>-98950.791363362048</v>
      </c>
      <c r="Q50" s="4"/>
      <c r="R50" s="172"/>
    </row>
    <row r="51" spans="1:18">
      <c r="A51" s="160">
        <f t="shared" si="1"/>
        <v>38</v>
      </c>
      <c r="B51" s="122">
        <v>9210</v>
      </c>
      <c r="C51" s="4" t="s">
        <v>328</v>
      </c>
      <c r="D51" s="89">
        <v>0</v>
      </c>
      <c r="E51" s="89">
        <v>0</v>
      </c>
      <c r="F51" s="89">
        <v>0</v>
      </c>
      <c r="G51" s="89">
        <v>-70000</v>
      </c>
      <c r="H51" s="89">
        <v>20.420000000000002</v>
      </c>
      <c r="I51" s="89">
        <v>0</v>
      </c>
      <c r="J51" s="85">
        <v>-23355.209229556684</v>
      </c>
      <c r="K51" s="85">
        <v>-21238.322788437697</v>
      </c>
      <c r="L51" s="85">
        <v>-20121.863699611444</v>
      </c>
      <c r="M51" s="85">
        <v>-20005.453417163812</v>
      </c>
      <c r="N51" s="85">
        <v>-19639.345451173482</v>
      </c>
      <c r="O51" s="85">
        <v>-25079.828733861097</v>
      </c>
      <c r="P51">
        <f t="shared" si="2"/>
        <v>-199419.60331980421</v>
      </c>
      <c r="Q51" s="4"/>
      <c r="R51" s="4"/>
    </row>
    <row r="52" spans="1:18">
      <c r="A52" s="160">
        <f t="shared" si="1"/>
        <v>39</v>
      </c>
      <c r="B52" s="122">
        <v>9220</v>
      </c>
      <c r="C52" s="4" t="s">
        <v>329</v>
      </c>
      <c r="D52" s="89">
        <v>-712627.73999999976</v>
      </c>
      <c r="E52" s="89">
        <v>-559667.31000000006</v>
      </c>
      <c r="F52" s="89">
        <v>-721663.96</v>
      </c>
      <c r="G52" s="89">
        <v>-853891.54999999993</v>
      </c>
      <c r="H52" s="89">
        <v>-727663.9</v>
      </c>
      <c r="I52" s="89">
        <v>-806851.44000000076</v>
      </c>
      <c r="J52" s="85">
        <f t="shared" ref="J52:O52" si="5">-(SUM(J14:J51,J53:J59))</f>
        <v>-1042061</v>
      </c>
      <c r="K52" s="85">
        <f t="shared" si="5"/>
        <v>-1045619.6599999999</v>
      </c>
      <c r="L52" s="85">
        <f t="shared" si="5"/>
        <v>-936142.69</v>
      </c>
      <c r="M52" s="85">
        <f t="shared" si="5"/>
        <v>-1076013.46</v>
      </c>
      <c r="N52" s="85">
        <f t="shared" si="5"/>
        <v>-959906.65</v>
      </c>
      <c r="O52" s="85">
        <f t="shared" si="5"/>
        <v>-940048.1399999999</v>
      </c>
      <c r="P52">
        <f t="shared" si="2"/>
        <v>-10382157.500000002</v>
      </c>
      <c r="Q52" s="69"/>
      <c r="R52" s="4"/>
    </row>
    <row r="53" spans="1:18">
      <c r="A53" s="160">
        <f t="shared" si="1"/>
        <v>40</v>
      </c>
      <c r="B53" s="122">
        <v>9230</v>
      </c>
      <c r="C53" s="4" t="s">
        <v>330</v>
      </c>
      <c r="D53" s="89">
        <v>20248.73</v>
      </c>
      <c r="E53" s="89">
        <v>16646.03</v>
      </c>
      <c r="F53" s="89">
        <v>20939.349999999999</v>
      </c>
      <c r="G53" s="89">
        <v>4528.18</v>
      </c>
      <c r="H53" s="89">
        <v>1752.05</v>
      </c>
      <c r="I53" s="89">
        <v>-12642.050000000001</v>
      </c>
      <c r="J53" s="85">
        <v>17179.228067087293</v>
      </c>
      <c r="K53" s="85">
        <v>15621.063741806853</v>
      </c>
      <c r="L53" s="85">
        <v>14799.915366398338</v>
      </c>
      <c r="M53" s="85">
        <v>14716.031412289794</v>
      </c>
      <c r="N53" s="85">
        <v>14557.109086911167</v>
      </c>
      <c r="O53" s="85">
        <v>18445.624321041116</v>
      </c>
      <c r="P53">
        <f t="shared" si="2"/>
        <v>146791.26199553453</v>
      </c>
      <c r="Q53" s="4"/>
      <c r="R53" s="4"/>
    </row>
    <row r="54" spans="1:18">
      <c r="A54" s="160">
        <f t="shared" si="1"/>
        <v>41</v>
      </c>
      <c r="B54" s="122">
        <v>9240</v>
      </c>
      <c r="C54" s="4" t="s">
        <v>331</v>
      </c>
      <c r="D54" s="89">
        <v>42.389999999999986</v>
      </c>
      <c r="E54" s="89">
        <v>34.639999999999986</v>
      </c>
      <c r="F54" s="89">
        <v>42.480000000000018</v>
      </c>
      <c r="G54" s="89">
        <v>-44.129999999999995</v>
      </c>
      <c r="H54" s="89">
        <v>51.660000000000025</v>
      </c>
      <c r="I54" s="89">
        <v>16.599999999999966</v>
      </c>
      <c r="J54" s="85">
        <v>3213.2073019931631</v>
      </c>
      <c r="K54" s="85">
        <v>3265.4896569069097</v>
      </c>
      <c r="L54" s="85">
        <v>3355.6039653763</v>
      </c>
      <c r="M54" s="85">
        <v>4325.7878565589926</v>
      </c>
      <c r="N54" s="85">
        <v>3765.232703875241</v>
      </c>
      <c r="O54" s="85">
        <v>3755.3984029509666</v>
      </c>
      <c r="P54">
        <f t="shared" si="2"/>
        <v>21824.359887661572</v>
      </c>
      <c r="Q54" s="4"/>
      <c r="R54" s="4"/>
    </row>
    <row r="55" spans="1:18">
      <c r="A55" s="160">
        <f t="shared" si="1"/>
        <v>42</v>
      </c>
      <c r="B55" s="122">
        <v>9250</v>
      </c>
      <c r="C55" s="4" t="s">
        <v>332</v>
      </c>
      <c r="D55" s="89">
        <v>5206.2899999999991</v>
      </c>
      <c r="E55" s="89">
        <v>12893.57</v>
      </c>
      <c r="F55" s="89">
        <v>-27443.61</v>
      </c>
      <c r="G55" s="89">
        <v>11921.480000000001</v>
      </c>
      <c r="H55" s="89">
        <v>9251.3599999999988</v>
      </c>
      <c r="I55" s="89">
        <v>2300.2699999999986</v>
      </c>
      <c r="J55" s="85">
        <v>28011.077205683534</v>
      </c>
      <c r="K55" s="85">
        <v>28309.497680325352</v>
      </c>
      <c r="L55" s="85">
        <v>29120.302519801618</v>
      </c>
      <c r="M55" s="85">
        <v>36691.197108234017</v>
      </c>
      <c r="N55" s="85">
        <v>32313.645669648362</v>
      </c>
      <c r="O55" s="85">
        <v>32228.693465106044</v>
      </c>
      <c r="P55">
        <f t="shared" si="2"/>
        <v>200803.77364879893</v>
      </c>
      <c r="Q55" s="4"/>
      <c r="R55" s="4"/>
    </row>
    <row r="56" spans="1:18">
      <c r="A56" s="160">
        <f t="shared" si="1"/>
        <v>43</v>
      </c>
      <c r="B56" s="199">
        <v>9260</v>
      </c>
      <c r="C56" s="4" t="s">
        <v>333</v>
      </c>
      <c r="D56" s="89">
        <v>173178.98000000004</v>
      </c>
      <c r="E56" s="89">
        <v>41923.419999999969</v>
      </c>
      <c r="F56" s="89">
        <v>202335.10000000003</v>
      </c>
      <c r="G56" s="89">
        <v>237507.75</v>
      </c>
      <c r="H56" s="89">
        <v>151157.51999999999</v>
      </c>
      <c r="I56" s="89">
        <v>275863.81</v>
      </c>
      <c r="J56" s="85">
        <v>170705.54558730475</v>
      </c>
      <c r="K56" s="85">
        <v>247612.19901966926</v>
      </c>
      <c r="L56" s="85">
        <v>167508.5245858909</v>
      </c>
      <c r="M56" s="85">
        <v>289469.95383382338</v>
      </c>
      <c r="N56" s="85">
        <v>104991.91034681172</v>
      </c>
      <c r="O56" s="85">
        <v>104083.6486260135</v>
      </c>
      <c r="P56">
        <f t="shared" si="2"/>
        <v>2166338.3619995136</v>
      </c>
      <c r="Q56" s="4"/>
      <c r="R56" s="4"/>
    </row>
    <row r="57" spans="1:18">
      <c r="A57" s="160">
        <f t="shared" si="1"/>
        <v>44</v>
      </c>
      <c r="B57" s="199">
        <v>9280</v>
      </c>
      <c r="C57" t="s">
        <v>335</v>
      </c>
      <c r="D57" s="89">
        <f>0</f>
        <v>0</v>
      </c>
      <c r="E57" s="89">
        <f>0</f>
        <v>0</v>
      </c>
      <c r="F57" s="89">
        <f>0</f>
        <v>0</v>
      </c>
      <c r="G57" s="89">
        <f>0</f>
        <v>0</v>
      </c>
      <c r="H57" s="89">
        <f>0</f>
        <v>0</v>
      </c>
      <c r="I57" s="89">
        <f>0</f>
        <v>0</v>
      </c>
      <c r="J57" s="85">
        <v>0</v>
      </c>
      <c r="K57" s="85">
        <v>0</v>
      </c>
      <c r="L57" s="85">
        <v>0</v>
      </c>
      <c r="M57" s="85">
        <v>0</v>
      </c>
      <c r="N57" s="85">
        <v>0</v>
      </c>
      <c r="O57" s="85">
        <v>0</v>
      </c>
      <c r="P57">
        <f t="shared" si="2"/>
        <v>0</v>
      </c>
      <c r="Q57" s="4"/>
      <c r="R57" s="4"/>
    </row>
    <row r="58" spans="1:18">
      <c r="A58" s="160">
        <f t="shared" si="1"/>
        <v>45</v>
      </c>
      <c r="B58" s="122">
        <v>9302</v>
      </c>
      <c r="C58" s="4" t="s">
        <v>336</v>
      </c>
      <c r="D58" s="89">
        <v>0</v>
      </c>
      <c r="E58" s="89">
        <v>0</v>
      </c>
      <c r="F58" s="89">
        <v>0</v>
      </c>
      <c r="G58" s="89">
        <v>0</v>
      </c>
      <c r="H58" s="89">
        <v>0</v>
      </c>
      <c r="I58" s="89">
        <v>0</v>
      </c>
      <c r="J58" s="85">
        <v>0</v>
      </c>
      <c r="K58" s="85">
        <v>0</v>
      </c>
      <c r="L58" s="85">
        <v>0</v>
      </c>
      <c r="M58" s="85">
        <v>0</v>
      </c>
      <c r="N58" s="85">
        <v>0</v>
      </c>
      <c r="O58" s="85">
        <v>0</v>
      </c>
      <c r="P58">
        <f t="shared" si="2"/>
        <v>0</v>
      </c>
      <c r="Q58" s="4"/>
      <c r="R58" s="4"/>
    </row>
    <row r="59" spans="1:18">
      <c r="A59" s="160">
        <f t="shared" si="1"/>
        <v>46</v>
      </c>
      <c r="B59" s="122">
        <v>9310</v>
      </c>
      <c r="C59" s="4" t="s">
        <v>212</v>
      </c>
      <c r="D59" s="89">
        <f>0</f>
        <v>0</v>
      </c>
      <c r="E59" s="89">
        <f>0</f>
        <v>0</v>
      </c>
      <c r="F59" s="89">
        <f>0</f>
        <v>0</v>
      </c>
      <c r="G59" s="89">
        <f>0</f>
        <v>0</v>
      </c>
      <c r="H59" s="89">
        <f>0</f>
        <v>0</v>
      </c>
      <c r="I59" s="89">
        <f>0</f>
        <v>0</v>
      </c>
      <c r="J59" s="85">
        <v>0</v>
      </c>
      <c r="K59" s="85">
        <v>0</v>
      </c>
      <c r="L59" s="85">
        <v>0</v>
      </c>
      <c r="M59" s="85">
        <v>0</v>
      </c>
      <c r="N59" s="85">
        <v>0</v>
      </c>
      <c r="O59" s="85">
        <v>0</v>
      </c>
      <c r="P59">
        <f t="shared" si="2"/>
        <v>0</v>
      </c>
      <c r="Q59" s="4"/>
      <c r="R59" s="4"/>
    </row>
    <row r="60" spans="1:18">
      <c r="A60" s="160">
        <f t="shared" si="1"/>
        <v>47</v>
      </c>
      <c r="B60" s="4"/>
      <c r="C60" s="189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4"/>
      <c r="P60" s="4"/>
      <c r="Q60" s="4"/>
      <c r="R60" s="4"/>
    </row>
    <row r="61" spans="1:18" ht="15.75" thickBot="1">
      <c r="A61" s="160">
        <f t="shared" si="1"/>
        <v>48</v>
      </c>
      <c r="B61" s="4" t="s">
        <v>338</v>
      </c>
      <c r="C61" s="189"/>
      <c r="D61" s="177">
        <f t="shared" ref="D61:P61" si="6">SUM(D14:D60)</f>
        <v>-9.9999997764825821E-3</v>
      </c>
      <c r="E61" s="177">
        <f t="shared" si="6"/>
        <v>-3.0000000035215635E-2</v>
      </c>
      <c r="F61" s="177">
        <f t="shared" si="6"/>
        <v>1.1641532182693481E-10</v>
      </c>
      <c r="G61" s="177">
        <f t="shared" si="6"/>
        <v>-9.9999999220017344E-3</v>
      </c>
      <c r="H61" s="177">
        <f t="shared" si="6"/>
        <v>1.0000000125728548E-2</v>
      </c>
      <c r="I61" s="177">
        <f t="shared" si="6"/>
        <v>-8.149072527885437E-10</v>
      </c>
      <c r="J61" s="177">
        <f t="shared" si="6"/>
        <v>2.9103830456733704E-11</v>
      </c>
      <c r="K61" s="177">
        <f t="shared" si="6"/>
        <v>-5.8207660913467407E-11</v>
      </c>
      <c r="L61" s="177">
        <f t="shared" si="6"/>
        <v>2.9103830456733704E-11</v>
      </c>
      <c r="M61" s="177">
        <f t="shared" si="6"/>
        <v>-1.7462298274040222E-10</v>
      </c>
      <c r="N61" s="177">
        <f t="shared" si="6"/>
        <v>-2.9103830456733704E-11</v>
      </c>
      <c r="O61" s="177">
        <f t="shared" si="6"/>
        <v>-1.3096723705530167E-10</v>
      </c>
      <c r="P61" s="177">
        <f t="shared" si="6"/>
        <v>-4.000000236555934E-2</v>
      </c>
      <c r="Q61" s="4"/>
      <c r="R61" s="4"/>
    </row>
    <row r="62" spans="1:18" ht="15.75" thickTop="1">
      <c r="A62" s="160">
        <f t="shared" si="1"/>
        <v>49</v>
      </c>
      <c r="B62" s="4"/>
      <c r="C62" s="18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>
      <c r="A63" s="160">
        <f t="shared" si="1"/>
        <v>50</v>
      </c>
      <c r="B63" s="190">
        <f>B52</f>
        <v>9220</v>
      </c>
      <c r="C63" s="31" t="str">
        <f>C52</f>
        <v>A&amp;G-Administrative expense transferred-Credit</v>
      </c>
      <c r="D63" s="191">
        <f t="shared" ref="D63:H63" si="7">-(D61-D52)</f>
        <v>-712627.73</v>
      </c>
      <c r="E63" s="191">
        <f t="shared" si="7"/>
        <v>-559667.28</v>
      </c>
      <c r="F63" s="191">
        <f t="shared" si="7"/>
        <v>-721663.96000000008</v>
      </c>
      <c r="G63" s="191">
        <f t="shared" si="7"/>
        <v>-853891.54</v>
      </c>
      <c r="H63" s="191">
        <f t="shared" si="7"/>
        <v>-727663.91000000015</v>
      </c>
      <c r="I63" s="191">
        <f>I52</f>
        <v>-806851.44000000076</v>
      </c>
      <c r="J63" s="191">
        <f t="shared" ref="J63:O63" si="8">J52</f>
        <v>-1042061</v>
      </c>
      <c r="K63" s="191">
        <f t="shared" si="8"/>
        <v>-1045619.6599999999</v>
      </c>
      <c r="L63" s="191">
        <f t="shared" si="8"/>
        <v>-936142.69</v>
      </c>
      <c r="M63" s="191">
        <f t="shared" si="8"/>
        <v>-1076013.46</v>
      </c>
      <c r="N63" s="191">
        <f t="shared" si="8"/>
        <v>-959906.65</v>
      </c>
      <c r="O63" s="191">
        <f t="shared" si="8"/>
        <v>-940048.1399999999</v>
      </c>
      <c r="P63">
        <f t="shared" ref="P63" si="9">SUM(D63:O63)</f>
        <v>-10382157.460000003</v>
      </c>
      <c r="Q63" s="191"/>
      <c r="R63" s="4"/>
    </row>
    <row r="64" spans="1:18">
      <c r="A64" s="160">
        <f t="shared" si="1"/>
        <v>51</v>
      </c>
      <c r="B64" s="4"/>
      <c r="C64" s="5" t="s">
        <v>351</v>
      </c>
      <c r="D64" s="192">
        <f>D65/D63</f>
        <v>0.504199997942825</v>
      </c>
      <c r="E64" s="192">
        <f t="shared" ref="E64:I64" si="10">E65/E63</f>
        <v>0.50420001326502417</v>
      </c>
      <c r="F64" s="192">
        <f t="shared" si="10"/>
        <v>0.50420000189561898</v>
      </c>
      <c r="G64" s="192">
        <f t="shared" si="10"/>
        <v>0.50420000647857455</v>
      </c>
      <c r="H64" s="192">
        <f t="shared" si="10"/>
        <v>0.50419999529727944</v>
      </c>
      <c r="I64" s="192">
        <f t="shared" si="10"/>
        <v>0.50420000489805117</v>
      </c>
      <c r="J64" s="192">
        <v>0.50419999999999998</v>
      </c>
      <c r="K64" s="192">
        <v>0.50419999999999998</v>
      </c>
      <c r="L64" s="192">
        <v>0.50419999999999998</v>
      </c>
      <c r="M64" s="192">
        <v>0.50419999999999998</v>
      </c>
      <c r="N64" s="192">
        <v>0.50419999999999998</v>
      </c>
      <c r="O64" s="192">
        <v>0.50419999999999998</v>
      </c>
      <c r="P64" s="192">
        <f t="shared" ref="P64" si="11">P65/P63</f>
        <v>0.50420000128951981</v>
      </c>
      <c r="Q64" s="4"/>
      <c r="R64" s="4"/>
    </row>
    <row r="65" spans="1:18">
      <c r="A65" s="160">
        <f t="shared" si="1"/>
        <v>52</v>
      </c>
      <c r="B65" s="4"/>
      <c r="C65" s="4" t="s">
        <v>352</v>
      </c>
      <c r="D65">
        <v>-359306.9</v>
      </c>
      <c r="E65">
        <v>-282184.25</v>
      </c>
      <c r="F65">
        <v>-363862.97</v>
      </c>
      <c r="G65">
        <v>-430532.12</v>
      </c>
      <c r="H65">
        <v>-366888.14</v>
      </c>
      <c r="I65">
        <v>-406814.5</v>
      </c>
      <c r="J65">
        <f t="shared" ref="J65:O65" si="12">J63*J64</f>
        <v>-525407.15619999997</v>
      </c>
      <c r="K65">
        <f t="shared" si="12"/>
        <v>-527201.43257199996</v>
      </c>
      <c r="L65">
        <f t="shared" si="12"/>
        <v>-472003.14429799997</v>
      </c>
      <c r="M65">
        <f t="shared" si="12"/>
        <v>-542525.98653200001</v>
      </c>
      <c r="N65">
        <f t="shared" si="12"/>
        <v>-483984.93293000001</v>
      </c>
      <c r="O65">
        <f t="shared" si="12"/>
        <v>-473972.27218799992</v>
      </c>
      <c r="P65">
        <f>SUM(D65:O65)</f>
        <v>-5234683.8047199994</v>
      </c>
      <c r="Q65" s="4"/>
      <c r="R65" s="4"/>
    </row>
    <row r="66" spans="1:18">
      <c r="A66" s="4"/>
      <c r="B66" s="4"/>
      <c r="C66" s="189"/>
      <c r="D66" s="200"/>
      <c r="E66" s="200"/>
      <c r="F66" s="200"/>
      <c r="G66" s="200"/>
      <c r="H66" s="200"/>
      <c r="I66" s="200"/>
      <c r="J66" s="4"/>
      <c r="K66" s="4"/>
      <c r="L66" s="4"/>
      <c r="M66" s="4"/>
      <c r="N66" s="4"/>
      <c r="O66" s="4"/>
      <c r="P66" s="4"/>
      <c r="Q66" s="4"/>
      <c r="R66" s="4"/>
    </row>
    <row r="67" spans="1:18">
      <c r="A67" s="4"/>
      <c r="B67" s="4"/>
      <c r="C67" s="18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>
      <c r="A68" s="4"/>
      <c r="B68" s="4" t="s">
        <v>353</v>
      </c>
      <c r="C68" s="18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>
      <c r="A69" s="4"/>
      <c r="B69" s="4"/>
      <c r="C69" s="18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>
      <c r="A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Q70" s="4"/>
      <c r="R70" s="4"/>
    </row>
    <row r="71" spans="1:18">
      <c r="A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>
      <c r="A72" s="4"/>
      <c r="C72" s="4"/>
      <c r="D72">
        <f t="shared" ref="D72:O72" si="13">D52</f>
        <v>-712627.73999999976</v>
      </c>
      <c r="E72">
        <f t="shared" si="13"/>
        <v>-559667.31000000006</v>
      </c>
      <c r="F72">
        <f t="shared" si="13"/>
        <v>-721663.96</v>
      </c>
      <c r="G72">
        <f t="shared" si="13"/>
        <v>-853891.54999999993</v>
      </c>
      <c r="H72">
        <f t="shared" si="13"/>
        <v>-727663.9</v>
      </c>
      <c r="I72">
        <f t="shared" si="13"/>
        <v>-806851.44000000076</v>
      </c>
      <c r="J72">
        <f t="shared" si="13"/>
        <v>-1042061</v>
      </c>
      <c r="K72">
        <f t="shared" si="13"/>
        <v>-1045619.6599999999</v>
      </c>
      <c r="L72">
        <f t="shared" si="13"/>
        <v>-936142.69</v>
      </c>
      <c r="M72">
        <f t="shared" si="13"/>
        <v>-1076013.46</v>
      </c>
      <c r="N72">
        <f t="shared" si="13"/>
        <v>-959906.65</v>
      </c>
      <c r="O72">
        <f t="shared" si="13"/>
        <v>-940048.1399999999</v>
      </c>
      <c r="Q72" s="69"/>
      <c r="R72" s="4"/>
    </row>
    <row r="73" spans="1:18">
      <c r="A73" s="4"/>
      <c r="C73" s="4"/>
      <c r="D73">
        <v>712627.74000000011</v>
      </c>
      <c r="E73">
        <v>559667.29999999993</v>
      </c>
      <c r="F73">
        <v>721663.95</v>
      </c>
      <c r="G73">
        <v>853891.54999999993</v>
      </c>
      <c r="H73">
        <v>727663.90000000014</v>
      </c>
      <c r="I73">
        <v>806851.44000000041</v>
      </c>
      <c r="J73">
        <v>1042061.0000000001</v>
      </c>
      <c r="K73">
        <v>1045619.6600000001</v>
      </c>
      <c r="L73">
        <v>936142.69000000018</v>
      </c>
      <c r="M73">
        <v>1076013.46</v>
      </c>
      <c r="N73">
        <v>959906.65</v>
      </c>
      <c r="O73">
        <v>940048.1399999999</v>
      </c>
      <c r="P73" s="4"/>
      <c r="Q73" s="4"/>
      <c r="R73" s="4"/>
    </row>
    <row r="74" spans="1:18">
      <c r="A74" s="4"/>
      <c r="B74" s="4"/>
      <c r="C74" s="4"/>
      <c r="D74">
        <f>D72+D73</f>
        <v>0</v>
      </c>
      <c r="E74">
        <f t="shared" ref="E74:O74" si="14">E72+E73</f>
        <v>-1.0000000125728548E-2</v>
      </c>
      <c r="F74">
        <f t="shared" si="14"/>
        <v>-1.0000000009313226E-2</v>
      </c>
      <c r="G74">
        <f t="shared" si="14"/>
        <v>0</v>
      </c>
      <c r="H74">
        <f t="shared" si="14"/>
        <v>0</v>
      </c>
      <c r="I74">
        <f t="shared" si="14"/>
        <v>0</v>
      </c>
      <c r="J74">
        <f t="shared" si="14"/>
        <v>0</v>
      </c>
      <c r="K74">
        <f t="shared" si="14"/>
        <v>0</v>
      </c>
      <c r="L74">
        <f t="shared" si="14"/>
        <v>0</v>
      </c>
      <c r="M74">
        <f t="shared" si="14"/>
        <v>0</v>
      </c>
      <c r="N74">
        <f t="shared" si="14"/>
        <v>0</v>
      </c>
      <c r="O74">
        <f t="shared" si="14"/>
        <v>0</v>
      </c>
      <c r="P74" s="4"/>
      <c r="Q74" s="4"/>
      <c r="R74" s="4"/>
    </row>
    <row r="75" spans="1:18">
      <c r="A75" s="4"/>
      <c r="B75" s="4" t="s">
        <v>341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8"/>
      <c r="P75" s="4"/>
      <c r="Q75" s="4"/>
      <c r="R75" s="4"/>
    </row>
    <row r="76" spans="1:18">
      <c r="A76" s="4"/>
      <c r="B76" s="4" t="s">
        <v>342</v>
      </c>
      <c r="C76" s="6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8"/>
      <c r="P76" s="4"/>
      <c r="Q76" s="69"/>
      <c r="R76" s="4"/>
    </row>
    <row r="77" spans="1:18">
      <c r="A77" s="4"/>
      <c r="B77" t="s">
        <v>355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8"/>
      <c r="P77" s="4"/>
      <c r="Q77" s="4"/>
      <c r="R77" s="4"/>
    </row>
    <row r="78" spans="1:18">
      <c r="A78" s="4"/>
      <c r="B78" s="4" t="s">
        <v>343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8"/>
      <c r="P78" s="4"/>
      <c r="Q78" s="4"/>
      <c r="R78" s="4"/>
    </row>
    <row r="79" spans="1:18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8"/>
      <c r="P79" s="4"/>
      <c r="Q79" s="4"/>
      <c r="R79" s="4"/>
    </row>
    <row r="80" spans="1:18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3" spans="1:18">
      <c r="C83" s="69"/>
    </row>
  </sheetData>
  <mergeCells count="4">
    <mergeCell ref="A1:P1"/>
    <mergeCell ref="A2:P2"/>
    <mergeCell ref="A3:P3"/>
    <mergeCell ref="A4:P4"/>
  </mergeCells>
  <printOptions horizontalCentered="1"/>
  <pageMargins left="0.5" right="0.5" top="0.75" bottom="0.59" header="0.5" footer="0.25"/>
  <pageSetup scale="50" fitToHeight="2" orientation="landscape" verticalDpi="300" r:id="rId1"/>
  <headerFooter alignWithMargins="0">
    <oddHeader>&amp;RCASE NO. 2021-00214
FR_16(8)(c) 
ATTACHMENT 1</oddHeader>
    <oddFooter>&amp;RSchedule &amp;A
Page &amp;P of &amp;N</oddFooter>
  </headerFooter>
  <rowBreaks count="1" manualBreakCount="1">
    <brk id="6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27</vt:i4>
      </vt:variant>
    </vt:vector>
  </HeadingPairs>
  <TitlesOfParts>
    <vt:vector size="42" baseType="lpstr">
      <vt:lpstr>Cover C</vt:lpstr>
      <vt:lpstr>C.1</vt:lpstr>
      <vt:lpstr>C.2</vt:lpstr>
      <vt:lpstr>C.2.1 B</vt:lpstr>
      <vt:lpstr>C.2.1 F</vt:lpstr>
      <vt:lpstr>C.2.2 B 09</vt:lpstr>
      <vt:lpstr>C.2.2 B 02</vt:lpstr>
      <vt:lpstr>C.2.2 B 12</vt:lpstr>
      <vt:lpstr>C.2.2 B 91</vt:lpstr>
      <vt:lpstr>C.2.2-F 09</vt:lpstr>
      <vt:lpstr>C.2.2-F 02</vt:lpstr>
      <vt:lpstr>C.2.2-F 12</vt:lpstr>
      <vt:lpstr>C.2.2-F 91</vt:lpstr>
      <vt:lpstr>C.2.3 B</vt:lpstr>
      <vt:lpstr>C.2.3 F</vt:lpstr>
      <vt:lpstr>C.1!Print_Area</vt:lpstr>
      <vt:lpstr>C.2!Print_Area</vt:lpstr>
      <vt:lpstr>'C.2.1 B'!Print_Area</vt:lpstr>
      <vt:lpstr>'C.2.1 F'!Print_Area</vt:lpstr>
      <vt:lpstr>'C.2.2 B 02'!Print_Area</vt:lpstr>
      <vt:lpstr>'C.2.2 B 09'!Print_Area</vt:lpstr>
      <vt:lpstr>'C.2.2 B 12'!Print_Area</vt:lpstr>
      <vt:lpstr>'C.2.2 B 91'!Print_Area</vt:lpstr>
      <vt:lpstr>'C.2.2-F 02'!Print_Area</vt:lpstr>
      <vt:lpstr>'C.2.2-F 09'!Print_Area</vt:lpstr>
      <vt:lpstr>'C.2.2-F 12'!Print_Area</vt:lpstr>
      <vt:lpstr>'C.2.2-F 91'!Print_Area</vt:lpstr>
      <vt:lpstr>'C.2.3 B'!Print_Area</vt:lpstr>
      <vt:lpstr>'C.2.3 F'!Print_Area</vt:lpstr>
      <vt:lpstr>'Cover C'!Print_Area</vt:lpstr>
      <vt:lpstr>'C.2.1 B'!Print_Titles</vt:lpstr>
      <vt:lpstr>'C.2.1 F'!Print_Titles</vt:lpstr>
      <vt:lpstr>'C.2.2 B 02'!Print_Titles</vt:lpstr>
      <vt:lpstr>'C.2.2 B 09'!Print_Titles</vt:lpstr>
      <vt:lpstr>'C.2.2 B 12'!Print_Titles</vt:lpstr>
      <vt:lpstr>'C.2.2 B 91'!Print_Titles</vt:lpstr>
      <vt:lpstr>'C.2.2-F 02'!Print_Titles</vt:lpstr>
      <vt:lpstr>'C.2.2-F 09'!Print_Titles</vt:lpstr>
      <vt:lpstr>'C.2.2-F 12'!Print_Titles</vt:lpstr>
      <vt:lpstr>'C.2.2-F 91'!Print_Titles</vt:lpstr>
      <vt:lpstr>'C.2.3 B'!Print_Titles</vt:lpstr>
      <vt:lpstr>'C.2.3 F'!Print_Titles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 Troup</dc:creator>
  <cp:lastModifiedBy>Sharon E Whiting</cp:lastModifiedBy>
  <dcterms:created xsi:type="dcterms:W3CDTF">2021-06-22T15:13:15Z</dcterms:created>
  <dcterms:modified xsi:type="dcterms:W3CDTF">2021-06-23T12:31:22Z</dcterms:modified>
</cp:coreProperties>
</file>