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mosenergy-my.sharepoint.com/personal/thomas_troup_atmosenergy_com/Documents/Desktop/Staff 2-55/"/>
    </mc:Choice>
  </mc:AlternateContent>
  <xr:revisionPtr revIDLastSave="25" documentId="13_ncr:1_{88DB43DC-5AC3-4DBE-89C7-04AAF447FAFC}" xr6:coauthVersionLast="47" xr6:coauthVersionMax="47" xr10:uidLastSave="{1E48BD99-145D-4286-B140-0964F3DE7790}"/>
  <bookViews>
    <workbookView xWindow="-15" yWindow="-15" windowWidth="14400" windowHeight="15630" firstSheet="1" activeTab="1" xr2:uid="{B936A9D2-9E5D-4140-9D84-F97DE4A02ADA}"/>
  </bookViews>
  <sheets>
    <sheet name="RATES AS FILED With No PRP, CGA" sheetId="4" r:id="rId1"/>
    <sheet name="REVISED RATES With No PRP, CGA" sheetId="5" r:id="rId2"/>
    <sheet name="FR 16(8)(n) (Updated)" sheetId="3" r:id="rId3"/>
    <sheet name="Tariff-Level Calculations" sheetId="2" r:id="rId4"/>
    <sheet name="Test Year Monthly" sheetId="1" r:id="rId5"/>
  </sheets>
  <definedNames>
    <definedName name="__123Graph_A" hidden="1">#REF!</definedName>
    <definedName name="__123Graph_B" hidden="1">#REF!</definedName>
    <definedName name="__123Graph_X" hidden="1">#REF!</definedName>
    <definedName name="_Dist_Bin" hidden="1">#REF!</definedName>
    <definedName name="_Dist_Values" hidden="1">#REF!</definedName>
    <definedName name="_Fill" hidden="1">#REF!</definedName>
    <definedName name="_Order1" hidden="1">255</definedName>
    <definedName name="_Order2" hidden="1">255</definedName>
    <definedName name="_Regression_Out" hidden="1">#REF!</definedName>
    <definedName name="_Regression_Y" hidden="1">#REF!</definedName>
    <definedName name="_xlnm.Print_Area" localSheetId="3">'Tariff-Level Calculations'!$A$5:$I$14</definedName>
    <definedName name="_xlnm.Print_Area" localSheetId="4">'Test Year Monthly'!$A$1:$AD$105</definedName>
    <definedName name="_xlnm.Print_Titles" localSheetId="3">'Tariff-Level Calculations'!$1:$3</definedName>
    <definedName name="_xlnm.Print_Titles" localSheetId="4">'Test Year Monthly'!$A:$A,'Test Year Monthly'!$1:$11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5" l="1"/>
  <c r="I35" i="5"/>
  <c r="K34" i="5"/>
  <c r="I34" i="5"/>
  <c r="K33" i="5"/>
  <c r="I33" i="5"/>
  <c r="K32" i="5"/>
  <c r="I32" i="5"/>
  <c r="K31" i="5"/>
  <c r="I31" i="5"/>
  <c r="K30" i="5"/>
  <c r="I30" i="5"/>
  <c r="K29" i="5"/>
  <c r="I29" i="5"/>
  <c r="K28" i="5"/>
  <c r="I28" i="5"/>
  <c r="K27" i="5"/>
  <c r="I27" i="5"/>
  <c r="K26" i="5"/>
  <c r="I26" i="5"/>
  <c r="K25" i="5"/>
  <c r="I25" i="5"/>
  <c r="K24" i="5"/>
  <c r="I24" i="5"/>
  <c r="K23" i="5"/>
  <c r="I23" i="5"/>
  <c r="K20" i="5"/>
  <c r="G12" i="5" s="1"/>
  <c r="I12" i="5" s="1"/>
  <c r="K12" i="5" s="1"/>
  <c r="I20" i="5"/>
  <c r="K19" i="5"/>
  <c r="I19" i="5"/>
  <c r="K18" i="5"/>
  <c r="I18" i="5"/>
  <c r="K17" i="5"/>
  <c r="G9" i="5" s="1"/>
  <c r="I17" i="5"/>
  <c r="K16" i="5"/>
  <c r="I16" i="5"/>
  <c r="C12" i="5"/>
  <c r="E12" i="5" s="1"/>
  <c r="C11" i="5"/>
  <c r="E11" i="5" s="1"/>
  <c r="C10" i="5"/>
  <c r="E10" i="5" s="1"/>
  <c r="C9" i="5"/>
  <c r="E9" i="5" s="1"/>
  <c r="C8" i="5"/>
  <c r="E8" i="5" s="1"/>
  <c r="K24" i="4"/>
  <c r="K25" i="4"/>
  <c r="K26" i="4"/>
  <c r="K27" i="4"/>
  <c r="K28" i="4"/>
  <c r="K29" i="4"/>
  <c r="K30" i="4"/>
  <c r="K31" i="4"/>
  <c r="K32" i="4"/>
  <c r="K33" i="4"/>
  <c r="K34" i="4"/>
  <c r="K35" i="4"/>
  <c r="K23" i="4"/>
  <c r="K17" i="4"/>
  <c r="K18" i="4"/>
  <c r="K19" i="4"/>
  <c r="K20" i="4"/>
  <c r="K16" i="4"/>
  <c r="M40" i="4"/>
  <c r="M39" i="4"/>
  <c r="M38" i="4"/>
  <c r="M35" i="4"/>
  <c r="I35" i="4"/>
  <c r="M34" i="4"/>
  <c r="I34" i="4"/>
  <c r="M33" i="4"/>
  <c r="I33" i="4"/>
  <c r="M32" i="4"/>
  <c r="I32" i="4"/>
  <c r="M31" i="4"/>
  <c r="I31" i="4"/>
  <c r="M30" i="4"/>
  <c r="I30" i="4"/>
  <c r="M29" i="4"/>
  <c r="I29" i="4"/>
  <c r="M28" i="4"/>
  <c r="I28" i="4"/>
  <c r="M27" i="4"/>
  <c r="I27" i="4"/>
  <c r="M26" i="4"/>
  <c r="I26" i="4"/>
  <c r="M25" i="4"/>
  <c r="I25" i="4"/>
  <c r="M24" i="4"/>
  <c r="I24" i="4"/>
  <c r="M23" i="4"/>
  <c r="I23" i="4"/>
  <c r="M20" i="4"/>
  <c r="I20" i="4"/>
  <c r="M19" i="4"/>
  <c r="I19" i="4"/>
  <c r="M18" i="4"/>
  <c r="I18" i="4"/>
  <c r="M17" i="4"/>
  <c r="I17" i="4"/>
  <c r="M16" i="4"/>
  <c r="I16" i="4"/>
  <c r="G11" i="5" l="1"/>
  <c r="I11" i="5" s="1"/>
  <c r="K11" i="5" s="1"/>
  <c r="I9" i="5"/>
  <c r="K9" i="5" s="1"/>
  <c r="G10" i="5"/>
  <c r="I10" i="5" s="1"/>
  <c r="K10" i="5" s="1"/>
  <c r="G8" i="5"/>
  <c r="I8" i="5" s="1"/>
  <c r="K8" i="5" s="1"/>
  <c r="I29" i="3"/>
  <c r="I25" i="3"/>
  <c r="G28" i="3"/>
  <c r="E28" i="3"/>
  <c r="I28" i="3" s="1"/>
  <c r="G27" i="3"/>
  <c r="E27" i="3"/>
  <c r="I27" i="3" s="1"/>
  <c r="G25" i="3"/>
  <c r="E25" i="3"/>
  <c r="G24" i="3"/>
  <c r="E24" i="3"/>
  <c r="I24" i="3" s="1"/>
  <c r="C53" i="1"/>
  <c r="G40" i="3" s="1"/>
  <c r="G39" i="3"/>
  <c r="G38" i="3"/>
  <c r="C45" i="1"/>
  <c r="C36" i="1"/>
  <c r="C27" i="1"/>
  <c r="C18" i="1"/>
  <c r="G20" i="3"/>
  <c r="E20" i="3"/>
  <c r="G19" i="3"/>
  <c r="L19" i="3" s="1"/>
  <c r="M19" i="3" s="1"/>
  <c r="E19" i="3"/>
  <c r="G18" i="3"/>
  <c r="E18" i="3"/>
  <c r="G35" i="3"/>
  <c r="K35" i="3" s="1"/>
  <c r="E35" i="3"/>
  <c r="I35" i="3" s="1"/>
  <c r="G34" i="3"/>
  <c r="K34" i="3" s="1"/>
  <c r="E34" i="3"/>
  <c r="I34" i="3" s="1"/>
  <c r="G33" i="3"/>
  <c r="K33" i="3" s="1"/>
  <c r="E33" i="3"/>
  <c r="I33" i="3" s="1"/>
  <c r="G32" i="3"/>
  <c r="K32" i="3" s="1"/>
  <c r="E32" i="3"/>
  <c r="I32" i="3" s="1"/>
  <c r="G31" i="3"/>
  <c r="K31" i="3" s="1"/>
  <c r="E31" i="3"/>
  <c r="I31" i="3" s="1"/>
  <c r="G30" i="3"/>
  <c r="E30" i="3"/>
  <c r="I30" i="3" s="1"/>
  <c r="G29" i="3"/>
  <c r="E29" i="3"/>
  <c r="G26" i="3"/>
  <c r="K26" i="3" s="1"/>
  <c r="E26" i="3"/>
  <c r="I26" i="3" s="1"/>
  <c r="G17" i="3"/>
  <c r="E17" i="3"/>
  <c r="G23" i="3"/>
  <c r="E23" i="3"/>
  <c r="I23" i="3" s="1"/>
  <c r="G16" i="3"/>
  <c r="L16" i="3" s="1"/>
  <c r="M16" i="3" s="1"/>
  <c r="E16" i="3"/>
  <c r="L31" i="3" l="1"/>
  <c r="M31" i="3" s="1"/>
  <c r="L32" i="3"/>
  <c r="M32" i="3" s="1"/>
  <c r="L18" i="3"/>
  <c r="M18" i="3" s="1"/>
  <c r="K24" i="3"/>
  <c r="L17" i="3"/>
  <c r="M17" i="3" s="1"/>
  <c r="K23" i="3"/>
  <c r="L23" i="3" s="1"/>
  <c r="M23" i="3" s="1"/>
  <c r="K30" i="3"/>
  <c r="L30" i="3" s="1"/>
  <c r="M30" i="3" s="1"/>
  <c r="K29" i="3"/>
  <c r="K27" i="3"/>
  <c r="L27" i="3" s="1"/>
  <c r="M27" i="3" s="1"/>
  <c r="K28" i="3"/>
  <c r="L28" i="3" s="1"/>
  <c r="M28" i="3" s="1"/>
  <c r="K25" i="3"/>
  <c r="L25" i="3" s="1"/>
  <c r="M25" i="3" s="1"/>
  <c r="L34" i="3"/>
  <c r="M34" i="3" s="1"/>
  <c r="L33" i="3"/>
  <c r="M33" i="3" s="1"/>
  <c r="L35" i="3"/>
  <c r="M35" i="3" s="1"/>
  <c r="L20" i="3"/>
  <c r="M20" i="3" s="1"/>
  <c r="L24" i="3"/>
  <c r="M24" i="3" s="1"/>
  <c r="L26" i="3"/>
  <c r="M26" i="3" s="1"/>
  <c r="L29" i="3" l="1"/>
  <c r="M29" i="3" s="1"/>
  <c r="V100" i="1" l="1"/>
  <c r="V99" i="1"/>
  <c r="W100" i="1" l="1"/>
  <c r="X100" i="1" s="1"/>
  <c r="W99" i="1"/>
  <c r="X99" i="1" s="1"/>
  <c r="W95" i="1"/>
  <c r="X95" i="1" s="1"/>
  <c r="W87" i="1"/>
  <c r="X87" i="1" s="1"/>
  <c r="W78" i="1"/>
  <c r="X78" i="1" s="1"/>
  <c r="X72" i="1"/>
  <c r="W72" i="1"/>
  <c r="W61" i="1"/>
  <c r="X61" i="1" s="1"/>
  <c r="W53" i="1"/>
  <c r="X53" i="1" s="1"/>
  <c r="W45" i="1"/>
  <c r="X45" i="1" s="1"/>
  <c r="X36" i="1"/>
  <c r="W36" i="1"/>
  <c r="W27" i="1"/>
  <c r="X27" i="1" s="1"/>
  <c r="X18" i="1"/>
  <c r="W18" i="1"/>
  <c r="S98" i="1" l="1"/>
  <c r="S89" i="1"/>
  <c r="S80" i="1"/>
  <c r="S74" i="1"/>
  <c r="S64" i="1"/>
  <c r="S56" i="1"/>
  <c r="S48" i="1"/>
  <c r="S39" i="1"/>
  <c r="S30" i="1"/>
  <c r="S21" i="1"/>
  <c r="S12" i="1"/>
  <c r="P96" i="1" l="1"/>
  <c r="O96" i="1"/>
  <c r="N96" i="1"/>
  <c r="M96" i="1"/>
  <c r="L96" i="1"/>
  <c r="K96" i="1"/>
  <c r="J96" i="1"/>
  <c r="I96" i="1"/>
  <c r="H96" i="1"/>
  <c r="G96" i="1"/>
  <c r="F96" i="1"/>
  <c r="C59" i="1"/>
  <c r="C58" i="1"/>
  <c r="C25" i="1"/>
  <c r="C34" i="1" s="1"/>
  <c r="C43" i="1" s="1"/>
  <c r="C24" i="1"/>
  <c r="C33" i="1" s="1"/>
  <c r="C42" i="1" s="1"/>
  <c r="U14" i="1" l="1"/>
  <c r="U76" i="1"/>
  <c r="V86" i="1"/>
  <c r="M26" i="1"/>
  <c r="M28" i="1" s="1"/>
  <c r="I35" i="1"/>
  <c r="I37" i="1" s="1"/>
  <c r="U49" i="1"/>
  <c r="Q91" i="1"/>
  <c r="Q93" i="1"/>
  <c r="Q95" i="1"/>
  <c r="Q51" i="1"/>
  <c r="Q59" i="1"/>
  <c r="Q50" i="1"/>
  <c r="Q92" i="1"/>
  <c r="E96" i="1"/>
  <c r="Q94" i="1"/>
  <c r="Q96" i="1" s="1"/>
  <c r="Q58" i="1"/>
  <c r="V91" i="1"/>
  <c r="V57" i="1"/>
  <c r="U13" i="1"/>
  <c r="U24" i="1"/>
  <c r="V32" i="1"/>
  <c r="V40" i="1"/>
  <c r="V65" i="1"/>
  <c r="V67" i="1"/>
  <c r="U75" i="1"/>
  <c r="V85" i="1"/>
  <c r="U83" i="1"/>
  <c r="U69" i="1"/>
  <c r="U94" i="1"/>
  <c r="U59" i="1"/>
  <c r="U15" i="1"/>
  <c r="V50" i="1"/>
  <c r="U90" i="1"/>
  <c r="V92" i="1"/>
  <c r="V93" i="1"/>
  <c r="V51" i="1"/>
  <c r="V81" i="1"/>
  <c r="H26" i="1"/>
  <c r="H28" i="1" s="1"/>
  <c r="U58" i="1"/>
  <c r="V82" i="1"/>
  <c r="U84" i="1"/>
  <c r="U99" i="1"/>
  <c r="V13" i="1"/>
  <c r="V16" i="1"/>
  <c r="V22" i="1"/>
  <c r="V24" i="1"/>
  <c r="V25" i="1"/>
  <c r="V31" i="1"/>
  <c r="U33" i="1"/>
  <c r="U34" i="1"/>
  <c r="U42" i="1"/>
  <c r="V43" i="1"/>
  <c r="V49" i="1"/>
  <c r="U50" i="1"/>
  <c r="U51" i="1"/>
  <c r="V59" i="1"/>
  <c r="U65" i="1"/>
  <c r="V66" i="1"/>
  <c r="U68" i="1"/>
  <c r="V69" i="1"/>
  <c r="V70" i="1"/>
  <c r="V71" i="1"/>
  <c r="V77" i="1"/>
  <c r="U85" i="1"/>
  <c r="U86" i="1"/>
  <c r="V90" i="1"/>
  <c r="U91" i="1"/>
  <c r="V94" i="1"/>
  <c r="V23" i="1"/>
  <c r="V34" i="1"/>
  <c r="L74" i="1"/>
  <c r="V15" i="1"/>
  <c r="U43" i="1"/>
  <c r="U66" i="1"/>
  <c r="V75" i="1"/>
  <c r="V68" i="1"/>
  <c r="U92" i="1"/>
  <c r="V58" i="1"/>
  <c r="U100" i="1"/>
  <c r="U70" i="1"/>
  <c r="U22" i="1"/>
  <c r="U71" i="1"/>
  <c r="V42" i="1"/>
  <c r="V76" i="1"/>
  <c r="L72" i="1"/>
  <c r="E87" i="1"/>
  <c r="U25" i="1"/>
  <c r="U67" i="1"/>
  <c r="U81" i="1"/>
  <c r="V84" i="1"/>
  <c r="V41" i="1"/>
  <c r="U77" i="1"/>
  <c r="U16" i="1"/>
  <c r="I17" i="1"/>
  <c r="I19" i="1" s="1"/>
  <c r="J44" i="1"/>
  <c r="J46" i="1" s="1"/>
  <c r="L52" i="1"/>
  <c r="L54" i="1" s="1"/>
  <c r="K60" i="1"/>
  <c r="K62" i="1" s="1"/>
  <c r="V14" i="1"/>
  <c r="U82" i="1"/>
  <c r="V83" i="1"/>
  <c r="U93" i="1"/>
  <c r="V33" i="1"/>
  <c r="G35" i="1"/>
  <c r="G37" i="1" s="1"/>
  <c r="O35" i="1"/>
  <c r="O37" i="1" s="1"/>
  <c r="L60" i="1"/>
  <c r="L62" i="1" s="1"/>
  <c r="P26" i="1"/>
  <c r="P28" i="1" s="1"/>
  <c r="M35" i="1"/>
  <c r="M37" i="1" s="1"/>
  <c r="G17" i="1"/>
  <c r="G19" i="1" s="1"/>
  <c r="E80" i="1"/>
  <c r="E74" i="1"/>
  <c r="F78" i="1"/>
  <c r="L26" i="1"/>
  <c r="L28" i="1" s="1"/>
  <c r="P64" i="1"/>
  <c r="O72" i="1"/>
  <c r="O87" i="1"/>
  <c r="P52" i="1"/>
  <c r="P54" i="1" s="1"/>
  <c r="G60" i="1"/>
  <c r="G62" i="1" s="1"/>
  <c r="H72" i="1"/>
  <c r="P72" i="1"/>
  <c r="H78" i="1"/>
  <c r="P78" i="1"/>
  <c r="K78" i="1"/>
  <c r="O89" i="1"/>
  <c r="O17" i="1"/>
  <c r="G72" i="1"/>
  <c r="G87" i="1"/>
  <c r="J35" i="1"/>
  <c r="J37" i="1" s="1"/>
  <c r="F44" i="1"/>
  <c r="F46" i="1" s="1"/>
  <c r="N44" i="1"/>
  <c r="N46" i="1" s="1"/>
  <c r="G44" i="1"/>
  <c r="G46" i="1" s="1"/>
  <c r="O44" i="1"/>
  <c r="O46" i="1" s="1"/>
  <c r="I52" i="1"/>
  <c r="I54" i="1" s="1"/>
  <c r="J64" i="1"/>
  <c r="Q68" i="1"/>
  <c r="I87" i="1"/>
  <c r="H17" i="1"/>
  <c r="H44" i="1"/>
  <c r="H46" i="1" s="1"/>
  <c r="P44" i="1"/>
  <c r="P46" i="1" s="1"/>
  <c r="J52" i="1"/>
  <c r="J54" i="1" s="1"/>
  <c r="J72" i="1"/>
  <c r="J78" i="1"/>
  <c r="J87" i="1"/>
  <c r="M87" i="1"/>
  <c r="J48" i="1"/>
  <c r="N12" i="1"/>
  <c r="N26" i="1"/>
  <c r="N28" i="1" s="1"/>
  <c r="H64" i="1"/>
  <c r="F72" i="1"/>
  <c r="N72" i="1"/>
  <c r="H35" i="1"/>
  <c r="H37" i="1" s="1"/>
  <c r="K26" i="1"/>
  <c r="K28" i="1" s="1"/>
  <c r="Q31" i="1"/>
  <c r="Y36" i="1" s="1"/>
  <c r="Q43" i="1"/>
  <c r="H48" i="1"/>
  <c r="P48" i="1"/>
  <c r="K52" i="1"/>
  <c r="K54" i="1" s="1"/>
  <c r="F60" i="1"/>
  <c r="F62" i="1" s="1"/>
  <c r="N60" i="1"/>
  <c r="N62" i="1" s="1"/>
  <c r="I60" i="1"/>
  <c r="I62" i="1" s="1"/>
  <c r="K64" i="1"/>
  <c r="J74" i="1"/>
  <c r="I74" i="1"/>
  <c r="K87" i="1"/>
  <c r="F89" i="1"/>
  <c r="N89" i="1"/>
  <c r="K74" i="1"/>
  <c r="Q14" i="1"/>
  <c r="P17" i="1"/>
  <c r="K17" i="1"/>
  <c r="N17" i="1"/>
  <c r="N19" i="1" s="1"/>
  <c r="Q23" i="1"/>
  <c r="K35" i="1"/>
  <c r="K37" i="1" s="1"/>
  <c r="K44" i="1"/>
  <c r="K46" i="1" s="1"/>
  <c r="E52" i="1"/>
  <c r="E54" i="1" s="1"/>
  <c r="M52" i="1"/>
  <c r="M54" i="1" s="1"/>
  <c r="H52" i="1"/>
  <c r="H54" i="1" s="1"/>
  <c r="H60" i="1"/>
  <c r="H62" i="1" s="1"/>
  <c r="P60" i="1"/>
  <c r="P62" i="1" s="1"/>
  <c r="Q71" i="1"/>
  <c r="F26" i="1"/>
  <c r="F28" i="1" s="1"/>
  <c r="E72" i="1"/>
  <c r="M72" i="1"/>
  <c r="P74" i="1"/>
  <c r="L78" i="1"/>
  <c r="P35" i="1"/>
  <c r="P37" i="1" s="1"/>
  <c r="L64" i="1"/>
  <c r="J17" i="1"/>
  <c r="Q15" i="1"/>
  <c r="E35" i="1"/>
  <c r="E37" i="1" s="1"/>
  <c r="Q42" i="1"/>
  <c r="E44" i="1"/>
  <c r="E46" i="1" s="1"/>
  <c r="M44" i="1"/>
  <c r="M46" i="1" s="1"/>
  <c r="L48" i="1"/>
  <c r="G52" i="1"/>
  <c r="G54" i="1" s="1"/>
  <c r="O52" i="1"/>
  <c r="O54" i="1" s="1"/>
  <c r="J60" i="1"/>
  <c r="J62" i="1" s="1"/>
  <c r="Q70" i="1"/>
  <c r="L89" i="1"/>
  <c r="H12" i="1"/>
  <c r="P12" i="1"/>
  <c r="N35" i="1"/>
  <c r="N37" i="1" s="1"/>
  <c r="F74" i="1"/>
  <c r="N74" i="1"/>
  <c r="Q81" i="1"/>
  <c r="P89" i="1"/>
  <c r="Q76" i="1"/>
  <c r="Q25" i="1"/>
  <c r="Q41" i="1"/>
  <c r="F48" i="1"/>
  <c r="N48" i="1"/>
  <c r="O60" i="1"/>
  <c r="O62" i="1" s="1"/>
  <c r="Q77" i="1"/>
  <c r="M74" i="1"/>
  <c r="N78" i="1"/>
  <c r="Q86" i="1"/>
  <c r="I89" i="1"/>
  <c r="O12" i="1"/>
  <c r="C23" i="1"/>
  <c r="O21" i="1" s="1"/>
  <c r="M12" i="1"/>
  <c r="E12" i="1"/>
  <c r="G80" i="1"/>
  <c r="Q83" i="1"/>
  <c r="F12" i="1"/>
  <c r="L12" i="1"/>
  <c r="G26" i="1"/>
  <c r="G28" i="1" s="1"/>
  <c r="O26" i="1"/>
  <c r="O28" i="1" s="1"/>
  <c r="E26" i="1"/>
  <c r="E28" i="1" s="1"/>
  <c r="I64" i="1"/>
  <c r="O64" i="1"/>
  <c r="G64" i="1"/>
  <c r="M64" i="1"/>
  <c r="E64" i="1"/>
  <c r="Q66" i="1"/>
  <c r="K72" i="1"/>
  <c r="I80" i="1"/>
  <c r="Q85" i="1"/>
  <c r="L87" i="1"/>
  <c r="L80" i="1"/>
  <c r="J89" i="1"/>
  <c r="Q13" i="1"/>
  <c r="D10" i="2" s="1"/>
  <c r="L44" i="1"/>
  <c r="L46" i="1" s="1"/>
  <c r="K12" i="1"/>
  <c r="G12" i="1"/>
  <c r="Q33" i="1"/>
  <c r="I12" i="1"/>
  <c r="L17" i="1"/>
  <c r="M17" i="1"/>
  <c r="F52" i="1"/>
  <c r="F54" i="1" s="1"/>
  <c r="N52" i="1"/>
  <c r="N54" i="1" s="1"/>
  <c r="O80" i="1"/>
  <c r="J80" i="1"/>
  <c r="Q22" i="1"/>
  <c r="I26" i="1"/>
  <c r="I28" i="1" s="1"/>
  <c r="L35" i="1"/>
  <c r="L37" i="1" s="1"/>
  <c r="Q40" i="1"/>
  <c r="Y45" i="1" s="1"/>
  <c r="C57" i="1"/>
  <c r="L56" i="1" s="1"/>
  <c r="K48" i="1"/>
  <c r="I48" i="1"/>
  <c r="O48" i="1"/>
  <c r="G48" i="1"/>
  <c r="Q65" i="1"/>
  <c r="F64" i="1"/>
  <c r="N64" i="1"/>
  <c r="K80" i="1"/>
  <c r="F87" i="1"/>
  <c r="F80" i="1"/>
  <c r="N87" i="1"/>
  <c r="N80" i="1"/>
  <c r="F17" i="1"/>
  <c r="Q16" i="1"/>
  <c r="E17" i="1"/>
  <c r="C31" i="1"/>
  <c r="J12" i="1"/>
  <c r="J26" i="1"/>
  <c r="J28" i="1" s="1"/>
  <c r="Q24" i="1"/>
  <c r="I44" i="1"/>
  <c r="Q49" i="1"/>
  <c r="M48" i="1"/>
  <c r="E60" i="1"/>
  <c r="E62" i="1" s="1"/>
  <c r="M60" i="1"/>
  <c r="M62" i="1" s="1"/>
  <c r="E78" i="1"/>
  <c r="Q75" i="1"/>
  <c r="M78" i="1"/>
  <c r="Q82" i="1"/>
  <c r="Q32" i="1"/>
  <c r="F35" i="1"/>
  <c r="F37" i="1" s="1"/>
  <c r="M80" i="1"/>
  <c r="Q84" i="1"/>
  <c r="H80" i="1"/>
  <c r="P80" i="1"/>
  <c r="G78" i="1"/>
  <c r="G74" i="1"/>
  <c r="O78" i="1"/>
  <c r="O74" i="1"/>
  <c r="Q34" i="1"/>
  <c r="Q57" i="1"/>
  <c r="Y61" i="1" s="1"/>
  <c r="Q67" i="1"/>
  <c r="I72" i="1"/>
  <c r="Q69" i="1"/>
  <c r="Q90" i="1"/>
  <c r="H89" i="1"/>
  <c r="E48" i="1"/>
  <c r="I78" i="1"/>
  <c r="H87" i="1"/>
  <c r="P87" i="1"/>
  <c r="H74" i="1"/>
  <c r="K89" i="1"/>
  <c r="E89" i="1"/>
  <c r="M89" i="1"/>
  <c r="G89" i="1"/>
  <c r="D12" i="2" l="1"/>
  <c r="D11" i="2"/>
  <c r="AB57" i="1"/>
  <c r="AB59" i="1"/>
  <c r="AB58" i="1"/>
  <c r="AB34" i="1"/>
  <c r="AA58" i="1"/>
  <c r="AA59" i="1"/>
  <c r="AB40" i="1"/>
  <c r="AB41" i="1"/>
  <c r="AB43" i="1"/>
  <c r="AB32" i="1"/>
  <c r="AB42" i="1"/>
  <c r="AA34" i="1"/>
  <c r="AA43" i="1"/>
  <c r="AA33" i="1"/>
  <c r="AB31" i="1"/>
  <c r="AA42" i="1"/>
  <c r="AB33" i="1"/>
  <c r="Q72" i="1"/>
  <c r="Q80" i="1"/>
  <c r="Q62" i="1"/>
  <c r="Q44" i="1"/>
  <c r="Z45" i="1" s="1"/>
  <c r="V95" i="1"/>
  <c r="Y27" i="1"/>
  <c r="AB23" i="1" s="1"/>
  <c r="V78" i="1"/>
  <c r="V87" i="1"/>
  <c r="Y95" i="1"/>
  <c r="Z95" i="1" s="1"/>
  <c r="U87" i="1"/>
  <c r="V72" i="1"/>
  <c r="J21" i="1"/>
  <c r="N21" i="1"/>
  <c r="U31" i="1"/>
  <c r="AA31" i="1" s="1"/>
  <c r="U72" i="1"/>
  <c r="Y87" i="1"/>
  <c r="D14" i="2" s="1"/>
  <c r="I21" i="1"/>
  <c r="F21" i="1"/>
  <c r="Y72" i="1"/>
  <c r="D13" i="2" s="1"/>
  <c r="Y53" i="1"/>
  <c r="AB51" i="1" s="1"/>
  <c r="Y18" i="1"/>
  <c r="AA14" i="1" s="1"/>
  <c r="U95" i="1"/>
  <c r="U78" i="1"/>
  <c r="V35" i="1"/>
  <c r="U35" i="1"/>
  <c r="AA35" i="1" s="1"/>
  <c r="U60" i="1"/>
  <c r="AA60" i="1" s="1"/>
  <c r="V60" i="1"/>
  <c r="V26" i="1"/>
  <c r="U26" i="1"/>
  <c r="V52" i="1"/>
  <c r="U52" i="1"/>
  <c r="U57" i="1"/>
  <c r="AA57" i="1" s="1"/>
  <c r="U23" i="1"/>
  <c r="E21" i="1"/>
  <c r="J19" i="1"/>
  <c r="Q17" i="1"/>
  <c r="E10" i="2" s="1"/>
  <c r="H21" i="1"/>
  <c r="P21" i="1"/>
  <c r="M19" i="1"/>
  <c r="Q26" i="1"/>
  <c r="H19" i="1"/>
  <c r="P19" i="1"/>
  <c r="O19" i="1"/>
  <c r="K19" i="1"/>
  <c r="Q74" i="1"/>
  <c r="M21" i="1"/>
  <c r="E19" i="1"/>
  <c r="J56" i="1"/>
  <c r="P56" i="1"/>
  <c r="H56" i="1"/>
  <c r="N56" i="1"/>
  <c r="F56" i="1"/>
  <c r="M56" i="1"/>
  <c r="I56" i="1"/>
  <c r="Q64" i="1"/>
  <c r="Q54" i="1"/>
  <c r="Q48" i="1"/>
  <c r="Q52" i="1"/>
  <c r="I46" i="1"/>
  <c r="Q60" i="1"/>
  <c r="Z61" i="1" s="1"/>
  <c r="L19" i="1"/>
  <c r="Q78" i="1"/>
  <c r="G56" i="1"/>
  <c r="Q37" i="1"/>
  <c r="Q35" i="1"/>
  <c r="Z36" i="1" s="1"/>
  <c r="Q89" i="1"/>
  <c r="Q28" i="1"/>
  <c r="K56" i="1"/>
  <c r="C40" i="1"/>
  <c r="U40" i="1" s="1"/>
  <c r="AA40" i="1" s="1"/>
  <c r="Q87" i="1"/>
  <c r="Q12" i="1"/>
  <c r="O56" i="1"/>
  <c r="F19" i="1"/>
  <c r="G21" i="1"/>
  <c r="C32" i="1"/>
  <c r="K21" i="1"/>
  <c r="L21" i="1"/>
  <c r="E56" i="1"/>
  <c r="C8" i="3" l="1"/>
  <c r="C8" i="4"/>
  <c r="E8" i="3"/>
  <c r="G8" i="3"/>
  <c r="E11" i="2"/>
  <c r="E12" i="2"/>
  <c r="AA68" i="1"/>
  <c r="AB86" i="1"/>
  <c r="AA26" i="1"/>
  <c r="AA23" i="1"/>
  <c r="AA67" i="1"/>
  <c r="AB67" i="1"/>
  <c r="AB22" i="1"/>
  <c r="AB50" i="1"/>
  <c r="AA22" i="1"/>
  <c r="AB68" i="1"/>
  <c r="AA86" i="1"/>
  <c r="AA84" i="1"/>
  <c r="AB65" i="1"/>
  <c r="AA66" i="1"/>
  <c r="AA71" i="1"/>
  <c r="AB90" i="1"/>
  <c r="AA85" i="1"/>
  <c r="AB24" i="1"/>
  <c r="AA49" i="1"/>
  <c r="AA50" i="1"/>
  <c r="AB82" i="1"/>
  <c r="AA70" i="1"/>
  <c r="AA81" i="1"/>
  <c r="AA91" i="1"/>
  <c r="AA82" i="1"/>
  <c r="AB84" i="1"/>
  <c r="V61" i="1"/>
  <c r="AB60" i="1"/>
  <c r="AB61" i="1" s="1"/>
  <c r="AA24" i="1"/>
  <c r="AA94" i="1"/>
  <c r="AB49" i="1"/>
  <c r="AB71" i="1"/>
  <c r="AA51" i="1"/>
  <c r="AA65" i="1"/>
  <c r="AB85" i="1"/>
  <c r="AB92" i="1"/>
  <c r="AB81" i="1"/>
  <c r="AB70" i="1"/>
  <c r="AA83" i="1"/>
  <c r="AA69" i="1"/>
  <c r="U53" i="1"/>
  <c r="AA52" i="1"/>
  <c r="V53" i="1"/>
  <c r="AB52" i="1"/>
  <c r="AB69" i="1"/>
  <c r="AA92" i="1"/>
  <c r="AB91" i="1"/>
  <c r="AB93" i="1"/>
  <c r="AA61" i="1"/>
  <c r="AA25" i="1"/>
  <c r="AB94" i="1"/>
  <c r="AB83" i="1"/>
  <c r="AA93" i="1"/>
  <c r="AA90" i="1"/>
  <c r="AB66" i="1"/>
  <c r="V36" i="1"/>
  <c r="AB35" i="1"/>
  <c r="AB36" i="1" s="1"/>
  <c r="AA16" i="1"/>
  <c r="V27" i="1"/>
  <c r="AB26" i="1"/>
  <c r="AB25" i="1"/>
  <c r="AB16" i="1"/>
  <c r="AB15" i="1"/>
  <c r="AA13" i="1"/>
  <c r="AB13" i="1"/>
  <c r="AA15" i="1"/>
  <c r="AB14" i="1"/>
  <c r="Z18" i="1"/>
  <c r="Z72" i="1"/>
  <c r="E13" i="2" s="1"/>
  <c r="U27" i="1"/>
  <c r="Z53" i="1"/>
  <c r="U61" i="1"/>
  <c r="Z87" i="1"/>
  <c r="E14" i="2" s="1"/>
  <c r="Z27" i="1"/>
  <c r="U32" i="1"/>
  <c r="U44" i="1"/>
  <c r="AA44" i="1" s="1"/>
  <c r="U17" i="1"/>
  <c r="V17" i="1"/>
  <c r="V44" i="1"/>
  <c r="L30" i="1"/>
  <c r="G30" i="1"/>
  <c r="Q56" i="1"/>
  <c r="J30" i="1"/>
  <c r="N30" i="1"/>
  <c r="E30" i="1"/>
  <c r="H30" i="1"/>
  <c r="Q19" i="1"/>
  <c r="Q21" i="1"/>
  <c r="I30" i="1"/>
  <c r="C41" i="1"/>
  <c r="M30" i="1"/>
  <c r="F30" i="1"/>
  <c r="P30" i="1"/>
  <c r="K30" i="1"/>
  <c r="O30" i="1"/>
  <c r="Q46" i="1"/>
  <c r="C12" i="3" l="1"/>
  <c r="C12" i="4"/>
  <c r="C10" i="3"/>
  <c r="C10" i="4"/>
  <c r="C9" i="3"/>
  <c r="G9" i="3" s="1"/>
  <c r="C9" i="4"/>
  <c r="G8" i="4"/>
  <c r="E8" i="4"/>
  <c r="C11" i="3"/>
  <c r="C11" i="4"/>
  <c r="I8" i="3"/>
  <c r="K8" i="3" s="1"/>
  <c r="E11" i="3"/>
  <c r="G11" i="3"/>
  <c r="E10" i="3"/>
  <c r="G10" i="3"/>
  <c r="E9" i="3"/>
  <c r="G12" i="3"/>
  <c r="E12" i="3"/>
  <c r="AA27" i="1"/>
  <c r="AB53" i="1"/>
  <c r="AB72" i="1"/>
  <c r="AB87" i="1"/>
  <c r="AA53" i="1"/>
  <c r="AA72" i="1"/>
  <c r="AB27" i="1"/>
  <c r="AB95" i="1"/>
  <c r="AA95" i="1"/>
  <c r="AA87" i="1"/>
  <c r="AC61" i="1"/>
  <c r="AD61" i="1" s="1"/>
  <c r="V45" i="1"/>
  <c r="AB44" i="1"/>
  <c r="AB45" i="1" s="1"/>
  <c r="U36" i="1"/>
  <c r="AA32" i="1"/>
  <c r="AA36" i="1" s="1"/>
  <c r="AC36" i="1" s="1"/>
  <c r="AD36" i="1" s="1"/>
  <c r="U18" i="1"/>
  <c r="AA17" i="1"/>
  <c r="AA18" i="1" s="1"/>
  <c r="V18" i="1"/>
  <c r="AB17" i="1"/>
  <c r="AB18" i="1" s="1"/>
  <c r="U103" i="1"/>
  <c r="V103" i="1"/>
  <c r="U41" i="1"/>
  <c r="O39" i="1"/>
  <c r="J39" i="1"/>
  <c r="F39" i="1"/>
  <c r="M39" i="1"/>
  <c r="Q30" i="1"/>
  <c r="L39" i="1"/>
  <c r="N39" i="1"/>
  <c r="K39" i="1"/>
  <c r="P39" i="1"/>
  <c r="E39" i="1"/>
  <c r="I39" i="1"/>
  <c r="H39" i="1"/>
  <c r="G39" i="1"/>
  <c r="I8" i="4" l="1"/>
  <c r="K8" i="4" s="1"/>
  <c r="G9" i="4"/>
  <c r="I9" i="4" s="1"/>
  <c r="K9" i="4" s="1"/>
  <c r="E9" i="4"/>
  <c r="G10" i="4"/>
  <c r="E10" i="4"/>
  <c r="G11" i="4"/>
  <c r="I11" i="4" s="1"/>
  <c r="K11" i="4" s="1"/>
  <c r="E11" i="4"/>
  <c r="E12" i="4"/>
  <c r="G12" i="4"/>
  <c r="I9" i="3"/>
  <c r="K9" i="3" s="1"/>
  <c r="I10" i="3"/>
  <c r="K10" i="3" s="1"/>
  <c r="I11" i="3"/>
  <c r="K11" i="3" s="1"/>
  <c r="I12" i="3"/>
  <c r="K12" i="3" s="1"/>
  <c r="AC53" i="1"/>
  <c r="AD53" i="1" s="1"/>
  <c r="AC27" i="1"/>
  <c r="AD27" i="1" s="1"/>
  <c r="AC72" i="1"/>
  <c r="AD72" i="1" s="1"/>
  <c r="AC87" i="1"/>
  <c r="AD87" i="1" s="1"/>
  <c r="AC18" i="1"/>
  <c r="AD18" i="1" s="1"/>
  <c r="V102" i="1"/>
  <c r="V104" i="1" s="1"/>
  <c r="U45" i="1"/>
  <c r="U102" i="1" s="1"/>
  <c r="U104" i="1" s="1"/>
  <c r="AA41" i="1"/>
  <c r="AA45" i="1" s="1"/>
  <c r="AC45" i="1" s="1"/>
  <c r="AD45" i="1" s="1"/>
  <c r="Q39" i="1"/>
  <c r="I10" i="4" l="1"/>
  <c r="K10" i="4" s="1"/>
  <c r="I12" i="4"/>
  <c r="K12" i="4" s="1"/>
</calcChain>
</file>

<file path=xl/sharedStrings.xml><?xml version="1.0" encoding="utf-8"?>
<sst xmlns="http://schemas.openxmlformats.org/spreadsheetml/2006/main" count="468" uniqueCount="128">
  <si>
    <t>ATMOS ENERGY CORPORATION - KENTUCKY</t>
  </si>
  <si>
    <t>BILL FREQUENCY WITH KNOWN &amp; MEASURABLE ADJUSTMENTS</t>
  </si>
  <si>
    <t>Line</t>
  </si>
  <si>
    <t>Total</t>
  </si>
  <si>
    <t>Current</t>
  </si>
  <si>
    <t>Proposed</t>
  </si>
  <si>
    <t>No.</t>
  </si>
  <si>
    <t>Class of Customers</t>
  </si>
  <si>
    <t>Rate</t>
  </si>
  <si>
    <t>Billing Units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</si>
  <si>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</si>
  <si>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</si>
  <si>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</si>
  <si>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</si>
  <si>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</si>
  <si>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</si>
  <si>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</si>
  <si>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</si>
  <si>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</si>
  <si>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</si>
  <si>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</si>
  <si>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</si>
  <si>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</si>
  <si>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</si>
  <si>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RESIDENTIAL (Rate G-1)</t>
  </si>
  <si>
    <t>FIRM BILLS</t>
  </si>
  <si>
    <t>Sales: 1-300</t>
  </si>
  <si>
    <t>Sales: 301-15000</t>
  </si>
  <si>
    <t>Sales: Over 15000</t>
  </si>
  <si>
    <t>CLASS TOTAL (Mcf/month)</t>
  </si>
  <si>
    <t>Gas Charge per Mcf</t>
  </si>
  <si>
    <t>Gas Costs</t>
  </si>
  <si>
    <t>FIRM COMMERCIAL (Rate G-1)</t>
  </si>
  <si>
    <t>FIRM INDUSTRIAL (Rate G-1)</t>
  </si>
  <si>
    <t>FIRM PUBLIC AUTHORITY (Rate G-1)</t>
  </si>
  <si>
    <t>INTERRUPTIBLE COMMERCIAL (G-2)</t>
  </si>
  <si>
    <t>INT BILLS</t>
  </si>
  <si>
    <t>Sales: 1-15000</t>
  </si>
  <si>
    <t>INTERRUPTIBLE INDUSTRIAL (G-2)</t>
  </si>
  <si>
    <t>TRANSPORTATION (T-4)</t>
  </si>
  <si>
    <t>TRANSPORTATION BILLS</t>
  </si>
  <si>
    <t>Trans Admin Fee</t>
  </si>
  <si>
    <t>EFM Fee</t>
  </si>
  <si>
    <t>Parking Fee</t>
  </si>
  <si>
    <t>Firm Transport: 1-300</t>
  </si>
  <si>
    <t>Firm Transport: 301-15000</t>
  </si>
  <si>
    <t>Firm Transport: Over 1500</t>
  </si>
  <si>
    <t>ECONOMIC DEV RIDER (EDR)</t>
  </si>
  <si>
    <t>Firm Transport: Over 15000</t>
  </si>
  <si>
    <t>TRANSPORTATION (T-3)</t>
  </si>
  <si>
    <t>Interrupt Transport:  1-15000</t>
  </si>
  <si>
    <t>Interrupt Transport:  Over 15000</t>
  </si>
  <si>
    <t>SPECIAL CONTRACTS</t>
  </si>
  <si>
    <t>Transported Volumes</t>
  </si>
  <si>
    <t>Various</t>
  </si>
  <si>
    <t>Charges for Transport Volumes</t>
  </si>
  <si>
    <t>Service Charges</t>
  </si>
  <si>
    <t>Late Payment Fees</t>
  </si>
  <si>
    <t>TOTAL GROSS PROFIT</t>
  </si>
  <si>
    <t>TOTAL REVENUE</t>
  </si>
  <si>
    <t>CURRENT &amp; PROPOSED RATES</t>
  </si>
  <si>
    <t>Proposed Rates:</t>
  </si>
  <si>
    <t>Dist Chrg - Block 1</t>
  </si>
  <si>
    <t>Dist Chrg - Block 2</t>
  </si>
  <si>
    <t>Dist Chrg - Block 3</t>
  </si>
  <si>
    <t>Gas Cost</t>
  </si>
  <si>
    <t>Customer Charge</t>
  </si>
  <si>
    <t>Average</t>
  </si>
  <si>
    <t>Monthly</t>
  </si>
  <si>
    <t>Customers</t>
  </si>
  <si>
    <t>Trans Charge - Block 1</t>
  </si>
  <si>
    <t>Trans Charge - Block 2</t>
  </si>
  <si>
    <t>Trans Charge - Block 3</t>
  </si>
  <si>
    <t>Trans Charge</t>
  </si>
  <si>
    <t xml:space="preserve">Average </t>
  </si>
  <si>
    <t xml:space="preserve">Increase in </t>
  </si>
  <si>
    <t xml:space="preserve">Monthly </t>
  </si>
  <si>
    <t>Monthly Bill</t>
  </si>
  <si>
    <t>Usage</t>
  </si>
  <si>
    <t>(Present</t>
  </si>
  <si>
    <t>(Proposed</t>
  </si>
  <si>
    <t>(Mcf)</t>
  </si>
  <si>
    <t>Rates)</t>
  </si>
  <si>
    <t>Bill ($)</t>
  </si>
  <si>
    <t>(%)</t>
  </si>
  <si>
    <t>Present Rates:</t>
  </si>
  <si>
    <t>G-1 Firm Services - Residential</t>
  </si>
  <si>
    <t>G-1 Firm Services - Non-Residential</t>
  </si>
  <si>
    <t>G-2 Interruptible Sales</t>
  </si>
  <si>
    <t>T-4 Firm Transportation</t>
  </si>
  <si>
    <t>T-3 Interruptible Transportation</t>
  </si>
  <si>
    <t>Customer Class</t>
  </si>
  <si>
    <t>Detail Customer Class Calculations</t>
  </si>
  <si>
    <t>Increase</t>
  </si>
  <si>
    <t>Increase Pctg.</t>
  </si>
  <si>
    <t>CASE NO. 2021-0214</t>
  </si>
  <si>
    <t>TEST YEAR ENDING DEC, 31 2022</t>
  </si>
  <si>
    <t>Tariff-Level Calculations</t>
  </si>
  <si>
    <t>OTHER REVENUE (Current)</t>
  </si>
  <si>
    <t>OTHER REVENUE (Proposed)</t>
  </si>
  <si>
    <t>Present</t>
  </si>
  <si>
    <t>Customer Class Volumetric Rate</t>
  </si>
  <si>
    <t>Customer Class Base Rate</t>
  </si>
  <si>
    <t>Block 1</t>
  </si>
  <si>
    <t>Block 2</t>
  </si>
  <si>
    <t>Block 3</t>
  </si>
  <si>
    <t>na</t>
  </si>
  <si>
    <t>Other Fees</t>
  </si>
  <si>
    <t>Detail for Notice Table</t>
  </si>
  <si>
    <t>Detail for Notice Rates</t>
  </si>
  <si>
    <t>Customer Class Gas Cost - From Latest Tariff</t>
  </si>
  <si>
    <t>Combined Volumetric for Notice</t>
  </si>
  <si>
    <t>Present Total</t>
  </si>
  <si>
    <t>Present Base</t>
  </si>
  <si>
    <t>Present PRP</t>
  </si>
  <si>
    <t>Proposed Excl. PRP</t>
  </si>
  <si>
    <t>Customer Class Gas Cost</t>
  </si>
  <si>
    <r>
      <t xml:space="preserve">Block 1 </t>
    </r>
    <r>
      <rPr>
        <sz val="8"/>
        <rFont val="Arial"/>
        <family val="2"/>
      </rPr>
      <t>(1-300)</t>
    </r>
  </si>
  <si>
    <r>
      <t xml:space="preserve">Block 2 </t>
    </r>
    <r>
      <rPr>
        <sz val="8"/>
        <rFont val="Arial"/>
        <family val="2"/>
      </rPr>
      <t>(301-15000)</t>
    </r>
  </si>
  <si>
    <r>
      <t xml:space="preserve">Block 3 </t>
    </r>
    <r>
      <rPr>
        <sz val="8"/>
        <rFont val="Arial"/>
        <family val="2"/>
      </rPr>
      <t>(Over 15000)</t>
    </r>
  </si>
  <si>
    <r>
      <t xml:space="preserve">Block 1 </t>
    </r>
    <r>
      <rPr>
        <sz val="8"/>
        <rFont val="Arial"/>
        <family val="2"/>
      </rPr>
      <t>(1-15000)</t>
    </r>
  </si>
  <si>
    <r>
      <t xml:space="preserve">Block 2 </t>
    </r>
    <r>
      <rPr>
        <sz val="8"/>
        <rFont val="Arial"/>
        <family val="2"/>
      </rPr>
      <t>(Over 15000)</t>
    </r>
  </si>
  <si>
    <t>Atmos Energy Corporation</t>
  </si>
  <si>
    <t>Case No. 2021-00214</t>
  </si>
  <si>
    <t>Rates - AS FILED</t>
  </si>
  <si>
    <t>Rates - REVISED</t>
  </si>
  <si>
    <r>
      <t xml:space="preserve">Average Monthly Bill Impacts -- Present v Proposed, No PRP or GCA -- </t>
    </r>
    <r>
      <rPr>
        <b/>
        <sz val="10"/>
        <color rgb="FFFF0000"/>
        <rFont val="Arial"/>
        <family val="2"/>
      </rPr>
      <t>REVISED RATES</t>
    </r>
  </si>
  <si>
    <r>
      <t xml:space="preserve">Average Monthly Bill Impacts -- Present v Proposed, No PRP or GCA -- </t>
    </r>
    <r>
      <rPr>
        <b/>
        <sz val="10"/>
        <color rgb="FFFF0000"/>
        <rFont val="Arial"/>
        <family val="2"/>
      </rPr>
      <t>RATES AS FILED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</si>
</sst>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"/>
    <numFmt numFmtId="167" formatCode="#,##0.0000_);\(#,##0.0000\)"/>
    <numFmt numFmtId="168" formatCode="0.0%"/>
    <numFmt numFmtId="169" formatCode="0.0000"/>
    <numFmt numFmtId="170" formatCode="_(&quot;$&quot;* #,##0_);_(&quot;$&quot;* \(#,##0\);_(&quot;$&quot;* &quot;-&quot;??_);_(@_)"/>
    <numFmt numFmtId="171" formatCode="_(* #,##0.0_);_(* \(#,##0.0\);_(* &quot;-&quot;??_);_(@_)"/>
    <numFmt numFmtId="172" formatCode="#,##0.0"/>
    <numFmt numFmtId="173" formatCode="#,##0.0000_);[Red]\(#,##0.0000\)"/>
    <numFmt numFmtId="174" formatCode="&quot;$&quot;#,##0.0000_);\(&quot;$&quot;#,##0.0000\)"/>
  </numFmts>
  <fonts count="12" x14ac:knownFonts="1">
    <font>
      <sz val="10"/>
      <name val="Arial"/>
      <family val="2"/>
    </font>
    <font>
      <sz val="12"/>
      <name val="Courier"/>
      <family val="3"/>
    </font>
    <font>
      <sz val="10"/>
      <name val="Arial Narrow"/>
      <family val="2"/>
    </font>
    <font>
      <sz val="10"/>
      <name val="Arial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sz val="10"/>
      <color theme="0"/>
      <name val="Arial Narrow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122">
    <xf numFmtId="0" fontId="0" fillId="0" borderId="0" xfId="0"/>
    <xf numFmtId="0" fontId="2" fillId="0" borderId="0" xfId="4" applyFont="1"/>
    <xf numFmtId="37" fontId="2" fillId="0" borderId="0" xfId="4" applyNumberFormat="1" applyFont="1"/>
    <xf numFmtId="0" fontId="2" fillId="0" borderId="0" xfId="0" applyFont="1"/>
    <xf numFmtId="0" fontId="4" fillId="0" borderId="0" xfId="4" applyFont="1"/>
    <xf numFmtId="37" fontId="5" fillId="0" borderId="0" xfId="4" applyNumberFormat="1" applyFont="1" applyAlignment="1">
      <alignment horizontal="right"/>
    </xf>
    <xf numFmtId="0" fontId="2" fillId="0" borderId="0" xfId="4" applyFont="1" applyAlignment="1">
      <alignment horizontal="centerContinuous"/>
    </xf>
    <xf numFmtId="0" fontId="2" fillId="0" borderId="0" xfId="4" applyFont="1" applyAlignment="1">
      <alignment horizontal="center"/>
    </xf>
    <xf numFmtId="37" fontId="2" fillId="0" borderId="0" xfId="4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4" applyFont="1" applyBorder="1"/>
    <xf numFmtId="0" fontId="2" fillId="0" borderId="1" xfId="4" applyFont="1" applyBorder="1" applyAlignment="1">
      <alignment horizontal="center"/>
    </xf>
    <xf numFmtId="164" fontId="2" fillId="0" borderId="1" xfId="4" applyNumberFormat="1" applyFont="1" applyBorder="1" applyAlignment="1">
      <alignment horizontal="center"/>
    </xf>
    <xf numFmtId="164" fontId="4" fillId="0" borderId="0" xfId="4" applyNumberFormat="1" applyFont="1" applyAlignment="1">
      <alignment horizontal="center"/>
    </xf>
    <xf numFmtId="0" fontId="2" fillId="0" borderId="0" xfId="4" quotePrefix="1" applyFont="1" applyAlignment="1">
      <alignment horizontal="center"/>
    </xf>
    <xf numFmtId="49" fontId="2" fillId="0" borderId="0" xfId="4" quotePrefix="1" applyNumberFormat="1" applyFont="1" applyAlignment="1">
      <alignment horizontal="center"/>
    </xf>
    <xf numFmtId="49" fontId="2" fillId="0" borderId="0" xfId="4" applyNumberFormat="1" applyFont="1" applyAlignment="1">
      <alignment horizontal="center"/>
    </xf>
    <xf numFmtId="165" fontId="2" fillId="0" borderId="0" xfId="1" applyNumberFormat="1" applyFont="1" applyFill="1" applyBorder="1"/>
    <xf numFmtId="165" fontId="2" fillId="0" borderId="0" xfId="1" applyNumberFormat="1" applyFont="1" applyBorder="1"/>
    <xf numFmtId="0" fontId="6" fillId="0" borderId="0" xfId="4" applyFont="1"/>
    <xf numFmtId="166" fontId="4" fillId="0" borderId="0" xfId="2" applyNumberFormat="1" applyFont="1" applyFill="1" applyBorder="1"/>
    <xf numFmtId="37" fontId="4" fillId="0" borderId="0" xfId="4" applyNumberFormat="1" applyFont="1" applyAlignment="1">
      <alignment horizontal="right"/>
    </xf>
    <xf numFmtId="7" fontId="2" fillId="0" borderId="0" xfId="4" applyNumberFormat="1" applyFont="1"/>
    <xf numFmtId="3" fontId="4" fillId="0" borderId="0" xfId="4" applyNumberFormat="1" applyFont="1"/>
    <xf numFmtId="167" fontId="2" fillId="0" borderId="0" xfId="4" applyNumberFormat="1" applyFont="1"/>
    <xf numFmtId="168" fontId="2" fillId="0" borderId="0" xfId="3" applyNumberFormat="1" applyFont="1"/>
    <xf numFmtId="0" fontId="2" fillId="0" borderId="2" xfId="4" applyFont="1" applyBorder="1"/>
    <xf numFmtId="37" fontId="2" fillId="0" borderId="2" xfId="4" applyNumberFormat="1" applyFont="1" applyBorder="1"/>
    <xf numFmtId="165" fontId="2" fillId="0" borderId="0" xfId="1" applyNumberFormat="1" applyFont="1" applyFill="1"/>
    <xf numFmtId="5" fontId="2" fillId="0" borderId="0" xfId="4" applyNumberFormat="1" applyFont="1"/>
    <xf numFmtId="5" fontId="4" fillId="0" borderId="0" xfId="4" applyNumberFormat="1" applyFont="1"/>
    <xf numFmtId="43" fontId="2" fillId="0" borderId="0" xfId="4" applyNumberFormat="1" applyFont="1"/>
    <xf numFmtId="165" fontId="7" fillId="0" borderId="0" xfId="1" applyNumberFormat="1" applyFont="1" applyFill="1"/>
    <xf numFmtId="169" fontId="2" fillId="0" borderId="0" xfId="4" applyNumberFormat="1" applyFont="1"/>
    <xf numFmtId="167" fontId="2" fillId="0" borderId="0" xfId="4" applyNumberFormat="1" applyFont="1" applyAlignment="1">
      <alignment horizontal="right"/>
    </xf>
    <xf numFmtId="170" fontId="2" fillId="0" borderId="4" xfId="0" applyNumberFormat="1" applyFont="1" applyBorder="1"/>
    <xf numFmtId="0" fontId="2" fillId="0" borderId="3" xfId="0" applyFont="1" applyBorder="1"/>
    <xf numFmtId="164" fontId="2" fillId="0" borderId="0" xfId="4" applyNumberFormat="1" applyFont="1" applyAlignment="1">
      <alignment horizontal="center"/>
    </xf>
    <xf numFmtId="166" fontId="2" fillId="0" borderId="0" xfId="2" applyNumberFormat="1" applyFont="1" applyFill="1" applyBorder="1"/>
    <xf numFmtId="3" fontId="2" fillId="0" borderId="0" xfId="4" applyNumberFormat="1" applyFont="1"/>
    <xf numFmtId="171" fontId="2" fillId="0" borderId="0" xfId="1" applyNumberFormat="1" applyFont="1" applyFill="1" applyAlignment="1">
      <alignment horizontal="center"/>
    </xf>
    <xf numFmtId="37" fontId="2" fillId="0" borderId="4" xfId="0" applyNumberFormat="1" applyFont="1" applyBorder="1" applyAlignment="1">
      <alignment horizontal="left" indent="1"/>
    </xf>
    <xf numFmtId="0" fontId="2" fillId="0" borderId="0" xfId="0" applyFont="1" applyBorder="1"/>
    <xf numFmtId="0" fontId="6" fillId="0" borderId="0" xfId="0" applyFont="1" applyBorder="1"/>
    <xf numFmtId="165" fontId="2" fillId="0" borderId="0" xfId="1" applyNumberFormat="1" applyFont="1" applyFill="1" applyBorder="1" applyAlignment="1">
      <alignment horizontal="center"/>
    </xf>
    <xf numFmtId="171" fontId="2" fillId="0" borderId="0" xfId="1" applyNumberFormat="1" applyFont="1" applyFill="1" applyBorder="1" applyAlignment="1">
      <alignment horizontal="center"/>
    </xf>
    <xf numFmtId="166" fontId="2" fillId="0" borderId="0" xfId="2" applyNumberFormat="1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72" fontId="2" fillId="0" borderId="0" xfId="1" applyNumberFormat="1" applyFont="1" applyAlignment="1">
      <alignment horizontal="center"/>
    </xf>
    <xf numFmtId="172" fontId="2" fillId="0" borderId="0" xfId="1" applyNumberFormat="1" applyFont="1" applyFill="1" applyBorder="1" applyAlignment="1">
      <alignment horizontal="center"/>
    </xf>
    <xf numFmtId="164" fontId="2" fillId="0" borderId="0" xfId="4" applyNumberFormat="1" applyFont="1" applyBorder="1" applyAlignment="1">
      <alignment horizontal="center"/>
    </xf>
    <xf numFmtId="170" fontId="2" fillId="0" borderId="0" xfId="0" applyNumberFormat="1" applyFont="1" applyBorder="1"/>
    <xf numFmtId="37" fontId="2" fillId="0" borderId="0" xfId="0" applyNumberFormat="1" applyFont="1" applyBorder="1"/>
    <xf numFmtId="44" fontId="2" fillId="0" borderId="4" xfId="2" applyFont="1" applyBorder="1"/>
    <xf numFmtId="170" fontId="2" fillId="0" borderId="2" xfId="2" applyNumberFormat="1" applyFont="1" applyBorder="1"/>
    <xf numFmtId="0" fontId="2" fillId="0" borderId="0" xfId="4" applyFont="1" applyBorder="1"/>
    <xf numFmtId="0" fontId="2" fillId="0" borderId="0" xfId="0" applyFont="1" applyBorder="1" applyAlignment="1">
      <alignment horizontal="center"/>
    </xf>
    <xf numFmtId="171" fontId="2" fillId="0" borderId="0" xfId="1" applyNumberFormat="1" applyFont="1" applyBorder="1" applyAlignment="1">
      <alignment horizontal="center"/>
    </xf>
    <xf numFmtId="0" fontId="2" fillId="0" borderId="0" xfId="4" applyFont="1" applyBorder="1" applyAlignment="1">
      <alignment horizontal="center"/>
    </xf>
    <xf numFmtId="49" fontId="2" fillId="0" borderId="0" xfId="4" applyNumberFormat="1" applyFont="1" applyBorder="1" applyAlignment="1">
      <alignment horizontal="center"/>
    </xf>
    <xf numFmtId="0" fontId="0" fillId="0" borderId="0" xfId="0" applyBorder="1"/>
    <xf numFmtId="170" fontId="2" fillId="0" borderId="0" xfId="2" applyNumberFormat="1" applyFont="1" applyBorder="1"/>
    <xf numFmtId="44" fontId="2" fillId="0" borderId="0" xfId="2" applyFont="1" applyBorder="1"/>
    <xf numFmtId="37" fontId="2" fillId="0" borderId="0" xfId="4" applyNumberFormat="1" applyFont="1" applyBorder="1"/>
    <xf numFmtId="37" fontId="2" fillId="0" borderId="0" xfId="0" applyNumberFormat="1" applyFont="1" applyBorder="1" applyAlignment="1">
      <alignment horizontal="center"/>
    </xf>
    <xf numFmtId="172" fontId="2" fillId="0" borderId="0" xfId="1" applyNumberFormat="1" applyFont="1" applyBorder="1" applyAlignment="1">
      <alignment horizontal="center"/>
    </xf>
    <xf numFmtId="43" fontId="2" fillId="0" borderId="0" xfId="1" applyFont="1" applyBorder="1"/>
    <xf numFmtId="3" fontId="2" fillId="0" borderId="0" xfId="4" applyNumberFormat="1" applyFont="1" applyBorder="1"/>
    <xf numFmtId="44" fontId="2" fillId="0" borderId="0" xfId="4" applyNumberFormat="1" applyFont="1" applyBorder="1"/>
    <xf numFmtId="5" fontId="2" fillId="0" borderId="0" xfId="4" applyNumberFormat="1" applyFont="1" applyBorder="1"/>
    <xf numFmtId="0" fontId="5" fillId="0" borderId="0" xfId="4" applyFont="1" applyBorder="1"/>
    <xf numFmtId="0" fontId="0" fillId="0" borderId="0" xfId="0" applyFont="1" applyBorder="1"/>
    <xf numFmtId="164" fontId="2" fillId="0" borderId="3" xfId="4" applyNumberFormat="1" applyFont="1" applyBorder="1" applyAlignment="1">
      <alignment horizontal="center"/>
    </xf>
    <xf numFmtId="171" fontId="2" fillId="0" borderId="3" xfId="1" applyNumberFormat="1" applyFont="1" applyFill="1" applyBorder="1" applyAlignment="1">
      <alignment horizontal="center"/>
    </xf>
    <xf numFmtId="0" fontId="6" fillId="0" borderId="0" xfId="0" applyFont="1"/>
    <xf numFmtId="0" fontId="2" fillId="0" borderId="0" xfId="4" applyFont="1" applyAlignment="1">
      <alignment horizontal="center"/>
    </xf>
    <xf numFmtId="0" fontId="0" fillId="0" borderId="0" xfId="0" applyBorder="1" applyAlignment="1">
      <alignment horizontal="center"/>
    </xf>
    <xf numFmtId="37" fontId="2" fillId="0" borderId="0" xfId="4" applyNumberFormat="1" applyFont="1" applyBorder="1" applyAlignment="1">
      <alignment horizontal="center"/>
    </xf>
    <xf numFmtId="3" fontId="2" fillId="0" borderId="0" xfId="4" applyNumberFormat="1" applyFont="1" applyBorder="1" applyAlignment="1">
      <alignment horizontal="center"/>
    </xf>
    <xf numFmtId="168" fontId="2" fillId="0" borderId="0" xfId="3" applyNumberFormat="1" applyFont="1" applyBorder="1" applyAlignment="1">
      <alignment horizontal="center"/>
    </xf>
    <xf numFmtId="5" fontId="2" fillId="0" borderId="0" xfId="4" applyNumberFormat="1" applyFont="1" applyBorder="1" applyAlignment="1">
      <alignment horizontal="center"/>
    </xf>
    <xf numFmtId="37" fontId="2" fillId="0" borderId="0" xfId="4" applyNumberFormat="1" applyFont="1" applyAlignment="1">
      <alignment horizontal="center"/>
    </xf>
    <xf numFmtId="170" fontId="2" fillId="0" borderId="0" xfId="2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/>
    <xf numFmtId="43" fontId="0" fillId="0" borderId="0" xfId="1" applyFont="1"/>
    <xf numFmtId="168" fontId="0" fillId="0" borderId="0" xfId="3" applyNumberFormat="1" applyFont="1"/>
    <xf numFmtId="7" fontId="0" fillId="0" borderId="0" xfId="0" applyNumberFormat="1"/>
    <xf numFmtId="173" fontId="0" fillId="0" borderId="0" xfId="0" applyNumberFormat="1"/>
    <xf numFmtId="40" fontId="0" fillId="0" borderId="0" xfId="0" applyNumberFormat="1"/>
    <xf numFmtId="0" fontId="0" fillId="0" borderId="0" xfId="0" applyAlignment="1"/>
    <xf numFmtId="0" fontId="9" fillId="0" borderId="0" xfId="0" applyFont="1" applyBorder="1" applyAlignment="1">
      <alignment horizontal="center"/>
    </xf>
    <xf numFmtId="174" fontId="0" fillId="0" borderId="0" xfId="0" applyNumberFormat="1" applyFill="1"/>
    <xf numFmtId="0" fontId="0" fillId="0" borderId="0" xfId="0" applyFill="1"/>
    <xf numFmtId="174" fontId="10" fillId="0" borderId="0" xfId="0" applyNumberFormat="1" applyFont="1"/>
    <xf numFmtId="0" fontId="10" fillId="0" borderId="0" xfId="0" applyFont="1"/>
    <xf numFmtId="40" fontId="10" fillId="0" borderId="0" xfId="0" applyNumberFormat="1" applyFont="1"/>
    <xf numFmtId="0" fontId="0" fillId="0" borderId="0" xfId="0" applyAlignment="1">
      <alignment horizontal="left"/>
    </xf>
    <xf numFmtId="0" fontId="0" fillId="0" borderId="0" xfId="0" applyFont="1"/>
    <xf numFmtId="7" fontId="2" fillId="0" borderId="0" xfId="5" applyNumberFormat="1" applyFont="1" applyFill="1"/>
    <xf numFmtId="0" fontId="0" fillId="0" borderId="0" xfId="0" applyFont="1" applyFill="1"/>
    <xf numFmtId="7" fontId="2" fillId="0" borderId="0" xfId="1" applyNumberFormat="1" applyFont="1" applyFill="1" applyProtection="1"/>
    <xf numFmtId="169" fontId="0" fillId="0" borderId="0" xfId="0" applyNumberFormat="1"/>
    <xf numFmtId="7" fontId="2" fillId="2" borderId="0" xfId="5" applyNumberFormat="1" applyFont="1" applyFill="1"/>
    <xf numFmtId="7" fontId="2" fillId="2" borderId="0" xfId="1" applyNumberFormat="1" applyFont="1" applyFill="1" applyProtection="1"/>
    <xf numFmtId="7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0" xfId="0" applyFill="1"/>
    <xf numFmtId="173" fontId="0" fillId="2" borderId="0" xfId="0" applyNumberFormat="1" applyFill="1"/>
    <xf numFmtId="174" fontId="0" fillId="0" borderId="0" xfId="0" applyNumberFormat="1" applyFont="1"/>
    <xf numFmtId="40" fontId="0" fillId="0" borderId="0" xfId="0" applyNumberFormat="1" applyFont="1"/>
    <xf numFmtId="174" fontId="0" fillId="2" borderId="0" xfId="0" applyNumberFormat="1" applyFont="1" applyFill="1"/>
    <xf numFmtId="0" fontId="2" fillId="0" borderId="0" xfId="4" applyFont="1" applyAlignment="1">
      <alignment horizontal="center"/>
    </xf>
    <xf numFmtId="7" fontId="0" fillId="3" borderId="0" xfId="0" applyNumberFormat="1" applyFill="1"/>
    <xf numFmtId="40" fontId="0" fillId="3" borderId="0" xfId="0" applyNumberFormat="1" applyFill="1"/>
    <xf numFmtId="173" fontId="0" fillId="3" borderId="0" xfId="0" applyNumberFormat="1" applyFill="1"/>
    <xf numFmtId="0" fontId="9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4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4" applyFont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_GenBillFrequency with Rate Design (Final)" xfId="5" xr:uid="{BB1A0C58-60D3-4047-9F9D-0B74AB14A5C5}"/>
    <cellStyle name="Normal_Kentucky - CCS98 as filed" xfId="4" xr:uid="{B4234945-77C2-4FCD-80CF-F4FF054C7907}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78E39-E243-4AC0-92BD-BE8977FEFC7F}">
  <sheetPr>
    <pageSetUpPr fitToPage="1"/>
  </sheetPr>
  <dimension ref="A1:V49"/>
  <sheetViews>
    <sheetView workbookViewId="0">
      <selection activeCell="A4" sqref="A4"/>
    </sheetView>
  </sheetViews>
  <sheetFormatPr defaultRowHeight="12.75" x14ac:dyDescent="0.2"/>
  <cols>
    <col min="1" max="1" width="30.7109375" bestFit="1" customWidth="1"/>
    <col min="2" max="2" width="1.7109375" customWidth="1"/>
    <col min="3" max="3" width="17.28515625" bestFit="1" customWidth="1"/>
    <col min="4" max="4" width="1.7109375" customWidth="1"/>
    <col min="5" max="5" width="12.28515625" bestFit="1" customWidth="1"/>
    <col min="6" max="6" width="1.7109375" customWidth="1"/>
    <col min="7" max="7" width="12.28515625" customWidth="1"/>
    <col min="8" max="8" width="1.7109375" customWidth="1"/>
    <col min="9" max="9" width="13.7109375" customWidth="1"/>
    <col min="10" max="10" width="1.7109375" customWidth="1"/>
    <col min="11" max="11" width="18.42578125" bestFit="1" customWidth="1"/>
    <col min="12" max="12" width="1.7109375" customWidth="1"/>
    <col min="14" max="14" width="1.7109375" customWidth="1"/>
    <col min="15" max="15" width="11" customWidth="1"/>
    <col min="16" max="16" width="2.5703125" customWidth="1"/>
    <col min="17" max="17" width="10.140625" customWidth="1"/>
  </cols>
  <sheetData>
    <row r="1" spans="1:16" x14ac:dyDescent="0.2">
      <c r="A1" s="99" t="s">
        <v>122</v>
      </c>
    </row>
    <row r="2" spans="1:16" x14ac:dyDescent="0.2">
      <c r="A2" s="99" t="s">
        <v>123</v>
      </c>
    </row>
    <row r="3" spans="1:16" ht="13.5" thickBot="1" x14ac:dyDescent="0.25">
      <c r="A3" s="117" t="s">
        <v>127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92"/>
    </row>
    <row r="4" spans="1:16" x14ac:dyDescent="0.2">
      <c r="A4" s="84"/>
      <c r="B4" s="84"/>
      <c r="C4" s="84" t="s">
        <v>74</v>
      </c>
      <c r="D4" s="84"/>
      <c r="E4" s="84" t="s">
        <v>67</v>
      </c>
      <c r="F4" s="84"/>
      <c r="G4" s="84" t="s">
        <v>74</v>
      </c>
      <c r="H4" s="84"/>
      <c r="I4" s="84" t="s">
        <v>75</v>
      </c>
      <c r="J4" s="84"/>
      <c r="K4" s="84" t="s">
        <v>75</v>
      </c>
      <c r="L4" s="84"/>
    </row>
    <row r="5" spans="1:16" x14ac:dyDescent="0.2">
      <c r="A5" s="84"/>
      <c r="B5" s="84"/>
      <c r="C5" s="84" t="s">
        <v>76</v>
      </c>
      <c r="D5" s="84"/>
      <c r="E5" s="84" t="s">
        <v>77</v>
      </c>
      <c r="F5" s="84"/>
      <c r="G5" s="84" t="s">
        <v>77</v>
      </c>
      <c r="H5" s="84"/>
      <c r="I5" s="84" t="s">
        <v>67</v>
      </c>
      <c r="J5" s="84"/>
      <c r="K5" s="84" t="s">
        <v>74</v>
      </c>
      <c r="L5" s="84"/>
    </row>
    <row r="6" spans="1:16" x14ac:dyDescent="0.2">
      <c r="A6" s="84"/>
      <c r="B6" s="84"/>
      <c r="C6" s="84" t="s">
        <v>78</v>
      </c>
      <c r="D6" s="84"/>
      <c r="E6" s="84" t="s">
        <v>79</v>
      </c>
      <c r="F6" s="84"/>
      <c r="G6" s="84" t="s">
        <v>80</v>
      </c>
      <c r="H6" s="84"/>
      <c r="I6" s="84" t="s">
        <v>76</v>
      </c>
      <c r="J6" s="84"/>
      <c r="K6" s="84" t="s">
        <v>77</v>
      </c>
      <c r="L6" s="84"/>
    </row>
    <row r="7" spans="1:16" x14ac:dyDescent="0.2">
      <c r="A7" s="84" t="s">
        <v>91</v>
      </c>
      <c r="B7" s="84"/>
      <c r="C7" s="84" t="s">
        <v>81</v>
      </c>
      <c r="D7" s="84"/>
      <c r="E7" s="84" t="s">
        <v>82</v>
      </c>
      <c r="F7" s="84"/>
      <c r="G7" s="84" t="s">
        <v>82</v>
      </c>
      <c r="H7" s="84"/>
      <c r="I7" s="84" t="s">
        <v>83</v>
      </c>
      <c r="J7" s="84"/>
      <c r="K7" s="84" t="s">
        <v>84</v>
      </c>
      <c r="L7" s="84"/>
    </row>
    <row r="8" spans="1:16" x14ac:dyDescent="0.2">
      <c r="A8" t="s">
        <v>86</v>
      </c>
      <c r="C8" s="85">
        <f>'Tariff-Level Calculations'!E10</f>
        <v>5.1897464102077624</v>
      </c>
      <c r="E8" s="86">
        <f>E16+($C8*(E23+I38))</f>
        <v>26.490393651342856</v>
      </c>
      <c r="F8" s="86"/>
      <c r="G8" s="86">
        <f>K16+($C8*(K23+M38))</f>
        <v>31.479286648638652</v>
      </c>
      <c r="H8" s="86"/>
      <c r="I8" s="86">
        <f>G8-E8</f>
        <v>4.9888929972957961</v>
      </c>
      <c r="K8" s="87">
        <f>I8/E8</f>
        <v>0.18832838284541303</v>
      </c>
      <c r="L8" s="87"/>
    </row>
    <row r="9" spans="1:16" x14ac:dyDescent="0.2">
      <c r="A9" t="s">
        <v>87</v>
      </c>
      <c r="C9" s="85">
        <f>'Tariff-Level Calculations'!E11</f>
        <v>27.525696234770194</v>
      </c>
      <c r="E9" s="86">
        <f>E17+($C9*(E26+I39))</f>
        <v>89.886852133274104</v>
      </c>
      <c r="F9" s="86"/>
      <c r="G9" s="86">
        <f>K17+($C9*(K26+M39))</f>
        <v>106.86688486267542</v>
      </c>
      <c r="H9" s="86"/>
      <c r="I9" s="86">
        <f>G9-E9</f>
        <v>16.980032729401316</v>
      </c>
      <c r="K9" s="87">
        <f>I9/E9</f>
        <v>0.18890452081051004</v>
      </c>
      <c r="L9" s="87"/>
    </row>
    <row r="10" spans="1:16" x14ac:dyDescent="0.2">
      <c r="A10" t="s">
        <v>88</v>
      </c>
      <c r="C10" s="85">
        <f>'Tariff-Level Calculations'!E12</f>
        <v>2745.0012567010303</v>
      </c>
      <c r="E10" s="86">
        <f>E18+($C10*(E29+I40))</f>
        <v>2720.7625464549478</v>
      </c>
      <c r="F10" s="86"/>
      <c r="G10" s="86">
        <f>K18+($C10*(K29+M40))</f>
        <v>3212.5607329493805</v>
      </c>
      <c r="H10" s="86"/>
      <c r="I10" s="86">
        <f>G10-E10</f>
        <v>491.79818649443268</v>
      </c>
      <c r="K10" s="87">
        <f>I10/E10</f>
        <v>0.18075748180789514</v>
      </c>
      <c r="L10" s="87"/>
    </row>
    <row r="11" spans="1:16" x14ac:dyDescent="0.2">
      <c r="A11" t="s">
        <v>89</v>
      </c>
      <c r="C11" s="85">
        <f>'Tariff-Level Calculations'!E13</f>
        <v>5162.0942807408537</v>
      </c>
      <c r="E11" s="86">
        <f>E19+I48+(300*E31)+((C11-300)*E32)</f>
        <v>5557.5639020935896</v>
      </c>
      <c r="F11" s="86"/>
      <c r="G11" s="86">
        <f>K19+M48+(300*K31)+((C11-300)*K32)</f>
        <v>6539.5420241002757</v>
      </c>
      <c r="H11" s="86"/>
      <c r="I11" s="86">
        <f>G11-E11</f>
        <v>981.97812200668614</v>
      </c>
      <c r="K11" s="87">
        <f>I11/E11</f>
        <v>0.17669218731551881</v>
      </c>
      <c r="L11" s="87"/>
    </row>
    <row r="12" spans="1:16" x14ac:dyDescent="0.2">
      <c r="A12" t="s">
        <v>90</v>
      </c>
      <c r="C12" s="85">
        <f>'Tariff-Level Calculations'!E14</f>
        <v>9956.8026914081147</v>
      </c>
      <c r="E12" s="86">
        <f>E20+I49+($C12*(E34))</f>
        <v>8776.0296011355367</v>
      </c>
      <c r="F12" s="86"/>
      <c r="G12" s="86">
        <f>K20+M49+($C12*(K34))</f>
        <v>10428.247385570598</v>
      </c>
      <c r="H12" s="86"/>
      <c r="I12" s="86">
        <f>G12-E12</f>
        <v>1652.2177844350608</v>
      </c>
      <c r="K12" s="87">
        <f>I12/E12</f>
        <v>0.18826483723588161</v>
      </c>
      <c r="L12" s="87"/>
    </row>
    <row r="14" spans="1:16" ht="13.5" thickBot="1" x14ac:dyDescent="0.25">
      <c r="A14" s="117" t="s">
        <v>124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92"/>
    </row>
    <row r="15" spans="1:16" x14ac:dyDescent="0.2">
      <c r="A15" s="84" t="s">
        <v>102</v>
      </c>
      <c r="E15" s="107" t="s">
        <v>113</v>
      </c>
      <c r="G15" s="84" t="s">
        <v>114</v>
      </c>
      <c r="I15" s="84" t="s">
        <v>112</v>
      </c>
      <c r="J15" s="84"/>
      <c r="K15" s="107" t="s">
        <v>115</v>
      </c>
      <c r="M15" s="84" t="s">
        <v>5</v>
      </c>
    </row>
    <row r="16" spans="1:16" x14ac:dyDescent="0.2">
      <c r="A16" t="s">
        <v>86</v>
      </c>
      <c r="E16" s="104">
        <v>19.3</v>
      </c>
      <c r="F16" s="101"/>
      <c r="G16" s="100">
        <v>1.38</v>
      </c>
      <c r="I16" s="88">
        <f>'Test Year Monthly'!C13</f>
        <v>20.68</v>
      </c>
      <c r="J16" s="88"/>
      <c r="K16" s="106">
        <f>M16-G16</f>
        <v>23.02</v>
      </c>
      <c r="M16" s="88">
        <f>'Test Year Monthly'!D13</f>
        <v>24.4</v>
      </c>
    </row>
    <row r="17" spans="1:22" x14ac:dyDescent="0.2">
      <c r="A17" t="s">
        <v>87</v>
      </c>
      <c r="E17" s="105">
        <v>51.75</v>
      </c>
      <c r="F17" s="101"/>
      <c r="G17" s="102">
        <v>4.5</v>
      </c>
      <c r="I17" s="90">
        <f>'Test Year Monthly'!C22</f>
        <v>56.25</v>
      </c>
      <c r="J17" s="90"/>
      <c r="K17" s="106">
        <f t="shared" ref="K17:K20" si="0">M17-G17</f>
        <v>62</v>
      </c>
      <c r="L17" s="90"/>
      <c r="M17" s="90">
        <f>'Test Year Monthly'!D22</f>
        <v>66.5</v>
      </c>
    </row>
    <row r="18" spans="1:22" x14ac:dyDescent="0.2">
      <c r="A18" t="s">
        <v>88</v>
      </c>
      <c r="E18" s="105">
        <v>435</v>
      </c>
      <c r="F18" s="101"/>
      <c r="G18" s="102">
        <v>20.56</v>
      </c>
      <c r="I18" s="90">
        <f>'Test Year Monthly'!C49</f>
        <v>455.56</v>
      </c>
      <c r="J18" s="90"/>
      <c r="K18" s="106">
        <f t="shared" si="0"/>
        <v>519.44000000000005</v>
      </c>
      <c r="L18" s="90"/>
      <c r="M18" s="90">
        <f>'Test Year Monthly'!D49</f>
        <v>540</v>
      </c>
    </row>
    <row r="19" spans="1:22" x14ac:dyDescent="0.2">
      <c r="A19" t="s">
        <v>89</v>
      </c>
      <c r="E19" s="105">
        <v>435</v>
      </c>
      <c r="F19" s="101"/>
      <c r="G19" s="102">
        <v>23.2</v>
      </c>
      <c r="I19" s="90">
        <f>'Test Year Monthly'!C65</f>
        <v>458.2</v>
      </c>
      <c r="J19" s="90"/>
      <c r="K19" s="106">
        <f t="shared" si="0"/>
        <v>516.79999999999995</v>
      </c>
      <c r="L19" s="90"/>
      <c r="M19" s="90">
        <f>'Test Year Monthly'!D65</f>
        <v>540</v>
      </c>
    </row>
    <row r="20" spans="1:22" x14ac:dyDescent="0.2">
      <c r="A20" t="s">
        <v>90</v>
      </c>
      <c r="E20" s="105">
        <v>435</v>
      </c>
      <c r="F20" s="101"/>
      <c r="G20" s="102">
        <v>22.97</v>
      </c>
      <c r="I20" s="90">
        <f>'Test Year Monthly'!C81</f>
        <v>457.97</v>
      </c>
      <c r="J20" s="90"/>
      <c r="K20" s="106">
        <f t="shared" si="0"/>
        <v>517.03</v>
      </c>
      <c r="L20" s="90"/>
      <c r="M20" s="90">
        <f>'Test Year Monthly'!D81</f>
        <v>540</v>
      </c>
    </row>
    <row r="22" spans="1:22" x14ac:dyDescent="0.2">
      <c r="A22" s="84" t="s">
        <v>101</v>
      </c>
      <c r="E22" s="107" t="s">
        <v>113</v>
      </c>
      <c r="G22" s="84" t="s">
        <v>114</v>
      </c>
      <c r="I22" s="84" t="s">
        <v>112</v>
      </c>
      <c r="K22" s="107" t="s">
        <v>115</v>
      </c>
      <c r="M22" s="84" t="s">
        <v>5</v>
      </c>
      <c r="V22" s="91"/>
    </row>
    <row r="23" spans="1:22" x14ac:dyDescent="0.2">
      <c r="A23" t="s">
        <v>86</v>
      </c>
      <c r="C23" t="s">
        <v>117</v>
      </c>
      <c r="E23" s="108">
        <v>1.3855</v>
      </c>
      <c r="G23" s="103">
        <v>0</v>
      </c>
      <c r="I23" s="89">
        <f>'Test Year Monthly'!C14</f>
        <v>1.3855</v>
      </c>
      <c r="J23" s="89"/>
      <c r="K23" s="109">
        <f>M23-G23</f>
        <v>1.63</v>
      </c>
      <c r="L23" s="89"/>
      <c r="M23" s="89">
        <f>'Test Year Monthly'!D14</f>
        <v>1.63</v>
      </c>
      <c r="V23" s="87"/>
    </row>
    <row r="24" spans="1:22" x14ac:dyDescent="0.2">
      <c r="C24" t="s">
        <v>118</v>
      </c>
      <c r="E24" s="108">
        <v>0.95779999999999998</v>
      </c>
      <c r="G24" s="103">
        <v>0</v>
      </c>
      <c r="I24" s="89">
        <f>'Test Year Monthly'!C15</f>
        <v>0.95779999999999998</v>
      </c>
      <c r="J24" s="89"/>
      <c r="K24" s="109">
        <f t="shared" ref="K24:K35" si="1">M24-G24</f>
        <v>1.1302000000000001</v>
      </c>
      <c r="L24" s="89"/>
      <c r="M24" s="89">
        <f>'Test Year Monthly'!D15</f>
        <v>1.1302000000000001</v>
      </c>
      <c r="V24" s="87"/>
    </row>
    <row r="25" spans="1:22" x14ac:dyDescent="0.2">
      <c r="C25" t="s">
        <v>119</v>
      </c>
      <c r="E25" s="108">
        <v>0.76509999999999989</v>
      </c>
      <c r="G25" s="103">
        <v>0</v>
      </c>
      <c r="I25" s="89">
        <f>'Test Year Monthly'!C16</f>
        <v>0.76509999999999989</v>
      </c>
      <c r="J25" s="89"/>
      <c r="K25" s="109">
        <f t="shared" si="1"/>
        <v>0.90280000000000005</v>
      </c>
      <c r="L25" s="89"/>
      <c r="M25" s="89">
        <f>'Test Year Monthly'!D16</f>
        <v>0.90280000000000005</v>
      </c>
      <c r="V25" s="87"/>
    </row>
    <row r="26" spans="1:22" x14ac:dyDescent="0.2">
      <c r="A26" t="s">
        <v>87</v>
      </c>
      <c r="C26" t="s">
        <v>117</v>
      </c>
      <c r="E26" s="108">
        <v>1.3855</v>
      </c>
      <c r="G26" s="103">
        <v>0</v>
      </c>
      <c r="I26" s="89">
        <f>'Test Year Monthly'!C23</f>
        <v>1.3855</v>
      </c>
      <c r="J26" s="89"/>
      <c r="K26" s="109">
        <f t="shared" si="1"/>
        <v>1.63</v>
      </c>
      <c r="L26" s="89"/>
      <c r="M26" s="89">
        <f>'Test Year Monthly'!D23</f>
        <v>1.63</v>
      </c>
      <c r="V26" s="87"/>
    </row>
    <row r="27" spans="1:22" x14ac:dyDescent="0.2">
      <c r="C27" t="s">
        <v>118</v>
      </c>
      <c r="E27" s="108">
        <v>0.95779999999999998</v>
      </c>
      <c r="G27" s="103">
        <v>0</v>
      </c>
      <c r="I27" s="89">
        <f>'Test Year Monthly'!C24</f>
        <v>0.95779999999999998</v>
      </c>
      <c r="J27" s="89"/>
      <c r="K27" s="109">
        <f t="shared" si="1"/>
        <v>1.1302000000000001</v>
      </c>
      <c r="L27" s="89"/>
      <c r="M27" s="89">
        <f>'Test Year Monthly'!D24</f>
        <v>1.1302000000000001</v>
      </c>
      <c r="V27" s="87"/>
    </row>
    <row r="28" spans="1:22" x14ac:dyDescent="0.2">
      <c r="C28" t="s">
        <v>119</v>
      </c>
      <c r="E28" s="108">
        <v>0.76509999999999989</v>
      </c>
      <c r="G28" s="103">
        <v>0</v>
      </c>
      <c r="I28" s="89">
        <f>'Test Year Monthly'!C25</f>
        <v>0.76509999999999989</v>
      </c>
      <c r="J28" s="89"/>
      <c r="K28" s="109">
        <f t="shared" si="1"/>
        <v>0.90280000000000005</v>
      </c>
      <c r="L28" s="89"/>
      <c r="M28" s="89">
        <f>'Test Year Monthly'!D25</f>
        <v>0.90280000000000005</v>
      </c>
      <c r="V28" s="87"/>
    </row>
    <row r="29" spans="1:22" x14ac:dyDescent="0.2">
      <c r="A29" t="s">
        <v>88</v>
      </c>
      <c r="C29" t="s">
        <v>120</v>
      </c>
      <c r="E29" s="108">
        <v>0.8327</v>
      </c>
      <c r="G29">
        <v>2.3900000000000001E-2</v>
      </c>
      <c r="I29" s="89">
        <f>'Test Year Monthly'!C50</f>
        <v>0.85660000000000003</v>
      </c>
      <c r="J29" s="89"/>
      <c r="K29" s="109">
        <f t="shared" si="1"/>
        <v>0.98109999999999986</v>
      </c>
      <c r="L29" s="89"/>
      <c r="M29" s="89">
        <f>'Test Year Monthly'!D50</f>
        <v>1.0049999999999999</v>
      </c>
      <c r="V29" s="87"/>
    </row>
    <row r="30" spans="1:22" x14ac:dyDescent="0.2">
      <c r="C30" t="s">
        <v>121</v>
      </c>
      <c r="E30" s="108">
        <v>0.63869999999999993</v>
      </c>
      <c r="G30">
        <v>1.83E-2</v>
      </c>
      <c r="I30" s="89">
        <f>'Test Year Monthly'!C51</f>
        <v>0.65699999999999992</v>
      </c>
      <c r="J30" s="89"/>
      <c r="K30" s="109">
        <f t="shared" si="1"/>
        <v>0.75700000000000001</v>
      </c>
      <c r="L30" s="89"/>
      <c r="M30" s="89">
        <f>'Test Year Monthly'!D51</f>
        <v>0.77529999999999999</v>
      </c>
      <c r="V30" s="87"/>
    </row>
    <row r="31" spans="1:22" x14ac:dyDescent="0.2">
      <c r="A31" t="s">
        <v>89</v>
      </c>
      <c r="C31" t="s">
        <v>117</v>
      </c>
      <c r="E31" s="108">
        <v>1.3855</v>
      </c>
      <c r="G31">
        <v>6.5299999999999997E-2</v>
      </c>
      <c r="I31" s="89">
        <f>'Test Year Monthly'!C69</f>
        <v>1.4507999999999999</v>
      </c>
      <c r="J31" s="89"/>
      <c r="K31" s="109">
        <f t="shared" si="1"/>
        <v>1.6147</v>
      </c>
      <c r="L31" s="89"/>
      <c r="M31" s="89">
        <f>'Test Year Monthly'!D69</f>
        <v>1.68</v>
      </c>
      <c r="V31" s="87"/>
    </row>
    <row r="32" spans="1:22" x14ac:dyDescent="0.2">
      <c r="C32" t="s">
        <v>118</v>
      </c>
      <c r="E32" s="108">
        <v>0.95779999999999998</v>
      </c>
      <c r="G32">
        <v>4.5199999999999997E-2</v>
      </c>
      <c r="I32" s="89">
        <f>'Test Year Monthly'!C70</f>
        <v>1.0029999999999999</v>
      </c>
      <c r="J32" s="89"/>
      <c r="K32" s="109">
        <f t="shared" si="1"/>
        <v>1.1288</v>
      </c>
      <c r="L32" s="89"/>
      <c r="M32" s="89">
        <f>'Test Year Monthly'!D70</f>
        <v>1.1739999999999999</v>
      </c>
      <c r="V32" s="87"/>
    </row>
    <row r="33" spans="1:22" x14ac:dyDescent="0.2">
      <c r="C33" t="s">
        <v>119</v>
      </c>
      <c r="E33" s="108">
        <v>0.76509999999999989</v>
      </c>
      <c r="G33">
        <v>3.61E-2</v>
      </c>
      <c r="I33" s="89">
        <f>'Test Year Monthly'!C71</f>
        <v>0.80119999999999991</v>
      </c>
      <c r="J33" s="89"/>
      <c r="K33" s="109">
        <f t="shared" si="1"/>
        <v>0.90289999999999992</v>
      </c>
      <c r="L33" s="89"/>
      <c r="M33" s="89">
        <f>'Test Year Monthly'!D71</f>
        <v>0.93899999999999995</v>
      </c>
      <c r="V33" s="87"/>
    </row>
    <row r="34" spans="1:22" x14ac:dyDescent="0.2">
      <c r="A34" t="s">
        <v>90</v>
      </c>
      <c r="C34" t="s">
        <v>120</v>
      </c>
      <c r="E34" s="108">
        <v>0.8327</v>
      </c>
      <c r="G34">
        <v>4.3299999999999998E-2</v>
      </c>
      <c r="I34" s="89">
        <f>'Test Year Monthly'!C85</f>
        <v>0.876</v>
      </c>
      <c r="J34" s="89"/>
      <c r="K34" s="109">
        <f t="shared" si="1"/>
        <v>0.99040000000000006</v>
      </c>
      <c r="L34" s="89"/>
      <c r="M34" s="89">
        <f>'Test Year Monthly'!D85</f>
        <v>1.0337000000000001</v>
      </c>
      <c r="V34" s="87"/>
    </row>
    <row r="35" spans="1:22" x14ac:dyDescent="0.2">
      <c r="C35" t="s">
        <v>121</v>
      </c>
      <c r="E35" s="108">
        <v>0.63869999999999993</v>
      </c>
      <c r="G35">
        <v>3.32E-2</v>
      </c>
      <c r="I35" s="89">
        <f>'Test Year Monthly'!C86</f>
        <v>0.67189999999999994</v>
      </c>
      <c r="J35" s="89"/>
      <c r="K35" s="109">
        <f t="shared" si="1"/>
        <v>0.75959999999999994</v>
      </c>
      <c r="L35" s="89"/>
      <c r="M35" s="89">
        <f>'Test Year Monthly'!D86</f>
        <v>0.79279999999999995</v>
      </c>
      <c r="V35" s="87"/>
    </row>
    <row r="36" spans="1:22" x14ac:dyDescent="0.2">
      <c r="K36" s="94"/>
    </row>
    <row r="37" spans="1:22" x14ac:dyDescent="0.2">
      <c r="A37" s="98" t="s">
        <v>116</v>
      </c>
      <c r="I37" s="84" t="s">
        <v>100</v>
      </c>
      <c r="M37" s="84" t="s">
        <v>5</v>
      </c>
    </row>
    <row r="38" spans="1:22" x14ac:dyDescent="0.2">
      <c r="A38" t="s">
        <v>86</v>
      </c>
      <c r="I38" s="112">
        <v>0</v>
      </c>
      <c r="J38" s="110"/>
      <c r="K38" s="110"/>
      <c r="L38" s="99"/>
      <c r="M38" s="112">
        <f>I38</f>
        <v>0</v>
      </c>
    </row>
    <row r="39" spans="1:22" x14ac:dyDescent="0.2">
      <c r="A39" t="s">
        <v>87</v>
      </c>
      <c r="I39" s="112">
        <v>0</v>
      </c>
      <c r="J39" s="110"/>
      <c r="K39" s="110"/>
      <c r="L39" s="111"/>
      <c r="M39" s="112">
        <f>I39</f>
        <v>0</v>
      </c>
    </row>
    <row r="40" spans="1:22" x14ac:dyDescent="0.2">
      <c r="A40" t="s">
        <v>88</v>
      </c>
      <c r="I40" s="112">
        <v>0</v>
      </c>
      <c r="J40" s="110"/>
      <c r="K40" s="110"/>
      <c r="L40" s="99"/>
      <c r="M40" s="112">
        <f>I40</f>
        <v>0</v>
      </c>
    </row>
    <row r="41" spans="1:22" x14ac:dyDescent="0.2">
      <c r="A41" t="s">
        <v>89</v>
      </c>
      <c r="I41" s="84" t="s">
        <v>106</v>
      </c>
      <c r="J41" s="84"/>
      <c r="K41" s="84"/>
      <c r="M41" s="84" t="s">
        <v>106</v>
      </c>
    </row>
    <row r="42" spans="1:22" x14ac:dyDescent="0.2">
      <c r="A42" t="s">
        <v>90</v>
      </c>
      <c r="I42" s="84" t="s">
        <v>106</v>
      </c>
      <c r="J42" s="84"/>
      <c r="K42" s="84"/>
      <c r="M42" s="84" t="s">
        <v>106</v>
      </c>
    </row>
    <row r="44" spans="1:22" x14ac:dyDescent="0.2">
      <c r="A44" s="84" t="s">
        <v>107</v>
      </c>
    </row>
    <row r="45" spans="1:22" x14ac:dyDescent="0.2">
      <c r="A45" t="s">
        <v>86</v>
      </c>
    </row>
    <row r="46" spans="1:22" x14ac:dyDescent="0.2">
      <c r="A46" t="s">
        <v>87</v>
      </c>
    </row>
    <row r="47" spans="1:22" x14ac:dyDescent="0.2">
      <c r="A47" t="s">
        <v>88</v>
      </c>
    </row>
    <row r="48" spans="1:22" x14ac:dyDescent="0.2">
      <c r="A48" t="s">
        <v>89</v>
      </c>
      <c r="I48" s="88">
        <v>50</v>
      </c>
      <c r="M48" s="88">
        <v>50</v>
      </c>
    </row>
    <row r="49" spans="1:13" x14ac:dyDescent="0.2">
      <c r="A49" t="s">
        <v>90</v>
      </c>
      <c r="I49" s="88">
        <v>50</v>
      </c>
      <c r="M49" s="88">
        <v>50</v>
      </c>
    </row>
  </sheetData>
  <mergeCells count="2">
    <mergeCell ref="A3:K3"/>
    <mergeCell ref="A14:O14"/>
  </mergeCells>
  <printOptions horizontalCentered="1"/>
  <pageMargins left="0.45" right="0.45" top="0.75" bottom="0.75" header="0.3" footer="0.3"/>
  <pageSetup scale="83" orientation="landscape" r:id="rId1"/>
  <headerFooter>
    <oddHeader>&amp;RCASE NO. 2021-00214
ATTACHMENT 1
TO STAFF DR NO. 2-55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BB9FC-F0AF-46DD-85FB-884C6AB974D5}">
  <sheetPr>
    <pageSetUpPr fitToPage="1"/>
  </sheetPr>
  <dimension ref="A1:V49"/>
  <sheetViews>
    <sheetView tabSelected="1" workbookViewId="0">
      <selection activeCell="K12" sqref="K12"/>
    </sheetView>
  </sheetViews>
  <sheetFormatPr defaultRowHeight="12.75" x14ac:dyDescent="0.2"/>
  <cols>
    <col min="1" max="1" width="30.7109375" bestFit="1" customWidth="1"/>
    <col min="2" max="2" width="1.7109375" customWidth="1"/>
    <col min="3" max="3" width="17.28515625" bestFit="1" customWidth="1"/>
    <col min="4" max="4" width="1.7109375" customWidth="1"/>
    <col min="5" max="5" width="12.28515625" bestFit="1" customWidth="1"/>
    <col min="6" max="6" width="1.7109375" customWidth="1"/>
    <col min="7" max="7" width="12.28515625" customWidth="1"/>
    <col min="8" max="8" width="1.7109375" customWidth="1"/>
    <col min="9" max="9" width="13.7109375" customWidth="1"/>
    <col min="10" max="10" width="1.7109375" customWidth="1"/>
    <col min="11" max="11" width="18.42578125" bestFit="1" customWidth="1"/>
    <col min="12" max="12" width="1.7109375" customWidth="1"/>
    <col min="14" max="14" width="1.7109375" customWidth="1"/>
    <col min="15" max="15" width="11" customWidth="1"/>
    <col min="16" max="16" width="2.5703125" customWidth="1"/>
    <col min="17" max="17" width="10.140625" customWidth="1"/>
  </cols>
  <sheetData>
    <row r="1" spans="1:16" x14ac:dyDescent="0.2">
      <c r="A1" s="99" t="s">
        <v>122</v>
      </c>
    </row>
    <row r="2" spans="1:16" x14ac:dyDescent="0.2">
      <c r="A2" s="99" t="s">
        <v>123</v>
      </c>
    </row>
    <row r="3" spans="1:16" ht="13.5" thickBot="1" x14ac:dyDescent="0.25">
      <c r="A3" s="117" t="s">
        <v>126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92"/>
    </row>
    <row r="4" spans="1:16" x14ac:dyDescent="0.2">
      <c r="A4" s="84"/>
      <c r="B4" s="84"/>
      <c r="C4" s="84" t="s">
        <v>74</v>
      </c>
      <c r="D4" s="84"/>
      <c r="E4" s="84" t="s">
        <v>67</v>
      </c>
      <c r="F4" s="84"/>
      <c r="G4" s="84" t="s">
        <v>74</v>
      </c>
      <c r="H4" s="84"/>
      <c r="I4" s="84" t="s">
        <v>75</v>
      </c>
      <c r="J4" s="84"/>
      <c r="K4" s="84" t="s">
        <v>75</v>
      </c>
      <c r="L4" s="84"/>
    </row>
    <row r="5" spans="1:16" x14ac:dyDescent="0.2">
      <c r="A5" s="84"/>
      <c r="B5" s="84"/>
      <c r="C5" s="84" t="s">
        <v>76</v>
      </c>
      <c r="D5" s="84"/>
      <c r="E5" s="84" t="s">
        <v>77</v>
      </c>
      <c r="F5" s="84"/>
      <c r="G5" s="84" t="s">
        <v>77</v>
      </c>
      <c r="H5" s="84"/>
      <c r="I5" s="84" t="s">
        <v>67</v>
      </c>
      <c r="J5" s="84"/>
      <c r="K5" s="84" t="s">
        <v>74</v>
      </c>
      <c r="L5" s="84"/>
    </row>
    <row r="6" spans="1:16" x14ac:dyDescent="0.2">
      <c r="A6" s="84"/>
      <c r="B6" s="84"/>
      <c r="C6" s="84" t="s">
        <v>78</v>
      </c>
      <c r="D6" s="84"/>
      <c r="E6" s="84" t="s">
        <v>79</v>
      </c>
      <c r="F6" s="84"/>
      <c r="G6" s="84" t="s">
        <v>80</v>
      </c>
      <c r="H6" s="84"/>
      <c r="I6" s="84" t="s">
        <v>76</v>
      </c>
      <c r="J6" s="84"/>
      <c r="K6" s="84" t="s">
        <v>77</v>
      </c>
      <c r="L6" s="84"/>
    </row>
    <row r="7" spans="1:16" x14ac:dyDescent="0.2">
      <c r="A7" s="84" t="s">
        <v>91</v>
      </c>
      <c r="B7" s="84"/>
      <c r="C7" s="84" t="s">
        <v>81</v>
      </c>
      <c r="D7" s="84"/>
      <c r="E7" s="84" t="s">
        <v>82</v>
      </c>
      <c r="F7" s="84"/>
      <c r="G7" s="84" t="s">
        <v>82</v>
      </c>
      <c r="H7" s="84"/>
      <c r="I7" s="84" t="s">
        <v>83</v>
      </c>
      <c r="J7" s="84"/>
      <c r="K7" s="84" t="s">
        <v>84</v>
      </c>
      <c r="L7" s="84"/>
    </row>
    <row r="8" spans="1:16" x14ac:dyDescent="0.2">
      <c r="A8" t="s">
        <v>86</v>
      </c>
      <c r="C8" s="85">
        <f>'Tariff-Level Calculations'!E10</f>
        <v>5.1897464102077624</v>
      </c>
      <c r="E8" s="86">
        <f>E16+($C8*(E23+I38))</f>
        <v>26.490393651342856</v>
      </c>
      <c r="F8" s="86"/>
      <c r="G8" s="86">
        <f>K16+($C8*(K23+M38))</f>
        <v>31.157389184536576</v>
      </c>
      <c r="H8" s="86"/>
      <c r="I8" s="86">
        <f>G8-E8</f>
        <v>4.6669955331937203</v>
      </c>
      <c r="K8" s="87">
        <f>I8/E8</f>
        <v>0.17617690377195055</v>
      </c>
      <c r="L8" s="87"/>
    </row>
    <row r="9" spans="1:16" x14ac:dyDescent="0.2">
      <c r="A9" t="s">
        <v>87</v>
      </c>
      <c r="C9" s="85">
        <f>'Tariff-Level Calculations'!E11</f>
        <v>27.525696234770194</v>
      </c>
      <c r="E9" s="86">
        <f>E17+($C9*(E26+I39))</f>
        <v>89.886852133274104</v>
      </c>
      <c r="F9" s="86"/>
      <c r="G9" s="86">
        <f>K17+($C9*(K26+M39))</f>
        <v>106.09162790032772</v>
      </c>
      <c r="H9" s="86"/>
      <c r="I9" s="86">
        <f>G9-E9</f>
        <v>16.204775767053619</v>
      </c>
      <c r="K9" s="87">
        <f>I9/E9</f>
        <v>0.18027971146466451</v>
      </c>
      <c r="L9" s="87"/>
    </row>
    <row r="10" spans="1:16" x14ac:dyDescent="0.2">
      <c r="A10" t="s">
        <v>88</v>
      </c>
      <c r="C10" s="85">
        <f>'Tariff-Level Calculations'!E12</f>
        <v>2745.0012567010303</v>
      </c>
      <c r="E10" s="86">
        <f>E18+($C10*(E29+I40))</f>
        <v>2720.7625464549478</v>
      </c>
      <c r="F10" s="86"/>
      <c r="G10" s="86">
        <f>K18+($C10*(K29+M40))</f>
        <v>3178.8357266658759</v>
      </c>
      <c r="H10" s="86"/>
      <c r="I10" s="86">
        <f>G10-E10</f>
        <v>458.07318021092806</v>
      </c>
      <c r="K10" s="87">
        <f>I10/E10</f>
        <v>0.16836205747090291</v>
      </c>
      <c r="L10" s="87"/>
    </row>
    <row r="11" spans="1:16" x14ac:dyDescent="0.2">
      <c r="A11" t="s">
        <v>89</v>
      </c>
      <c r="C11" s="85">
        <f>'Tariff-Level Calculations'!E13</f>
        <v>5162.0942807408537</v>
      </c>
      <c r="E11" s="86">
        <f>E19+I48+(300*E31)+((C11-300)*E32)</f>
        <v>5557.5639020935896</v>
      </c>
      <c r="F11" s="86"/>
      <c r="G11" s="86">
        <f>K19+M48+(300*K31)+((C11-300)*K32)</f>
        <v>6268.161498624715</v>
      </c>
      <c r="H11" s="86"/>
      <c r="I11" s="86">
        <f>G11-E11</f>
        <v>710.59759653112542</v>
      </c>
      <c r="K11" s="87">
        <f>I11/E11</f>
        <v>0.12786134519540771</v>
      </c>
      <c r="L11" s="87"/>
    </row>
    <row r="12" spans="1:16" x14ac:dyDescent="0.2">
      <c r="A12" t="s">
        <v>90</v>
      </c>
      <c r="C12" s="85">
        <f>'Tariff-Level Calculations'!E14</f>
        <v>9956.8026914081147</v>
      </c>
      <c r="E12" s="86">
        <f>E20+I49+($C12*(E34))</f>
        <v>8776.0296011355367</v>
      </c>
      <c r="F12" s="86"/>
      <c r="G12" s="86">
        <f>K20+M49+($C12*(K34))</f>
        <v>10072.703134870144</v>
      </c>
      <c r="H12" s="86"/>
      <c r="I12" s="86">
        <f>G12-E12</f>
        <v>1296.6735337346072</v>
      </c>
      <c r="K12" s="87">
        <f>I12/E12</f>
        <v>0.14775172745165191</v>
      </c>
      <c r="L12" s="87"/>
    </row>
    <row r="14" spans="1:16" ht="13.5" thickBot="1" x14ac:dyDescent="0.25">
      <c r="A14" s="117" t="s">
        <v>125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92"/>
    </row>
    <row r="15" spans="1:16" x14ac:dyDescent="0.2">
      <c r="A15" s="84" t="s">
        <v>102</v>
      </c>
      <c r="E15" s="107" t="s">
        <v>113</v>
      </c>
      <c r="G15" s="84" t="s">
        <v>114</v>
      </c>
      <c r="I15" s="84" t="s">
        <v>112</v>
      </c>
      <c r="J15" s="84"/>
      <c r="K15" s="107" t="s">
        <v>115</v>
      </c>
      <c r="M15" s="84" t="s">
        <v>5</v>
      </c>
    </row>
    <row r="16" spans="1:16" x14ac:dyDescent="0.2">
      <c r="A16" t="s">
        <v>86</v>
      </c>
      <c r="E16" s="104">
        <v>19.3</v>
      </c>
      <c r="F16" s="101"/>
      <c r="G16" s="100">
        <v>1.38</v>
      </c>
      <c r="I16" s="88">
        <f>'Test Year Monthly'!C13</f>
        <v>20.68</v>
      </c>
      <c r="J16" s="88"/>
      <c r="K16" s="106">
        <f>M16-G16</f>
        <v>22.75</v>
      </c>
      <c r="M16" s="114">
        <v>24.13</v>
      </c>
    </row>
    <row r="17" spans="1:22" x14ac:dyDescent="0.2">
      <c r="A17" t="s">
        <v>87</v>
      </c>
      <c r="E17" s="105">
        <v>51.75</v>
      </c>
      <c r="F17" s="101"/>
      <c r="G17" s="102">
        <v>4.5</v>
      </c>
      <c r="I17" s="90">
        <f>'Test Year Monthly'!C22</f>
        <v>56.25</v>
      </c>
      <c r="J17" s="90"/>
      <c r="K17" s="106">
        <f t="shared" ref="K17:K20" si="0">M17-G17</f>
        <v>61.5</v>
      </c>
      <c r="L17" s="90"/>
      <c r="M17" s="115">
        <v>66</v>
      </c>
    </row>
    <row r="18" spans="1:22" x14ac:dyDescent="0.2">
      <c r="A18" t="s">
        <v>88</v>
      </c>
      <c r="E18" s="105">
        <v>435</v>
      </c>
      <c r="F18" s="101"/>
      <c r="G18" s="102">
        <v>20.56</v>
      </c>
      <c r="I18" s="90">
        <f>'Test Year Monthly'!C49</f>
        <v>455.56</v>
      </c>
      <c r="J18" s="90"/>
      <c r="K18" s="106">
        <f t="shared" si="0"/>
        <v>499.44</v>
      </c>
      <c r="L18" s="90"/>
      <c r="M18" s="115">
        <v>520</v>
      </c>
    </row>
    <row r="19" spans="1:22" x14ac:dyDescent="0.2">
      <c r="A19" t="s">
        <v>89</v>
      </c>
      <c r="E19" s="105">
        <v>435</v>
      </c>
      <c r="F19" s="101"/>
      <c r="G19" s="102">
        <v>23.2</v>
      </c>
      <c r="I19" s="90">
        <f>'Test Year Monthly'!C65</f>
        <v>458.2</v>
      </c>
      <c r="J19" s="90"/>
      <c r="K19" s="106">
        <f t="shared" si="0"/>
        <v>496.8</v>
      </c>
      <c r="L19" s="90"/>
      <c r="M19" s="115">
        <v>520</v>
      </c>
    </row>
    <row r="20" spans="1:22" x14ac:dyDescent="0.2">
      <c r="A20" t="s">
        <v>90</v>
      </c>
      <c r="E20" s="105">
        <v>435</v>
      </c>
      <c r="F20" s="101"/>
      <c r="G20" s="102">
        <v>22.97</v>
      </c>
      <c r="I20" s="90">
        <f>'Test Year Monthly'!C81</f>
        <v>457.97</v>
      </c>
      <c r="J20" s="90"/>
      <c r="K20" s="106">
        <f t="shared" si="0"/>
        <v>497.03</v>
      </c>
      <c r="L20" s="90"/>
      <c r="M20" s="115">
        <v>520</v>
      </c>
    </row>
    <row r="22" spans="1:22" x14ac:dyDescent="0.2">
      <c r="A22" s="84" t="s">
        <v>101</v>
      </c>
      <c r="E22" s="107" t="s">
        <v>113</v>
      </c>
      <c r="G22" s="84" t="s">
        <v>114</v>
      </c>
      <c r="I22" s="84" t="s">
        <v>112</v>
      </c>
      <c r="K22" s="107" t="s">
        <v>115</v>
      </c>
      <c r="M22" s="84" t="s">
        <v>5</v>
      </c>
      <c r="V22" s="91"/>
    </row>
    <row r="23" spans="1:22" x14ac:dyDescent="0.2">
      <c r="A23" t="s">
        <v>86</v>
      </c>
      <c r="C23" t="s">
        <v>117</v>
      </c>
      <c r="E23" s="108">
        <v>1.3855</v>
      </c>
      <c r="G23" s="103">
        <v>0</v>
      </c>
      <c r="I23" s="89">
        <f>'Test Year Monthly'!C14</f>
        <v>1.3855</v>
      </c>
      <c r="J23" s="89"/>
      <c r="K23" s="109">
        <f>M23-G23</f>
        <v>1.62</v>
      </c>
      <c r="L23" s="89"/>
      <c r="M23" s="116">
        <v>1.62</v>
      </c>
      <c r="V23" s="87"/>
    </row>
    <row r="24" spans="1:22" x14ac:dyDescent="0.2">
      <c r="C24" t="s">
        <v>118</v>
      </c>
      <c r="E24" s="108">
        <v>0.95779999999999998</v>
      </c>
      <c r="G24" s="103">
        <v>0</v>
      </c>
      <c r="I24" s="89">
        <f>'Test Year Monthly'!C15</f>
        <v>0.95779999999999998</v>
      </c>
      <c r="J24" s="89"/>
      <c r="K24" s="109">
        <f t="shared" ref="K24:K35" si="1">M24-G24</f>
        <v>1.1259999999999999</v>
      </c>
      <c r="L24" s="89"/>
      <c r="M24" s="116">
        <v>1.1259999999999999</v>
      </c>
      <c r="V24" s="87"/>
    </row>
    <row r="25" spans="1:22" x14ac:dyDescent="0.2">
      <c r="C25" t="s">
        <v>119</v>
      </c>
      <c r="E25" s="108">
        <v>0.76509999999999989</v>
      </c>
      <c r="G25" s="103">
        <v>0</v>
      </c>
      <c r="I25" s="89">
        <f>'Test Year Monthly'!C16</f>
        <v>0.76509999999999989</v>
      </c>
      <c r="J25" s="89"/>
      <c r="K25" s="109">
        <f t="shared" si="1"/>
        <v>0.93</v>
      </c>
      <c r="L25" s="89"/>
      <c r="M25" s="116">
        <v>0.93</v>
      </c>
      <c r="V25" s="87"/>
    </row>
    <row r="26" spans="1:22" x14ac:dyDescent="0.2">
      <c r="A26" t="s">
        <v>87</v>
      </c>
      <c r="C26" t="s">
        <v>117</v>
      </c>
      <c r="E26" s="108">
        <v>1.3855</v>
      </c>
      <c r="G26" s="103">
        <v>0</v>
      </c>
      <c r="I26" s="89">
        <f>'Test Year Monthly'!C23</f>
        <v>1.3855</v>
      </c>
      <c r="J26" s="89"/>
      <c r="K26" s="109">
        <f t="shared" si="1"/>
        <v>1.62</v>
      </c>
      <c r="L26" s="89"/>
      <c r="M26" s="116">
        <v>1.62</v>
      </c>
      <c r="V26" s="87"/>
    </row>
    <row r="27" spans="1:22" x14ac:dyDescent="0.2">
      <c r="C27" t="s">
        <v>118</v>
      </c>
      <c r="E27" s="108">
        <v>0.95779999999999998</v>
      </c>
      <c r="G27" s="103">
        <v>0</v>
      </c>
      <c r="I27" s="89">
        <f>'Test Year Monthly'!C24</f>
        <v>0.95779999999999998</v>
      </c>
      <c r="J27" s="89"/>
      <c r="K27" s="109">
        <f t="shared" si="1"/>
        <v>1.1259999999999999</v>
      </c>
      <c r="L27" s="89"/>
      <c r="M27" s="116">
        <v>1.1259999999999999</v>
      </c>
      <c r="V27" s="87"/>
    </row>
    <row r="28" spans="1:22" x14ac:dyDescent="0.2">
      <c r="C28" t="s">
        <v>119</v>
      </c>
      <c r="E28" s="108">
        <v>0.76509999999999989</v>
      </c>
      <c r="G28" s="103">
        <v>0</v>
      </c>
      <c r="I28" s="89">
        <f>'Test Year Monthly'!C25</f>
        <v>0.76509999999999989</v>
      </c>
      <c r="J28" s="89"/>
      <c r="K28" s="109">
        <f t="shared" si="1"/>
        <v>0.93</v>
      </c>
      <c r="L28" s="89"/>
      <c r="M28" s="116">
        <v>0.93</v>
      </c>
      <c r="V28" s="87"/>
    </row>
    <row r="29" spans="1:22" x14ac:dyDescent="0.2">
      <c r="A29" t="s">
        <v>88</v>
      </c>
      <c r="C29" t="s">
        <v>120</v>
      </c>
      <c r="E29" s="108">
        <v>0.8327</v>
      </c>
      <c r="G29">
        <v>2.3900000000000001E-2</v>
      </c>
      <c r="I29" s="89">
        <f>'Test Year Monthly'!C50</f>
        <v>0.85660000000000003</v>
      </c>
      <c r="J29" s="89"/>
      <c r="K29" s="109">
        <f t="shared" si="1"/>
        <v>0.97609999999999997</v>
      </c>
      <c r="L29" s="89"/>
      <c r="M29" s="116">
        <v>1</v>
      </c>
      <c r="V29" s="87"/>
    </row>
    <row r="30" spans="1:22" x14ac:dyDescent="0.2">
      <c r="C30" t="s">
        <v>121</v>
      </c>
      <c r="E30" s="108">
        <v>0.63869999999999993</v>
      </c>
      <c r="G30">
        <v>1.83E-2</v>
      </c>
      <c r="I30" s="89">
        <f>'Test Year Monthly'!C51</f>
        <v>0.65699999999999992</v>
      </c>
      <c r="J30" s="89"/>
      <c r="K30" s="109">
        <f t="shared" si="1"/>
        <v>0.80169999999999997</v>
      </c>
      <c r="L30" s="89"/>
      <c r="M30" s="116">
        <v>0.82</v>
      </c>
      <c r="V30" s="87"/>
    </row>
    <row r="31" spans="1:22" x14ac:dyDescent="0.2">
      <c r="A31" t="s">
        <v>89</v>
      </c>
      <c r="C31" t="s">
        <v>117</v>
      </c>
      <c r="E31" s="108">
        <v>1.3855</v>
      </c>
      <c r="G31">
        <v>6.5299999999999997E-2</v>
      </c>
      <c r="I31" s="89">
        <f>'Test Year Monthly'!C69</f>
        <v>1.4507999999999999</v>
      </c>
      <c r="J31" s="89"/>
      <c r="K31" s="109">
        <f t="shared" si="1"/>
        <v>1.5547000000000002</v>
      </c>
      <c r="L31" s="89"/>
      <c r="M31" s="116">
        <v>1.62</v>
      </c>
      <c r="V31" s="87"/>
    </row>
    <row r="32" spans="1:22" x14ac:dyDescent="0.2">
      <c r="C32" t="s">
        <v>118</v>
      </c>
      <c r="E32" s="108">
        <v>0.95779999999999998</v>
      </c>
      <c r="G32">
        <v>4.5199999999999997E-2</v>
      </c>
      <c r="I32" s="89">
        <f>'Test Year Monthly'!C70</f>
        <v>1.0029999999999999</v>
      </c>
      <c r="J32" s="89"/>
      <c r="K32" s="109">
        <f t="shared" si="1"/>
        <v>1.0808</v>
      </c>
      <c r="L32" s="89"/>
      <c r="M32" s="116">
        <v>1.1259999999999999</v>
      </c>
      <c r="V32" s="87"/>
    </row>
    <row r="33" spans="1:22" x14ac:dyDescent="0.2">
      <c r="C33" t="s">
        <v>119</v>
      </c>
      <c r="E33" s="108">
        <v>0.76509999999999989</v>
      </c>
      <c r="G33">
        <v>3.61E-2</v>
      </c>
      <c r="I33" s="89">
        <f>'Test Year Monthly'!C71</f>
        <v>0.80119999999999991</v>
      </c>
      <c r="J33" s="89"/>
      <c r="K33" s="109">
        <f t="shared" si="1"/>
        <v>0.89390000000000003</v>
      </c>
      <c r="L33" s="89"/>
      <c r="M33" s="116">
        <v>0.93</v>
      </c>
      <c r="V33" s="87"/>
    </row>
    <row r="34" spans="1:22" x14ac:dyDescent="0.2">
      <c r="A34" t="s">
        <v>90</v>
      </c>
      <c r="C34" t="s">
        <v>120</v>
      </c>
      <c r="E34" s="108">
        <v>0.8327</v>
      </c>
      <c r="G34">
        <v>4.3299999999999998E-2</v>
      </c>
      <c r="I34" s="89">
        <f>'Test Year Monthly'!C85</f>
        <v>0.876</v>
      </c>
      <c r="J34" s="89"/>
      <c r="K34" s="109">
        <f t="shared" si="1"/>
        <v>0.95669999999999999</v>
      </c>
      <c r="L34" s="89"/>
      <c r="M34" s="116">
        <v>1</v>
      </c>
      <c r="V34" s="87"/>
    </row>
    <row r="35" spans="1:22" x14ac:dyDescent="0.2">
      <c r="C35" t="s">
        <v>121</v>
      </c>
      <c r="E35" s="108">
        <v>0.63869999999999993</v>
      </c>
      <c r="G35">
        <v>3.32E-2</v>
      </c>
      <c r="I35" s="89">
        <f>'Test Year Monthly'!C86</f>
        <v>0.67189999999999994</v>
      </c>
      <c r="J35" s="89"/>
      <c r="K35" s="109">
        <f t="shared" si="1"/>
        <v>0.78679999999999994</v>
      </c>
      <c r="L35" s="89"/>
      <c r="M35" s="116">
        <v>0.82</v>
      </c>
      <c r="V35" s="87"/>
    </row>
    <row r="36" spans="1:22" x14ac:dyDescent="0.2">
      <c r="K36" s="94"/>
    </row>
    <row r="37" spans="1:22" x14ac:dyDescent="0.2">
      <c r="A37" s="98" t="s">
        <v>116</v>
      </c>
      <c r="I37" s="84" t="s">
        <v>100</v>
      </c>
      <c r="M37" s="84" t="s">
        <v>5</v>
      </c>
    </row>
    <row r="38" spans="1:22" x14ac:dyDescent="0.2">
      <c r="A38" t="s">
        <v>86</v>
      </c>
      <c r="I38" s="112">
        <v>0</v>
      </c>
      <c r="J38" s="110"/>
      <c r="K38" s="110"/>
      <c r="L38" s="99"/>
      <c r="M38" s="112">
        <v>0</v>
      </c>
    </row>
    <row r="39" spans="1:22" x14ac:dyDescent="0.2">
      <c r="A39" t="s">
        <v>87</v>
      </c>
      <c r="I39" s="112">
        <v>0</v>
      </c>
      <c r="J39" s="110"/>
      <c r="K39" s="110"/>
      <c r="L39" s="111"/>
      <c r="M39" s="112">
        <v>0</v>
      </c>
    </row>
    <row r="40" spans="1:22" x14ac:dyDescent="0.2">
      <c r="A40" t="s">
        <v>88</v>
      </c>
      <c r="I40" s="112">
        <v>0</v>
      </c>
      <c r="J40" s="110"/>
      <c r="K40" s="110"/>
      <c r="L40" s="99"/>
      <c r="M40" s="112">
        <v>0</v>
      </c>
    </row>
    <row r="41" spans="1:22" x14ac:dyDescent="0.2">
      <c r="A41" t="s">
        <v>89</v>
      </c>
      <c r="I41" s="84" t="s">
        <v>106</v>
      </c>
      <c r="J41" s="84"/>
      <c r="K41" s="84"/>
      <c r="M41" s="84" t="s">
        <v>106</v>
      </c>
    </row>
    <row r="42" spans="1:22" x14ac:dyDescent="0.2">
      <c r="A42" t="s">
        <v>90</v>
      </c>
      <c r="I42" s="84" t="s">
        <v>106</v>
      </c>
      <c r="J42" s="84"/>
      <c r="K42" s="84"/>
      <c r="M42" s="84" t="s">
        <v>106</v>
      </c>
    </row>
    <row r="44" spans="1:22" x14ac:dyDescent="0.2">
      <c r="A44" s="84" t="s">
        <v>107</v>
      </c>
    </row>
    <row r="45" spans="1:22" x14ac:dyDescent="0.2">
      <c r="A45" t="s">
        <v>86</v>
      </c>
    </row>
    <row r="46" spans="1:22" x14ac:dyDescent="0.2">
      <c r="A46" t="s">
        <v>87</v>
      </c>
    </row>
    <row r="47" spans="1:22" x14ac:dyDescent="0.2">
      <c r="A47" t="s">
        <v>88</v>
      </c>
    </row>
    <row r="48" spans="1:22" x14ac:dyDescent="0.2">
      <c r="A48" t="s">
        <v>89</v>
      </c>
      <c r="I48" s="88">
        <v>50</v>
      </c>
      <c r="M48" s="88">
        <v>50</v>
      </c>
    </row>
    <row r="49" spans="1:13" x14ac:dyDescent="0.2">
      <c r="A49" t="s">
        <v>90</v>
      </c>
      <c r="I49" s="88">
        <v>50</v>
      </c>
      <c r="M49" s="88">
        <v>50</v>
      </c>
    </row>
  </sheetData>
  <mergeCells count="2">
    <mergeCell ref="A3:K3"/>
    <mergeCell ref="A14:O14"/>
  </mergeCells>
  <printOptions horizontalCentered="1"/>
  <pageMargins left="0.45" right="0.45" top="0.75" bottom="0.75" header="0.3" footer="0.3"/>
  <pageSetup scale="83" orientation="landscape" r:id="rId1"/>
  <headerFooter>
    <oddHeader>&amp;RCASE NO. 2021-00214
ATTACHMENT 1
TO STAFF DR NO. 2-55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18737-C09F-4983-B1EB-2FEA296ED3CE}">
  <sheetPr>
    <pageSetUpPr fitToPage="1"/>
  </sheetPr>
  <dimension ref="A1:N49"/>
  <sheetViews>
    <sheetView workbookViewId="0">
      <selection activeCell="C10" sqref="C10"/>
    </sheetView>
  </sheetViews>
  <sheetFormatPr defaultRowHeight="12.75" x14ac:dyDescent="0.2"/>
  <cols>
    <col min="1" max="1" width="30.7109375" bestFit="1" customWidth="1"/>
    <col min="2" max="2" width="1.7109375" customWidth="1"/>
    <col min="4" max="4" width="1.7109375" customWidth="1"/>
    <col min="5" max="5" width="10.42578125" bestFit="1" customWidth="1"/>
    <col min="6" max="6" width="1.7109375" customWidth="1"/>
    <col min="7" max="7" width="10.42578125" bestFit="1" customWidth="1"/>
    <col min="8" max="8" width="1.7109375" customWidth="1"/>
    <col min="9" max="9" width="13.7109375" customWidth="1"/>
    <col min="10" max="10" width="1.7109375" customWidth="1"/>
    <col min="11" max="11" width="12.28515625" customWidth="1"/>
    <col min="14" max="14" width="2.5703125" customWidth="1"/>
  </cols>
  <sheetData>
    <row r="1" spans="1:14" x14ac:dyDescent="0.2">
      <c r="A1" s="99" t="s">
        <v>122</v>
      </c>
    </row>
    <row r="2" spans="1:14" x14ac:dyDescent="0.2">
      <c r="A2" s="99" t="s">
        <v>123</v>
      </c>
    </row>
    <row r="3" spans="1:14" ht="13.5" thickBot="1" x14ac:dyDescent="0.25">
      <c r="A3" s="117" t="s">
        <v>108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4" x14ac:dyDescent="0.2">
      <c r="A4" s="84"/>
      <c r="B4" s="84"/>
      <c r="C4" s="84" t="s">
        <v>74</v>
      </c>
      <c r="D4" s="84"/>
      <c r="E4" s="84" t="s">
        <v>67</v>
      </c>
      <c r="F4" s="84"/>
      <c r="G4" s="84" t="s">
        <v>74</v>
      </c>
      <c r="H4" s="84"/>
      <c r="I4" s="84" t="s">
        <v>75</v>
      </c>
      <c r="J4" s="84"/>
      <c r="K4" s="84" t="s">
        <v>75</v>
      </c>
    </row>
    <row r="5" spans="1:14" x14ac:dyDescent="0.2">
      <c r="A5" s="84"/>
      <c r="B5" s="84"/>
      <c r="C5" s="84" t="s">
        <v>76</v>
      </c>
      <c r="D5" s="84"/>
      <c r="E5" s="84" t="s">
        <v>77</v>
      </c>
      <c r="F5" s="84"/>
      <c r="G5" s="84" t="s">
        <v>77</v>
      </c>
      <c r="H5" s="84"/>
      <c r="I5" s="84" t="s">
        <v>67</v>
      </c>
      <c r="J5" s="84"/>
      <c r="K5" s="84" t="s">
        <v>74</v>
      </c>
    </row>
    <row r="6" spans="1:14" x14ac:dyDescent="0.2">
      <c r="A6" s="84"/>
      <c r="B6" s="84"/>
      <c r="C6" s="84" t="s">
        <v>78</v>
      </c>
      <c r="D6" s="84"/>
      <c r="E6" s="84" t="s">
        <v>79</v>
      </c>
      <c r="F6" s="84"/>
      <c r="G6" s="84" t="s">
        <v>80</v>
      </c>
      <c r="H6" s="84"/>
      <c r="I6" s="84" t="s">
        <v>76</v>
      </c>
      <c r="J6" s="84"/>
      <c r="K6" s="84" t="s">
        <v>77</v>
      </c>
    </row>
    <row r="7" spans="1:14" x14ac:dyDescent="0.2">
      <c r="A7" s="84" t="s">
        <v>91</v>
      </c>
      <c r="B7" s="84"/>
      <c r="C7" s="84" t="s">
        <v>81</v>
      </c>
      <c r="D7" s="84"/>
      <c r="E7" s="84" t="s">
        <v>82</v>
      </c>
      <c r="F7" s="84"/>
      <c r="G7" s="84" t="s">
        <v>82</v>
      </c>
      <c r="H7" s="84"/>
      <c r="I7" s="84" t="s">
        <v>83</v>
      </c>
      <c r="J7" s="84"/>
      <c r="K7" s="84" t="s">
        <v>84</v>
      </c>
    </row>
    <row r="8" spans="1:14" x14ac:dyDescent="0.2">
      <c r="A8" t="s">
        <v>86</v>
      </c>
      <c r="C8" s="85">
        <f>'Tariff-Level Calculations'!E10</f>
        <v>5.1897464102077624</v>
      </c>
      <c r="E8" s="86">
        <f>E16+($C8*(E23+E38))</f>
        <v>51.440664922583444</v>
      </c>
      <c r="F8" s="86"/>
      <c r="G8" s="86">
        <f>G16+($C8*(G23+G38))</f>
        <v>56.429557919879244</v>
      </c>
      <c r="H8" s="86"/>
      <c r="I8" s="86">
        <f>G8-E8</f>
        <v>4.9888929972957996</v>
      </c>
      <c r="K8" s="87">
        <f>I8/E8</f>
        <v>9.6983446944240007E-2</v>
      </c>
    </row>
    <row r="9" spans="1:14" x14ac:dyDescent="0.2">
      <c r="A9" t="s">
        <v>87</v>
      </c>
      <c r="C9" s="85">
        <f>'Tariff-Level Calculations'!E11</f>
        <v>27.525696234770194</v>
      </c>
      <c r="E9" s="86">
        <f>E17+($C9*(E26+E39))</f>
        <v>219.40030672272988</v>
      </c>
      <c r="F9" s="86"/>
      <c r="G9" s="86">
        <f>G17+($C9*(G26+G39))</f>
        <v>236.38033945213118</v>
      </c>
      <c r="H9" s="86"/>
      <c r="I9" s="86">
        <f>G9-E9</f>
        <v>16.980032729401302</v>
      </c>
      <c r="K9" s="87">
        <f>I9/E9</f>
        <v>7.7392930680174707E-2</v>
      </c>
    </row>
    <row r="10" spans="1:14" x14ac:dyDescent="0.2">
      <c r="A10" t="s">
        <v>88</v>
      </c>
      <c r="C10" s="85">
        <f>'Tariff-Level Calculations'!E12</f>
        <v>2745.0012567010303</v>
      </c>
      <c r="E10" s="86">
        <f>E18+($C10*(E29+E40))</f>
        <v>11661.478630230617</v>
      </c>
      <c r="F10" s="86"/>
      <c r="G10" s="86">
        <f>G18+($C10*(G29+G40))</f>
        <v>12153.276816725049</v>
      </c>
      <c r="H10" s="86"/>
      <c r="I10" s="86">
        <f>G10-E10</f>
        <v>491.79818649443223</v>
      </c>
      <c r="K10" s="87">
        <f>I10/E10</f>
        <v>4.2172884081742426E-2</v>
      </c>
    </row>
    <row r="11" spans="1:14" x14ac:dyDescent="0.2">
      <c r="A11" t="s">
        <v>89</v>
      </c>
      <c r="C11" s="85">
        <f>'Tariff-Level Calculations'!E13</f>
        <v>5162.0942807408537</v>
      </c>
      <c r="E11" s="86">
        <f>E19+E48+(300*E31)+((C11-300)*E32)</f>
        <v>5820.1205635830756</v>
      </c>
      <c r="F11" s="86"/>
      <c r="G11" s="86">
        <f>G19+G48+(300*G31)+((C11-300)*G32)</f>
        <v>6802.0986855897618</v>
      </c>
      <c r="H11" s="86"/>
      <c r="I11" s="86">
        <f>G11-E11</f>
        <v>981.97812200668614</v>
      </c>
      <c r="K11" s="87">
        <f>I11/E11</f>
        <v>0.16872126810413443</v>
      </c>
    </row>
    <row r="12" spans="1:14" x14ac:dyDescent="0.2">
      <c r="A12" t="s">
        <v>90</v>
      </c>
      <c r="C12" s="85">
        <f>'Tariff-Level Calculations'!E14</f>
        <v>9956.8026914081147</v>
      </c>
      <c r="E12" s="86">
        <f>E20+E49+($C12*(E34))</f>
        <v>9230.1291576735075</v>
      </c>
      <c r="F12" s="86"/>
      <c r="G12" s="86">
        <f>G20+G49+($C12*(G34))</f>
        <v>10882.346942108568</v>
      </c>
      <c r="H12" s="86"/>
      <c r="I12" s="86">
        <f>G12-E12</f>
        <v>1652.2177844350608</v>
      </c>
      <c r="K12" s="87">
        <f>I12/E12</f>
        <v>0.17900267224987665</v>
      </c>
    </row>
    <row r="14" spans="1:14" ht="13.5" thickBot="1" x14ac:dyDescent="0.25">
      <c r="A14" s="117" t="s">
        <v>109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92"/>
    </row>
    <row r="15" spans="1:14" x14ac:dyDescent="0.2">
      <c r="A15" s="84" t="s">
        <v>102</v>
      </c>
      <c r="E15" s="84" t="s">
        <v>100</v>
      </c>
      <c r="G15" s="84" t="s">
        <v>5</v>
      </c>
    </row>
    <row r="16" spans="1:14" x14ac:dyDescent="0.2">
      <c r="A16" t="s">
        <v>86</v>
      </c>
      <c r="E16" s="88">
        <f>'Test Year Monthly'!C13</f>
        <v>20.68</v>
      </c>
      <c r="G16" s="88">
        <f>'Test Year Monthly'!D13</f>
        <v>24.4</v>
      </c>
      <c r="L16" s="88">
        <f>G16-E16</f>
        <v>3.7199999999999989</v>
      </c>
      <c r="M16" s="87">
        <f>L16/E16</f>
        <v>0.17988394584139258</v>
      </c>
      <c r="N16" s="87"/>
    </row>
    <row r="17" spans="1:14" x14ac:dyDescent="0.2">
      <c r="A17" t="s">
        <v>87</v>
      </c>
      <c r="E17" s="90">
        <f>'Test Year Monthly'!C22</f>
        <v>56.25</v>
      </c>
      <c r="F17" s="90"/>
      <c r="G17" s="90">
        <f>'Test Year Monthly'!D22</f>
        <v>66.5</v>
      </c>
      <c r="L17" s="88">
        <f t="shared" ref="L17:L20" si="0">G17-E17</f>
        <v>10.25</v>
      </c>
      <c r="M17" s="87">
        <f t="shared" ref="M17:M20" si="1">L17/E17</f>
        <v>0.18222222222222223</v>
      </c>
      <c r="N17" s="87"/>
    </row>
    <row r="18" spans="1:14" x14ac:dyDescent="0.2">
      <c r="A18" t="s">
        <v>88</v>
      </c>
      <c r="E18" s="90">
        <f>'Test Year Monthly'!C49</f>
        <v>455.56</v>
      </c>
      <c r="F18" s="90"/>
      <c r="G18" s="90">
        <f>'Test Year Monthly'!D49</f>
        <v>540</v>
      </c>
      <c r="L18" s="88">
        <f t="shared" si="0"/>
        <v>84.44</v>
      </c>
      <c r="M18" s="87">
        <f t="shared" si="1"/>
        <v>0.18535428922644656</v>
      </c>
      <c r="N18" s="87"/>
    </row>
    <row r="19" spans="1:14" x14ac:dyDescent="0.2">
      <c r="A19" t="s">
        <v>89</v>
      </c>
      <c r="E19" s="90">
        <f>'Test Year Monthly'!C65</f>
        <v>458.2</v>
      </c>
      <c r="F19" s="90"/>
      <c r="G19" s="90">
        <f>'Test Year Monthly'!D65</f>
        <v>540</v>
      </c>
      <c r="L19" s="88">
        <f t="shared" si="0"/>
        <v>81.800000000000011</v>
      </c>
      <c r="M19" s="87">
        <f t="shared" si="1"/>
        <v>0.17852466171977305</v>
      </c>
      <c r="N19" s="87"/>
    </row>
    <row r="20" spans="1:14" x14ac:dyDescent="0.2">
      <c r="A20" t="s">
        <v>90</v>
      </c>
      <c r="E20" s="90">
        <f>'Test Year Monthly'!C81</f>
        <v>457.97</v>
      </c>
      <c r="F20" s="90"/>
      <c r="G20" s="90">
        <f>'Test Year Monthly'!D81</f>
        <v>540</v>
      </c>
      <c r="L20" s="88">
        <f t="shared" si="0"/>
        <v>82.029999999999973</v>
      </c>
      <c r="M20" s="87">
        <f t="shared" si="1"/>
        <v>0.17911653601764302</v>
      </c>
      <c r="N20" s="87"/>
    </row>
    <row r="22" spans="1:14" x14ac:dyDescent="0.2">
      <c r="A22" s="84" t="s">
        <v>101</v>
      </c>
      <c r="I22" s="118" t="s">
        <v>111</v>
      </c>
      <c r="J22" s="118"/>
      <c r="K22" s="118"/>
      <c r="L22" s="91"/>
      <c r="M22" s="91"/>
      <c r="N22" s="91"/>
    </row>
    <row r="23" spans="1:14" x14ac:dyDescent="0.2">
      <c r="A23" t="s">
        <v>86</v>
      </c>
      <c r="C23" t="s">
        <v>103</v>
      </c>
      <c r="E23" s="89">
        <f>'Test Year Monthly'!C14</f>
        <v>1.3855</v>
      </c>
      <c r="F23" s="89"/>
      <c r="G23" s="89">
        <f>'Test Year Monthly'!D14</f>
        <v>1.63</v>
      </c>
      <c r="I23" s="93">
        <f>E23+$E$38</f>
        <v>5.9271999999999991</v>
      </c>
      <c r="J23" s="94"/>
      <c r="K23" s="93">
        <f>G23+$G$38</f>
        <v>6.1716999999999995</v>
      </c>
      <c r="L23" s="93">
        <f>K23-I23</f>
        <v>0.24450000000000038</v>
      </c>
      <c r="M23" s="87">
        <f>L23/I23</f>
        <v>4.125050614117972E-2</v>
      </c>
      <c r="N23" s="87"/>
    </row>
    <row r="24" spans="1:14" x14ac:dyDescent="0.2">
      <c r="C24" t="s">
        <v>104</v>
      </c>
      <c r="E24" s="89">
        <f>'Test Year Monthly'!C15</f>
        <v>0.95779999999999998</v>
      </c>
      <c r="F24" s="89"/>
      <c r="G24" s="89">
        <f>'Test Year Monthly'!D15</f>
        <v>1.1302000000000001</v>
      </c>
      <c r="I24" s="93">
        <f t="shared" ref="I24:I25" si="2">E24+$E$38</f>
        <v>5.4994999999999994</v>
      </c>
      <c r="J24" s="94"/>
      <c r="K24" s="93">
        <f t="shared" ref="K24:K25" si="3">G24+$G$38</f>
        <v>5.6718999999999999</v>
      </c>
      <c r="L24" s="93">
        <f t="shared" ref="L24:L25" si="4">K24-I24</f>
        <v>0.17240000000000055</v>
      </c>
      <c r="M24" s="87">
        <f t="shared" ref="M24:M25" si="5">L24/I24</f>
        <v>3.1348304391308403E-2</v>
      </c>
      <c r="N24" s="87"/>
    </row>
    <row r="25" spans="1:14" x14ac:dyDescent="0.2">
      <c r="C25" t="s">
        <v>105</v>
      </c>
      <c r="E25" s="89">
        <f>'Test Year Monthly'!C16</f>
        <v>0.76509999999999989</v>
      </c>
      <c r="F25" s="89"/>
      <c r="G25" s="89">
        <f>'Test Year Monthly'!D16</f>
        <v>0.90280000000000005</v>
      </c>
      <c r="I25" s="93">
        <f t="shared" si="2"/>
        <v>5.3067999999999991</v>
      </c>
      <c r="J25" s="94"/>
      <c r="K25" s="93">
        <f t="shared" si="3"/>
        <v>5.4444999999999997</v>
      </c>
      <c r="L25" s="93">
        <f t="shared" si="4"/>
        <v>0.1377000000000006</v>
      </c>
      <c r="M25" s="87">
        <f t="shared" si="5"/>
        <v>2.5947840506520055E-2</v>
      </c>
      <c r="N25" s="87"/>
    </row>
    <row r="26" spans="1:14" x14ac:dyDescent="0.2">
      <c r="A26" t="s">
        <v>87</v>
      </c>
      <c r="C26" t="s">
        <v>103</v>
      </c>
      <c r="E26" s="89">
        <f>'Test Year Monthly'!C23</f>
        <v>1.3855</v>
      </c>
      <c r="F26" s="89"/>
      <c r="G26" s="89">
        <f>'Test Year Monthly'!D23</f>
        <v>1.63</v>
      </c>
      <c r="I26" s="93">
        <f>E26+$E$39</f>
        <v>5.9271999999999991</v>
      </c>
      <c r="J26" s="94"/>
      <c r="K26" s="93">
        <f>G26+$G$39</f>
        <v>6.1716999999999995</v>
      </c>
      <c r="L26" s="93">
        <f t="shared" ref="L26:L29" si="6">K26-I26</f>
        <v>0.24450000000000038</v>
      </c>
      <c r="M26" s="87">
        <f t="shared" ref="M26:M29" si="7">L26/I26</f>
        <v>4.125050614117972E-2</v>
      </c>
      <c r="N26" s="87"/>
    </row>
    <row r="27" spans="1:14" x14ac:dyDescent="0.2">
      <c r="C27" t="s">
        <v>104</v>
      </c>
      <c r="E27" s="89">
        <f>'Test Year Monthly'!C24</f>
        <v>0.95779999999999998</v>
      </c>
      <c r="F27" s="89"/>
      <c r="G27" s="89">
        <f>'Test Year Monthly'!D24</f>
        <v>1.1302000000000001</v>
      </c>
      <c r="I27" s="93">
        <f t="shared" ref="I27:I28" si="8">E27+$E$39</f>
        <v>5.4994999999999994</v>
      </c>
      <c r="J27" s="94"/>
      <c r="K27" s="93">
        <f t="shared" ref="K27:K28" si="9">G27+$G$39</f>
        <v>5.6718999999999999</v>
      </c>
      <c r="L27" s="93">
        <f t="shared" ref="L27:L28" si="10">K27-I27</f>
        <v>0.17240000000000055</v>
      </c>
      <c r="M27" s="87">
        <f t="shared" ref="M27:M28" si="11">L27/I27</f>
        <v>3.1348304391308403E-2</v>
      </c>
      <c r="N27" s="87"/>
    </row>
    <row r="28" spans="1:14" x14ac:dyDescent="0.2">
      <c r="C28" t="s">
        <v>105</v>
      </c>
      <c r="E28" s="89">
        <f>'Test Year Monthly'!C25</f>
        <v>0.76509999999999989</v>
      </c>
      <c r="F28" s="89"/>
      <c r="G28" s="89">
        <f>'Test Year Monthly'!D25</f>
        <v>0.90280000000000005</v>
      </c>
      <c r="I28" s="93">
        <f t="shared" si="8"/>
        <v>5.3067999999999991</v>
      </c>
      <c r="J28" s="94"/>
      <c r="K28" s="93">
        <f t="shared" si="9"/>
        <v>5.4444999999999997</v>
      </c>
      <c r="L28" s="93">
        <f t="shared" si="10"/>
        <v>0.1377000000000006</v>
      </c>
      <c r="M28" s="87">
        <f t="shared" si="11"/>
        <v>2.5947840506520055E-2</v>
      </c>
      <c r="N28" s="87"/>
    </row>
    <row r="29" spans="1:14" x14ac:dyDescent="0.2">
      <c r="A29" t="s">
        <v>88</v>
      </c>
      <c r="C29" t="s">
        <v>103</v>
      </c>
      <c r="E29" s="89">
        <f>'Test Year Monthly'!C50</f>
        <v>0.85660000000000003</v>
      </c>
      <c r="F29" s="89"/>
      <c r="G29" s="89">
        <f>'Test Year Monthly'!D50</f>
        <v>1.0049999999999999</v>
      </c>
      <c r="I29" s="93">
        <f>E29+$E$40</f>
        <v>4.0823</v>
      </c>
      <c r="J29" s="94"/>
      <c r="K29" s="93">
        <f>G29+$G$40</f>
        <v>4.2306999999999997</v>
      </c>
      <c r="L29" s="93">
        <f t="shared" si="6"/>
        <v>0.14839999999999964</v>
      </c>
      <c r="M29" s="87">
        <f t="shared" si="7"/>
        <v>3.6352056438772172E-2</v>
      </c>
      <c r="N29" s="87"/>
    </row>
    <row r="30" spans="1:14" x14ac:dyDescent="0.2">
      <c r="C30" t="s">
        <v>104</v>
      </c>
      <c r="E30" s="89">
        <f>'Test Year Monthly'!C51</f>
        <v>0.65699999999999992</v>
      </c>
      <c r="F30" s="89"/>
      <c r="G30" s="89">
        <f>'Test Year Monthly'!D51</f>
        <v>0.77529999999999999</v>
      </c>
      <c r="I30" s="93">
        <f t="shared" ref="I30" si="12">E30+$E$40</f>
        <v>3.8826999999999998</v>
      </c>
      <c r="J30" s="94"/>
      <c r="K30" s="93">
        <f t="shared" ref="K30" si="13">G30+$G$40</f>
        <v>4.0009999999999994</v>
      </c>
      <c r="L30" s="93">
        <f t="shared" ref="L30" si="14">K30-I30</f>
        <v>0.11829999999999963</v>
      </c>
      <c r="M30" s="87">
        <f t="shared" ref="M30" si="15">L30/I30</f>
        <v>3.0468488423004515E-2</v>
      </c>
      <c r="N30" s="87"/>
    </row>
    <row r="31" spans="1:14" x14ac:dyDescent="0.2">
      <c r="A31" t="s">
        <v>89</v>
      </c>
      <c r="C31" t="s">
        <v>103</v>
      </c>
      <c r="E31" s="89">
        <f>'Test Year Monthly'!C69</f>
        <v>1.4507999999999999</v>
      </c>
      <c r="F31" s="89"/>
      <c r="G31" s="89">
        <f>'Test Year Monthly'!D69</f>
        <v>1.68</v>
      </c>
      <c r="I31" s="93">
        <f>E31</f>
        <v>1.4507999999999999</v>
      </c>
      <c r="J31" s="94"/>
      <c r="K31" s="93">
        <f>G31</f>
        <v>1.68</v>
      </c>
      <c r="L31" s="93">
        <f t="shared" ref="L31" si="16">K31-I31</f>
        <v>0.22920000000000007</v>
      </c>
      <c r="M31" s="87">
        <f t="shared" ref="M31" si="17">L31/I31</f>
        <v>0.15798180314309354</v>
      </c>
      <c r="N31" s="87"/>
    </row>
    <row r="32" spans="1:14" x14ac:dyDescent="0.2">
      <c r="C32" t="s">
        <v>104</v>
      </c>
      <c r="E32" s="89">
        <f>'Test Year Monthly'!C70</f>
        <v>1.0029999999999999</v>
      </c>
      <c r="F32" s="89"/>
      <c r="G32" s="89">
        <f>'Test Year Monthly'!D70</f>
        <v>1.1739999999999999</v>
      </c>
      <c r="I32" s="93">
        <f t="shared" ref="I32:I35" si="18">E32</f>
        <v>1.0029999999999999</v>
      </c>
      <c r="J32" s="94"/>
      <c r="K32" s="93">
        <f t="shared" ref="K32:K35" si="19">G32</f>
        <v>1.1739999999999999</v>
      </c>
      <c r="L32" s="93">
        <f t="shared" ref="L32:L35" si="20">K32-I32</f>
        <v>0.17100000000000004</v>
      </c>
      <c r="M32" s="87">
        <f t="shared" ref="M32:M35" si="21">L32/I32</f>
        <v>0.17048853439680964</v>
      </c>
      <c r="N32" s="87"/>
    </row>
    <row r="33" spans="1:14" x14ac:dyDescent="0.2">
      <c r="C33" t="s">
        <v>105</v>
      </c>
      <c r="E33" s="89">
        <f>'Test Year Monthly'!C71</f>
        <v>0.80119999999999991</v>
      </c>
      <c r="F33" s="89"/>
      <c r="G33" s="89">
        <f>'Test Year Monthly'!D71</f>
        <v>0.93899999999999995</v>
      </c>
      <c r="I33" s="93">
        <f t="shared" si="18"/>
        <v>0.80119999999999991</v>
      </c>
      <c r="J33" s="94"/>
      <c r="K33" s="93">
        <f t="shared" si="19"/>
        <v>0.93899999999999995</v>
      </c>
      <c r="L33" s="93">
        <f t="shared" si="20"/>
        <v>0.13780000000000003</v>
      </c>
      <c r="M33" s="87">
        <f t="shared" si="21"/>
        <v>0.17199201198202702</v>
      </c>
      <c r="N33" s="87"/>
    </row>
    <row r="34" spans="1:14" x14ac:dyDescent="0.2">
      <c r="A34" t="s">
        <v>90</v>
      </c>
      <c r="C34" t="s">
        <v>103</v>
      </c>
      <c r="E34" s="89">
        <f>'Test Year Monthly'!C85</f>
        <v>0.876</v>
      </c>
      <c r="F34" s="89"/>
      <c r="G34" s="89">
        <f>'Test Year Monthly'!D85</f>
        <v>1.0337000000000001</v>
      </c>
      <c r="I34" s="93">
        <f t="shared" si="18"/>
        <v>0.876</v>
      </c>
      <c r="J34" s="94"/>
      <c r="K34" s="93">
        <f t="shared" si="19"/>
        <v>1.0337000000000001</v>
      </c>
      <c r="L34" s="93">
        <f t="shared" si="20"/>
        <v>0.15770000000000006</v>
      </c>
      <c r="M34" s="87">
        <f t="shared" si="21"/>
        <v>0.18002283105022837</v>
      </c>
      <c r="N34" s="87"/>
    </row>
    <row r="35" spans="1:14" x14ac:dyDescent="0.2">
      <c r="C35" t="s">
        <v>104</v>
      </c>
      <c r="E35" s="89">
        <f>'Test Year Monthly'!C86</f>
        <v>0.67189999999999994</v>
      </c>
      <c r="F35" s="89"/>
      <c r="G35" s="89">
        <f>'Test Year Monthly'!D86</f>
        <v>0.79279999999999995</v>
      </c>
      <c r="I35" s="93">
        <f t="shared" si="18"/>
        <v>0.67189999999999994</v>
      </c>
      <c r="J35" s="94"/>
      <c r="K35" s="93">
        <f t="shared" si="19"/>
        <v>0.79279999999999995</v>
      </c>
      <c r="L35" s="93">
        <f t="shared" si="20"/>
        <v>0.12090000000000001</v>
      </c>
      <c r="M35" s="87">
        <f t="shared" si="21"/>
        <v>0.17993749069802056</v>
      </c>
      <c r="N35" s="87"/>
    </row>
    <row r="37" spans="1:14" x14ac:dyDescent="0.2">
      <c r="A37" s="98" t="s">
        <v>110</v>
      </c>
    </row>
    <row r="38" spans="1:14" x14ac:dyDescent="0.2">
      <c r="A38" t="s">
        <v>86</v>
      </c>
      <c r="E38" s="95">
        <v>4.5416999999999996</v>
      </c>
      <c r="F38" s="96"/>
      <c r="G38" s="95">
        <f>E38</f>
        <v>4.5416999999999996</v>
      </c>
    </row>
    <row r="39" spans="1:14" x14ac:dyDescent="0.2">
      <c r="A39" t="s">
        <v>87</v>
      </c>
      <c r="E39" s="95">
        <v>4.5416999999999996</v>
      </c>
      <c r="F39" s="97"/>
      <c r="G39" s="95">
        <f>E39</f>
        <v>4.5416999999999996</v>
      </c>
    </row>
    <row r="40" spans="1:14" x14ac:dyDescent="0.2">
      <c r="A40" t="s">
        <v>88</v>
      </c>
      <c r="E40" s="95">
        <v>3.2256999999999998</v>
      </c>
      <c r="F40" s="96"/>
      <c r="G40" s="95">
        <f>E40</f>
        <v>3.2256999999999998</v>
      </c>
    </row>
    <row r="41" spans="1:14" x14ac:dyDescent="0.2">
      <c r="A41" t="s">
        <v>89</v>
      </c>
      <c r="E41" s="84" t="s">
        <v>106</v>
      </c>
      <c r="G41" s="84" t="s">
        <v>106</v>
      </c>
    </row>
    <row r="42" spans="1:14" x14ac:dyDescent="0.2">
      <c r="A42" t="s">
        <v>90</v>
      </c>
      <c r="E42" s="84" t="s">
        <v>106</v>
      </c>
      <c r="G42" s="84" t="s">
        <v>106</v>
      </c>
    </row>
    <row r="44" spans="1:14" x14ac:dyDescent="0.2">
      <c r="A44" s="84" t="s">
        <v>107</v>
      </c>
    </row>
    <row r="45" spans="1:14" x14ac:dyDescent="0.2">
      <c r="A45" t="s">
        <v>86</v>
      </c>
    </row>
    <row r="46" spans="1:14" x14ac:dyDescent="0.2">
      <c r="A46" t="s">
        <v>87</v>
      </c>
    </row>
    <row r="47" spans="1:14" x14ac:dyDescent="0.2">
      <c r="A47" t="s">
        <v>88</v>
      </c>
    </row>
    <row r="48" spans="1:14" x14ac:dyDescent="0.2">
      <c r="A48" t="s">
        <v>89</v>
      </c>
      <c r="E48" s="88">
        <v>50</v>
      </c>
      <c r="G48" s="88">
        <v>50</v>
      </c>
    </row>
    <row r="49" spans="1:7" x14ac:dyDescent="0.2">
      <c r="A49" t="s">
        <v>90</v>
      </c>
      <c r="E49" s="88">
        <v>50</v>
      </c>
      <c r="G49" s="88">
        <v>50</v>
      </c>
    </row>
  </sheetData>
  <mergeCells count="3">
    <mergeCell ref="I22:K22"/>
    <mergeCell ref="A3:K3"/>
    <mergeCell ref="A14:M14"/>
  </mergeCells>
  <printOptions horizontalCentered="1"/>
  <pageMargins left="0.45" right="0.45" top="0.75" bottom="0.75" header="0.3" footer="0.3"/>
  <pageSetup scale="83" orientation="landscape" r:id="rId1"/>
  <headerFooter>
    <oddHeader>&amp;RCASE NO. 2021-00214
ATTACHMENT 1
TO STAFF DR NO. 2-55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B562B-F1C4-4EAA-8BBE-2F2606C852B6}">
  <sheetPr>
    <pageSetUpPr fitToPage="1"/>
  </sheetPr>
  <dimension ref="A1:I14"/>
  <sheetViews>
    <sheetView workbookViewId="0">
      <selection activeCell="C10" sqref="C10"/>
    </sheetView>
  </sheetViews>
  <sheetFormatPr defaultColWidth="9.140625" defaultRowHeight="12.75" x14ac:dyDescent="0.2"/>
  <cols>
    <col min="1" max="1" width="4.5703125" style="3" customWidth="1"/>
    <col min="2" max="2" width="6" style="3" customWidth="1"/>
    <col min="3" max="3" width="19.85546875" style="3" customWidth="1"/>
    <col min="4" max="4" width="8.140625" style="3" bestFit="1" customWidth="1"/>
    <col min="5" max="7" width="9.85546875" style="3" bestFit="1" customWidth="1"/>
    <col min="8" max="8" width="9" style="3" bestFit="1" customWidth="1"/>
    <col min="9" max="9" width="8.85546875" style="3" bestFit="1" customWidth="1"/>
    <col min="10" max="10" width="43.7109375" style="3" bestFit="1" customWidth="1"/>
    <col min="11" max="16384" width="9.140625" style="3"/>
  </cols>
  <sheetData>
    <row r="1" spans="1:9" x14ac:dyDescent="0.2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9" x14ac:dyDescent="0.2">
      <c r="A2" s="119" t="s">
        <v>95</v>
      </c>
      <c r="B2" s="119"/>
      <c r="C2" s="119"/>
      <c r="D2" s="119"/>
      <c r="E2" s="119"/>
      <c r="F2" s="119"/>
      <c r="G2" s="119"/>
      <c r="H2" s="119"/>
      <c r="I2" s="119"/>
    </row>
    <row r="3" spans="1:9" x14ac:dyDescent="0.2">
      <c r="A3" s="119" t="s">
        <v>96</v>
      </c>
      <c r="B3" s="119"/>
      <c r="C3" s="119"/>
      <c r="D3" s="119"/>
      <c r="E3" s="119"/>
      <c r="F3" s="119"/>
      <c r="G3" s="119"/>
      <c r="H3" s="119"/>
      <c r="I3" s="119"/>
    </row>
    <row r="4" spans="1:9" x14ac:dyDescent="0.2">
      <c r="A4" s="113"/>
      <c r="B4" s="113"/>
      <c r="C4" s="113"/>
      <c r="D4" s="113"/>
      <c r="E4" s="113"/>
      <c r="F4" s="113"/>
      <c r="G4" s="113"/>
      <c r="H4" s="113"/>
      <c r="I4" s="113"/>
    </row>
    <row r="5" spans="1:9" x14ac:dyDescent="0.2">
      <c r="A5" s="74" t="s">
        <v>97</v>
      </c>
      <c r="D5" s="9"/>
      <c r="E5" s="9" t="s">
        <v>74</v>
      </c>
      <c r="F5"/>
      <c r="G5"/>
      <c r="H5"/>
      <c r="I5"/>
    </row>
    <row r="6" spans="1:9" x14ac:dyDescent="0.2">
      <c r="D6" s="7" t="s">
        <v>67</v>
      </c>
      <c r="E6" s="40" t="s">
        <v>76</v>
      </c>
      <c r="F6"/>
      <c r="G6"/>
      <c r="H6"/>
      <c r="I6"/>
    </row>
    <row r="7" spans="1:9" x14ac:dyDescent="0.2">
      <c r="A7" s="7" t="s">
        <v>2</v>
      </c>
      <c r="D7" s="7" t="s">
        <v>68</v>
      </c>
      <c r="E7" s="40" t="s">
        <v>78</v>
      </c>
      <c r="F7"/>
      <c r="G7"/>
      <c r="H7"/>
      <c r="I7"/>
    </row>
    <row r="8" spans="1:9" x14ac:dyDescent="0.2">
      <c r="A8" s="11" t="s">
        <v>6</v>
      </c>
      <c r="B8" s="36" t="s">
        <v>91</v>
      </c>
      <c r="C8" s="36"/>
      <c r="D8" s="72" t="s">
        <v>69</v>
      </c>
      <c r="E8" s="73" t="s">
        <v>81</v>
      </c>
      <c r="F8"/>
      <c r="G8"/>
      <c r="H8"/>
      <c r="I8"/>
    </row>
    <row r="9" spans="1:9" x14ac:dyDescent="0.2">
      <c r="A9" s="1"/>
      <c r="B9" s="120"/>
      <c r="C9" s="120"/>
      <c r="D9" s="50"/>
      <c r="E9" s="50"/>
      <c r="F9"/>
      <c r="G9"/>
      <c r="H9"/>
      <c r="I9"/>
    </row>
    <row r="10" spans="1:9" x14ac:dyDescent="0.2">
      <c r="A10" s="7">
        <v>1</v>
      </c>
      <c r="B10" s="42" t="s">
        <v>86</v>
      </c>
      <c r="C10" s="42"/>
      <c r="D10" s="47">
        <f>'Test Year Monthly'!Q13/12</f>
        <v>160871.83333333334</v>
      </c>
      <c r="E10" s="48">
        <f>'Test Year Monthly'!Q17/D10/12</f>
        <v>5.1897464102077624</v>
      </c>
      <c r="F10"/>
      <c r="G10"/>
      <c r="H10"/>
      <c r="I10"/>
    </row>
    <row r="11" spans="1:9" x14ac:dyDescent="0.2">
      <c r="A11" s="7">
        <v>10</v>
      </c>
      <c r="B11" s="42" t="s">
        <v>87</v>
      </c>
      <c r="C11" s="42"/>
      <c r="D11" s="47">
        <f>('Test Year Monthly'!Q22+'Test Year Monthly'!Q31+'Test Year Monthly'!Q40)/12</f>
        <v>19977.25</v>
      </c>
      <c r="E11" s="48">
        <f>('Test Year Monthly'!Q26+'Test Year Monthly'!Q35+'Test Year Monthly'!Q44)/D11/12</f>
        <v>27.525696234770194</v>
      </c>
      <c r="F11"/>
      <c r="G11"/>
      <c r="H11"/>
      <c r="I11"/>
    </row>
    <row r="12" spans="1:9" x14ac:dyDescent="0.2">
      <c r="A12" s="7">
        <v>19</v>
      </c>
      <c r="B12" s="42" t="s">
        <v>88</v>
      </c>
      <c r="C12" s="42"/>
      <c r="D12" s="47">
        <f>('Test Year Monthly'!Q49+'Test Year Monthly'!Q57)/12</f>
        <v>8.0833333333333339</v>
      </c>
      <c r="E12" s="48">
        <f>('Test Year Monthly'!Q52+'Test Year Monthly'!Q60)/D12/12</f>
        <v>2745.0012567010303</v>
      </c>
      <c r="F12"/>
      <c r="G12"/>
      <c r="H12"/>
      <c r="I12"/>
    </row>
    <row r="13" spans="1:9" x14ac:dyDescent="0.2">
      <c r="A13" s="7">
        <v>27</v>
      </c>
      <c r="B13" s="42" t="s">
        <v>89</v>
      </c>
      <c r="C13" s="42"/>
      <c r="D13" s="47">
        <f>'Test Year Monthly'!Y72</f>
        <v>119.05076628352491</v>
      </c>
      <c r="E13" s="48">
        <f>'Test Year Monthly'!Z72</f>
        <v>5162.0942807408537</v>
      </c>
      <c r="F13"/>
      <c r="G13"/>
      <c r="H13"/>
      <c r="I13"/>
    </row>
    <row r="14" spans="1:9" x14ac:dyDescent="0.2">
      <c r="A14" s="7">
        <v>38</v>
      </c>
      <c r="B14" s="42" t="s">
        <v>90</v>
      </c>
      <c r="C14" s="42"/>
      <c r="D14" s="47">
        <f>'Test Year Monthly'!Y87</f>
        <v>69.833333333333329</v>
      </c>
      <c r="E14" s="48">
        <f>'Test Year Monthly'!Z87</f>
        <v>9956.8026914081147</v>
      </c>
      <c r="F14"/>
      <c r="G14"/>
      <c r="H14"/>
      <c r="I14"/>
    </row>
  </sheetData>
  <mergeCells count="4">
    <mergeCell ref="A1:I1"/>
    <mergeCell ref="A2:I2"/>
    <mergeCell ref="A3:I3"/>
    <mergeCell ref="B9:C9"/>
  </mergeCells>
  <printOptions horizontalCentered="1"/>
  <pageMargins left="0.45" right="0.45" top="0.75" bottom="0.75" header="0.3" footer="0.3"/>
  <pageSetup orientation="landscape" r:id="rId1"/>
  <headerFooter>
    <oddHeader>&amp;R&amp;8CASE NO. 2021-00214
ATTACHMENT 1
TO STAFF DR NO. 2-55</oddHeader>
  </headerFooter>
  <rowBreaks count="1" manualBreakCount="1">
    <brk id="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75AEE-1448-486C-BE0F-A3D2AA8F77FA}">
  <sheetPr transitionEvaluation="1" transitionEntry="1">
    <tabColor rgb="FF00FF00"/>
    <pageSetUpPr fitToPage="1"/>
  </sheetPr>
  <dimension ref="A1:CB511"/>
  <sheetViews>
    <sheetView showGridLines="0" zoomScaleNormal="100" zoomScaleSheetLayoutView="110" workbookViewId="0">
      <pane xSplit="2" ySplit="9" topLeftCell="C10" activePane="bottomRight" state="frozen"/>
      <selection sqref="A1:A2"/>
      <selection pane="topRight" sqref="A1:A2"/>
      <selection pane="bottomLeft" sqref="A1:A2"/>
      <selection pane="bottomRight" activeCell="C10" sqref="C10"/>
    </sheetView>
  </sheetViews>
  <sheetFormatPr defaultColWidth="12.5703125" defaultRowHeight="12.75" x14ac:dyDescent="0.2"/>
  <cols>
    <col min="1" max="1" width="5.5703125" style="1" bestFit="1" customWidth="1"/>
    <col min="2" max="2" width="29.5703125" style="1" customWidth="1"/>
    <col min="3" max="4" width="8.5703125" style="1" customWidth="1"/>
    <col min="5" max="16" width="10.5703125" style="1" customWidth="1"/>
    <col min="17" max="17" width="11.42578125" style="1" bestFit="1" customWidth="1"/>
    <col min="18" max="18" width="2.7109375" style="1" customWidth="1"/>
    <col min="19" max="19" width="6" style="3" customWidth="1"/>
    <col min="20" max="20" width="19.140625" style="3" customWidth="1"/>
    <col min="21" max="21" width="11.5703125" style="3" bestFit="1" customWidth="1"/>
    <col min="22" max="22" width="12.28515625" style="1" bestFit="1" customWidth="1"/>
    <col min="23" max="23" width="12.28515625" style="1" customWidth="1"/>
    <col min="24" max="24" width="12.28515625" style="75" customWidth="1"/>
    <col min="25" max="25" width="8.140625" style="9" bestFit="1" customWidth="1"/>
    <col min="26" max="26" width="7.85546875" style="9" bestFit="1" customWidth="1"/>
    <col min="27" max="29" width="10.5703125" style="1" customWidth="1"/>
    <col min="30" max="30" width="10.5703125" style="75" customWidth="1"/>
    <col min="31" max="31" width="2.7109375" style="1" customWidth="1"/>
    <col min="32" max="32" width="10.5703125" style="1" customWidth="1"/>
    <col min="33" max="33" width="20.28515625" style="1" bestFit="1" customWidth="1"/>
    <col min="34" max="34" width="11.5703125" style="1" bestFit="1" customWidth="1"/>
    <col min="35" max="35" width="12.28515625" style="1" bestFit="1" customWidth="1"/>
    <col min="36" max="36" width="8.140625" style="1" bestFit="1" customWidth="1"/>
    <col min="37" max="37" width="7.85546875" style="1" bestFit="1" customWidth="1"/>
    <col min="38" max="39" width="9.85546875" style="1" bestFit="1" customWidth="1"/>
    <col min="40" max="41" width="8.85546875" style="1" bestFit="1" customWidth="1"/>
    <col min="42" max="52" width="10.5703125" style="1" customWidth="1"/>
    <col min="53" max="56" width="9.5703125" style="1" customWidth="1"/>
    <col min="57" max="16384" width="12.5703125" style="1"/>
  </cols>
  <sheetData>
    <row r="1" spans="1:80" x14ac:dyDescent="0.2">
      <c r="Q1" s="2"/>
      <c r="R1" s="2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0" x14ac:dyDescent="0.2">
      <c r="Q2" s="2"/>
      <c r="R2" s="2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 x14ac:dyDescent="0.2">
      <c r="Q3" s="5"/>
      <c r="R3" s="5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 x14ac:dyDescent="0.2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8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 x14ac:dyDescent="0.2">
      <c r="A5" s="119" t="s"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74" t="s">
        <v>92</v>
      </c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</row>
    <row r="6" spans="1:80" x14ac:dyDescent="0.2">
      <c r="A6" s="119" t="s">
        <v>96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6"/>
      <c r="S6" s="42"/>
      <c r="T6" s="42"/>
      <c r="U6" s="42"/>
      <c r="V6" s="55"/>
      <c r="W6" s="55"/>
      <c r="X6" s="58"/>
      <c r="Y6" s="56"/>
      <c r="Z6" s="56" t="s">
        <v>74</v>
      </c>
      <c r="AA6" s="58" t="s">
        <v>67</v>
      </c>
      <c r="AB6" s="58" t="s">
        <v>74</v>
      </c>
      <c r="AC6" s="58" t="s">
        <v>75</v>
      </c>
      <c r="AD6" s="58" t="s">
        <v>75</v>
      </c>
      <c r="AE6" s="7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x14ac:dyDescent="0.2">
      <c r="A7" s="121" t="s">
        <v>60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S7" s="42"/>
      <c r="T7" s="42"/>
      <c r="U7" s="58" t="s">
        <v>85</v>
      </c>
      <c r="V7" s="56" t="s">
        <v>61</v>
      </c>
      <c r="W7" s="56"/>
      <c r="X7" s="56"/>
      <c r="Y7" s="58" t="s">
        <v>67</v>
      </c>
      <c r="Z7" s="45" t="s">
        <v>76</v>
      </c>
      <c r="AA7" s="58" t="s">
        <v>77</v>
      </c>
      <c r="AB7" s="58" t="s">
        <v>77</v>
      </c>
      <c r="AC7" s="58" t="s">
        <v>67</v>
      </c>
      <c r="AD7" s="58" t="s">
        <v>74</v>
      </c>
      <c r="AE7" s="7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</row>
    <row r="8" spans="1:80" x14ac:dyDescent="0.2">
      <c r="A8" s="7" t="s">
        <v>2</v>
      </c>
      <c r="C8" s="7" t="s">
        <v>4</v>
      </c>
      <c r="D8" s="7" t="s">
        <v>5</v>
      </c>
      <c r="Q8" s="7" t="s">
        <v>3</v>
      </c>
      <c r="R8" s="7"/>
      <c r="S8" s="42"/>
      <c r="T8" s="42"/>
      <c r="U8" s="58" t="s">
        <v>3</v>
      </c>
      <c r="V8" s="58" t="s">
        <v>3</v>
      </c>
      <c r="W8" s="58" t="s">
        <v>10</v>
      </c>
      <c r="X8" s="58" t="s">
        <v>10</v>
      </c>
      <c r="Y8" s="58" t="s">
        <v>68</v>
      </c>
      <c r="Z8" s="45" t="s">
        <v>78</v>
      </c>
      <c r="AA8" s="58" t="s">
        <v>79</v>
      </c>
      <c r="AB8" s="58" t="s">
        <v>80</v>
      </c>
      <c r="AC8" s="58" t="s">
        <v>76</v>
      </c>
      <c r="AD8" s="58" t="s">
        <v>77</v>
      </c>
      <c r="AE8" s="7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</row>
    <row r="9" spans="1:80" x14ac:dyDescent="0.2">
      <c r="A9" s="11" t="s">
        <v>6</v>
      </c>
      <c r="B9" s="10" t="s">
        <v>7</v>
      </c>
      <c r="C9" s="11" t="s">
        <v>8</v>
      </c>
      <c r="D9" s="11" t="s">
        <v>8</v>
      </c>
      <c r="E9" s="12">
        <v>44592</v>
      </c>
      <c r="F9" s="12">
        <v>44620</v>
      </c>
      <c r="G9" s="12">
        <v>44651</v>
      </c>
      <c r="H9" s="12">
        <v>44681</v>
      </c>
      <c r="I9" s="12">
        <v>44712</v>
      </c>
      <c r="J9" s="12">
        <v>44742</v>
      </c>
      <c r="K9" s="12">
        <v>44773</v>
      </c>
      <c r="L9" s="12">
        <v>44804</v>
      </c>
      <c r="M9" s="12">
        <v>44834</v>
      </c>
      <c r="N9" s="12">
        <v>44865</v>
      </c>
      <c r="O9" s="12">
        <v>44895</v>
      </c>
      <c r="P9" s="12">
        <v>44926</v>
      </c>
      <c r="Q9" s="12" t="s">
        <v>9</v>
      </c>
      <c r="R9" s="50"/>
      <c r="S9" s="36" t="s">
        <v>91</v>
      </c>
      <c r="T9" s="36"/>
      <c r="U9" s="72" t="s">
        <v>10</v>
      </c>
      <c r="V9" s="72" t="s">
        <v>10</v>
      </c>
      <c r="W9" s="72" t="s">
        <v>93</v>
      </c>
      <c r="X9" s="72" t="s">
        <v>94</v>
      </c>
      <c r="Y9" s="72" t="s">
        <v>69</v>
      </c>
      <c r="Z9" s="73" t="s">
        <v>81</v>
      </c>
      <c r="AA9" s="72" t="s">
        <v>82</v>
      </c>
      <c r="AB9" s="72" t="s">
        <v>82</v>
      </c>
      <c r="AC9" s="72" t="s">
        <v>83</v>
      </c>
      <c r="AD9" s="72" t="s">
        <v>84</v>
      </c>
      <c r="AE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13"/>
      <c r="BD9" s="13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</row>
    <row r="10" spans="1:80" x14ac:dyDescent="0.2">
      <c r="B10" s="14"/>
      <c r="C10" s="14"/>
      <c r="D10" s="14"/>
      <c r="E10" s="14" t="s">
        <v>11</v>
      </c>
      <c r="F10" s="14" t="s">
        <v>12</v>
      </c>
      <c r="G10" s="7" t="s">
        <v>13</v>
      </c>
      <c r="H10" s="15" t="s">
        <v>14</v>
      </c>
      <c r="I10" s="16" t="s">
        <v>15</v>
      </c>
      <c r="J10" s="16" t="s">
        <v>16</v>
      </c>
      <c r="K10" s="16" t="s">
        <v>17</v>
      </c>
      <c r="L10" s="16" t="s">
        <v>18</v>
      </c>
      <c r="M10" s="16" t="s">
        <v>19</v>
      </c>
      <c r="N10" s="16" t="s">
        <v>20</v>
      </c>
      <c r="O10" s="16" t="s">
        <v>21</v>
      </c>
      <c r="P10" s="16" t="s">
        <v>22</v>
      </c>
      <c r="Q10" s="16" t="s">
        <v>23</v>
      </c>
      <c r="R10" s="16"/>
      <c r="S10" s="59"/>
      <c r="T10" s="59"/>
      <c r="U10" s="60"/>
      <c r="V10" s="60"/>
      <c r="W10" s="60"/>
      <c r="X10" s="76"/>
      <c r="Y10" s="60"/>
      <c r="Z10" s="60"/>
      <c r="AA10" s="60"/>
      <c r="AB10" s="60"/>
      <c r="AC10" s="60"/>
      <c r="AD10" s="76"/>
      <c r="AE10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</row>
    <row r="11" spans="1:80" x14ac:dyDescent="0.2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8"/>
      <c r="S11" s="42"/>
      <c r="T11" s="42"/>
      <c r="U11" s="42"/>
      <c r="V11" s="17"/>
      <c r="W11" s="17"/>
      <c r="X11" s="44"/>
      <c r="Y11" s="44"/>
      <c r="Z11" s="45"/>
      <c r="AA11" s="17"/>
      <c r="AB11" s="17"/>
      <c r="AC11" s="17"/>
      <c r="AD11" s="44"/>
      <c r="AE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</row>
    <row r="12" spans="1:80" x14ac:dyDescent="0.2">
      <c r="A12" s="7">
        <v>1</v>
      </c>
      <c r="B12" s="19" t="s">
        <v>24</v>
      </c>
      <c r="C12" s="7"/>
      <c r="D12" s="7"/>
      <c r="E12" s="20">
        <f t="shared" ref="E12:P12" si="0">E13*$C$13+E14*$C$14+E15*$C$15+E16*$C$16</f>
        <v>5925335.4823434427</v>
      </c>
      <c r="F12" s="20">
        <f t="shared" si="0"/>
        <v>6134157.3500409443</v>
      </c>
      <c r="G12" s="20">
        <f t="shared" si="0"/>
        <v>5310818.4948849306</v>
      </c>
      <c r="H12" s="20">
        <f t="shared" si="0"/>
        <v>4563506.5849618772</v>
      </c>
      <c r="I12" s="20">
        <f t="shared" si="0"/>
        <v>3893470.4434491331</v>
      </c>
      <c r="J12" s="20">
        <f t="shared" si="0"/>
        <v>3591390.6540057445</v>
      </c>
      <c r="K12" s="20">
        <f t="shared" si="0"/>
        <v>3526864.8536171201</v>
      </c>
      <c r="L12" s="20">
        <f t="shared" si="0"/>
        <v>3515751.1311430642</v>
      </c>
      <c r="M12" s="20">
        <f t="shared" si="0"/>
        <v>3520765.6620503822</v>
      </c>
      <c r="N12" s="20">
        <f t="shared" si="0"/>
        <v>3756564.4977613706</v>
      </c>
      <c r="O12" s="20">
        <f t="shared" si="0"/>
        <v>4599222.7081362121</v>
      </c>
      <c r="P12" s="20">
        <f t="shared" si="0"/>
        <v>5464888.0065644067</v>
      </c>
      <c r="Q12" s="20">
        <f>SUM(E12:P12)</f>
        <v>53802735.868958622</v>
      </c>
      <c r="R12" s="20"/>
      <c r="S12" s="43" t="str">
        <f>B12</f>
        <v>RESIDENTIAL (Rate G-1)</v>
      </c>
      <c r="T12" s="42"/>
      <c r="U12" s="42"/>
      <c r="V12" s="38"/>
      <c r="W12" s="38"/>
      <c r="X12" s="46"/>
      <c r="Y12" s="46"/>
      <c r="Z12" s="45"/>
      <c r="AA12" s="38"/>
      <c r="AB12" s="38"/>
      <c r="AC12" s="38"/>
      <c r="AD12" s="46"/>
      <c r="AE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8"/>
      <c r="BB12" s="8"/>
      <c r="BC12" s="21"/>
      <c r="BD12" s="21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</row>
    <row r="13" spans="1:80" x14ac:dyDescent="0.2">
      <c r="A13" s="7">
        <v>2</v>
      </c>
      <c r="B13" s="1" t="s">
        <v>25</v>
      </c>
      <c r="C13" s="22">
        <v>20.68</v>
      </c>
      <c r="D13" s="22">
        <v>24.4</v>
      </c>
      <c r="E13" s="2">
        <v>162090</v>
      </c>
      <c r="F13" s="2">
        <v>161803</v>
      </c>
      <c r="G13" s="2">
        <v>163021</v>
      </c>
      <c r="H13" s="2">
        <v>160753</v>
      </c>
      <c r="I13" s="2">
        <v>160313</v>
      </c>
      <c r="J13" s="2">
        <v>160182</v>
      </c>
      <c r="K13" s="2">
        <v>159941</v>
      </c>
      <c r="L13" s="2">
        <v>159437</v>
      </c>
      <c r="M13" s="2">
        <v>159410</v>
      </c>
      <c r="N13" s="2">
        <v>160372</v>
      </c>
      <c r="O13" s="2">
        <v>160914</v>
      </c>
      <c r="P13" s="2">
        <v>162226</v>
      </c>
      <c r="Q13" s="2">
        <f>ROUND((SUM(E13:P13)),0)</f>
        <v>1930462</v>
      </c>
      <c r="R13" s="2"/>
      <c r="S13" s="71"/>
      <c r="T13" s="52" t="s">
        <v>66</v>
      </c>
      <c r="U13" s="61">
        <f t="shared" ref="U13:V16" si="1">SUM($E13:$P13)*C13</f>
        <v>39921954.159999996</v>
      </c>
      <c r="V13" s="61">
        <f t="shared" si="1"/>
        <v>47103272.799999997</v>
      </c>
      <c r="W13" s="61"/>
      <c r="X13" s="82"/>
      <c r="Y13" s="56"/>
      <c r="Z13" s="56"/>
      <c r="AA13" s="62">
        <f t="shared" ref="AA13:AB17" si="2">U13/$Y$18/12</f>
        <v>20.679999999999996</v>
      </c>
      <c r="AB13" s="62">
        <f t="shared" si="2"/>
        <v>24.399999999999995</v>
      </c>
      <c r="AC13" s="63"/>
      <c r="AD13" s="77"/>
      <c r="AE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39"/>
      <c r="BB13" s="39"/>
      <c r="BC13" s="23"/>
      <c r="BD13" s="23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</row>
    <row r="14" spans="1:80" x14ac:dyDescent="0.2">
      <c r="A14" s="7">
        <v>3</v>
      </c>
      <c r="B14" s="1" t="s">
        <v>26</v>
      </c>
      <c r="C14" s="24">
        <v>1.3855</v>
      </c>
      <c r="D14" s="24">
        <v>1.63</v>
      </c>
      <c r="E14" s="2">
        <v>1857318.1395477755</v>
      </c>
      <c r="F14" s="2">
        <v>2012321.4074636914</v>
      </c>
      <c r="G14" s="2">
        <v>1399887.5603644392</v>
      </c>
      <c r="H14" s="2">
        <v>894359.1085975297</v>
      </c>
      <c r="I14" s="2">
        <v>417320.53659266193</v>
      </c>
      <c r="J14" s="2">
        <v>201246.40491212177</v>
      </c>
      <c r="K14" s="2">
        <v>158271.36313036463</v>
      </c>
      <c r="L14" s="2">
        <v>157772.62442660698</v>
      </c>
      <c r="M14" s="2">
        <v>161794.92028176284</v>
      </c>
      <c r="N14" s="2">
        <v>317626.51588695106</v>
      </c>
      <c r="O14" s="2">
        <v>917734.52770567464</v>
      </c>
      <c r="P14" s="2">
        <v>1522955.1256329168</v>
      </c>
      <c r="Q14" s="2">
        <f>SUM(E14:P14)</f>
        <v>10018608.234542498</v>
      </c>
      <c r="R14" s="2"/>
      <c r="S14" s="71"/>
      <c r="T14" s="52" t="s">
        <v>62</v>
      </c>
      <c r="U14" s="18">
        <f t="shared" si="1"/>
        <v>13880781.708958631</v>
      </c>
      <c r="V14" s="18">
        <f t="shared" si="1"/>
        <v>16330331.422304271</v>
      </c>
      <c r="W14" s="18"/>
      <c r="X14" s="83"/>
      <c r="Y14" s="64"/>
      <c r="Z14" s="65"/>
      <c r="AA14" s="66">
        <f t="shared" si="2"/>
        <v>7.1903936513428555</v>
      </c>
      <c r="AB14" s="66">
        <f t="shared" si="2"/>
        <v>8.4592866486386527</v>
      </c>
      <c r="AC14" s="67"/>
      <c r="AD14" s="78"/>
      <c r="AE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</row>
    <row r="15" spans="1:80" x14ac:dyDescent="0.2">
      <c r="A15" s="7">
        <v>4</v>
      </c>
      <c r="B15" s="1" t="s">
        <v>27</v>
      </c>
      <c r="C15" s="24">
        <v>0.95779999999999998</v>
      </c>
      <c r="D15" s="24">
        <v>1.1302000000000001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f>SUM(E15:P15)</f>
        <v>0</v>
      </c>
      <c r="R15" s="2"/>
      <c r="S15" s="71"/>
      <c r="T15" s="52" t="s">
        <v>63</v>
      </c>
      <c r="U15" s="18">
        <f t="shared" si="1"/>
        <v>0</v>
      </c>
      <c r="V15" s="18">
        <f t="shared" si="1"/>
        <v>0</v>
      </c>
      <c r="W15" s="18"/>
      <c r="X15" s="83"/>
      <c r="Y15" s="64"/>
      <c r="Z15" s="65"/>
      <c r="AA15" s="66">
        <f t="shared" si="2"/>
        <v>0</v>
      </c>
      <c r="AB15" s="66">
        <f t="shared" si="2"/>
        <v>0</v>
      </c>
      <c r="AC15" s="63"/>
      <c r="AD15" s="77"/>
      <c r="AE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</row>
    <row r="16" spans="1:80" x14ac:dyDescent="0.2">
      <c r="A16" s="7">
        <v>5</v>
      </c>
      <c r="B16" s="1" t="s">
        <v>28</v>
      </c>
      <c r="C16" s="24">
        <v>0.76509999999999989</v>
      </c>
      <c r="D16" s="24">
        <v>0.90280000000000005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f>SUM(E16:P16)</f>
        <v>0</v>
      </c>
      <c r="R16" s="2"/>
      <c r="S16" s="71"/>
      <c r="T16" s="52" t="s">
        <v>64</v>
      </c>
      <c r="U16" s="18">
        <f t="shared" si="1"/>
        <v>0</v>
      </c>
      <c r="V16" s="18">
        <f t="shared" si="1"/>
        <v>0</v>
      </c>
      <c r="W16" s="18"/>
      <c r="X16" s="83"/>
      <c r="Y16" s="64"/>
      <c r="Z16" s="65"/>
      <c r="AA16" s="66">
        <f t="shared" si="2"/>
        <v>0</v>
      </c>
      <c r="AB16" s="66">
        <f t="shared" si="2"/>
        <v>0</v>
      </c>
      <c r="AC16" s="63"/>
      <c r="AD16" s="77"/>
      <c r="AE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</row>
    <row r="17" spans="1:80" x14ac:dyDescent="0.2">
      <c r="A17" s="7">
        <v>6</v>
      </c>
      <c r="B17" s="26" t="s">
        <v>29</v>
      </c>
      <c r="C17" s="26"/>
      <c r="D17" s="26"/>
      <c r="E17" s="27">
        <f t="shared" ref="E17:Q17" si="3">E14+E15+E16</f>
        <v>1857318.1395477755</v>
      </c>
      <c r="F17" s="27">
        <f t="shared" si="3"/>
        <v>2012321.4074636914</v>
      </c>
      <c r="G17" s="27">
        <f t="shared" si="3"/>
        <v>1399887.5603644392</v>
      </c>
      <c r="H17" s="27">
        <f t="shared" si="3"/>
        <v>894359.1085975297</v>
      </c>
      <c r="I17" s="27">
        <f t="shared" si="3"/>
        <v>417320.53659266193</v>
      </c>
      <c r="J17" s="27">
        <f t="shared" si="3"/>
        <v>201246.40491212177</v>
      </c>
      <c r="K17" s="27">
        <f t="shared" si="3"/>
        <v>158271.36313036463</v>
      </c>
      <c r="L17" s="27">
        <f t="shared" si="3"/>
        <v>157772.62442660698</v>
      </c>
      <c r="M17" s="27">
        <f t="shared" si="3"/>
        <v>161794.92028176284</v>
      </c>
      <c r="N17" s="27">
        <f t="shared" si="3"/>
        <v>317626.51588695106</v>
      </c>
      <c r="O17" s="27">
        <f t="shared" si="3"/>
        <v>917734.52770567464</v>
      </c>
      <c r="P17" s="27">
        <f t="shared" si="3"/>
        <v>1522955.1256329168</v>
      </c>
      <c r="Q17" s="27">
        <f t="shared" si="3"/>
        <v>10018608.234542498</v>
      </c>
      <c r="R17" s="63"/>
      <c r="S17" s="71"/>
      <c r="T17" s="52" t="s">
        <v>65</v>
      </c>
      <c r="U17" s="18">
        <f>SUM($E19:$P19)</f>
        <v>46393776.080700502</v>
      </c>
      <c r="V17" s="18">
        <f>SUM($E19:$P19)</f>
        <v>46393776.080700502</v>
      </c>
      <c r="W17" s="18"/>
      <c r="X17" s="83"/>
      <c r="Y17" s="64"/>
      <c r="Z17" s="65"/>
      <c r="AA17" s="66">
        <f t="shared" si="2"/>
        <v>24.032473097476409</v>
      </c>
      <c r="AB17" s="66">
        <f t="shared" si="2"/>
        <v>24.032473097476409</v>
      </c>
      <c r="AC17" s="63"/>
      <c r="AD17" s="77"/>
      <c r="AE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</row>
    <row r="18" spans="1:80" x14ac:dyDescent="0.2">
      <c r="A18" s="7">
        <v>7</v>
      </c>
      <c r="B18" s="1" t="s">
        <v>30</v>
      </c>
      <c r="C18" s="22">
        <f>Q19/Q17</f>
        <v>4.6307605801714518</v>
      </c>
      <c r="E18" s="22">
        <v>4.8700419797267358</v>
      </c>
      <c r="F18" s="22">
        <v>4.4876720987219851</v>
      </c>
      <c r="G18" s="22">
        <v>4.4876720987219851</v>
      </c>
      <c r="H18" s="22">
        <v>4.4876720987219851</v>
      </c>
      <c r="I18" s="22">
        <v>4.682798213667521</v>
      </c>
      <c r="J18" s="22">
        <v>4.682798213667521</v>
      </c>
      <c r="K18" s="22">
        <v>4.682798213667521</v>
      </c>
      <c r="L18" s="22">
        <v>4.6853845278199397</v>
      </c>
      <c r="M18" s="22">
        <v>4.6853845278199397</v>
      </c>
      <c r="N18" s="22">
        <v>4.6853845278199397</v>
      </c>
      <c r="O18" s="22">
        <v>4.6703263317375292</v>
      </c>
      <c r="P18" s="22">
        <v>4.6703263317375292</v>
      </c>
      <c r="Q18" s="22"/>
      <c r="R18" s="22"/>
      <c r="S18" s="71"/>
      <c r="T18" s="41" t="s">
        <v>3</v>
      </c>
      <c r="U18" s="35">
        <f>SUM(U13:U17)</f>
        <v>100196511.94965914</v>
      </c>
      <c r="V18" s="35">
        <f>SUM(V13:V17)</f>
        <v>109827380.30300477</v>
      </c>
      <c r="W18" s="51">
        <f>V18-U18</f>
        <v>9630868.3533456326</v>
      </c>
      <c r="X18" s="79">
        <f>W18/U18</f>
        <v>9.611979664705679E-2</v>
      </c>
      <c r="Y18" s="64">
        <f>Q13/12</f>
        <v>160871.83333333334</v>
      </c>
      <c r="Z18" s="65">
        <f>Q17/Y18/12</f>
        <v>5.1897464102077624</v>
      </c>
      <c r="AA18" s="53">
        <f>SUM(AA13:AA17)</f>
        <v>51.902866748819264</v>
      </c>
      <c r="AB18" s="53">
        <f t="shared" ref="AB18" si="4">SUM(AB13:AB17)</f>
        <v>56.891759746115056</v>
      </c>
      <c r="AC18" s="68">
        <f>AB18-AA18</f>
        <v>4.9888929972957925</v>
      </c>
      <c r="AD18" s="79">
        <f>AC18/AA18</f>
        <v>9.6119796647056777E-2</v>
      </c>
      <c r="AE18" s="25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</row>
    <row r="19" spans="1:80" x14ac:dyDescent="0.2">
      <c r="A19" s="7">
        <v>8</v>
      </c>
      <c r="B19" s="1" t="s">
        <v>31</v>
      </c>
      <c r="E19" s="29">
        <f t="shared" ref="E19:P19" si="5">E18*E17</f>
        <v>9045217.3093056269</v>
      </c>
      <c r="F19" s="29">
        <f t="shared" si="5"/>
        <v>9030638.6339357626</v>
      </c>
      <c r="G19" s="29">
        <f t="shared" si="5"/>
        <v>6282236.3459954821</v>
      </c>
      <c r="H19" s="29">
        <f t="shared" si="5"/>
        <v>4013590.4178909999</v>
      </c>
      <c r="I19" s="29">
        <f t="shared" si="5"/>
        <v>1954227.8632828887</v>
      </c>
      <c r="J19" s="29">
        <f t="shared" si="5"/>
        <v>942396.30542949447</v>
      </c>
      <c r="K19" s="29">
        <f t="shared" si="5"/>
        <v>741152.85654159507</v>
      </c>
      <c r="L19" s="29">
        <f t="shared" si="5"/>
        <v>739225.41340197064</v>
      </c>
      <c r="M19" s="29">
        <f t="shared" si="5"/>
        <v>758071.41616803221</v>
      </c>
      <c r="N19" s="29">
        <f t="shared" si="5"/>
        <v>1488202.3631620747</v>
      </c>
      <c r="O19" s="29">
        <f t="shared" si="5"/>
        <v>4286119.7302885177</v>
      </c>
      <c r="P19" s="29">
        <f t="shared" si="5"/>
        <v>7112697.4252980482</v>
      </c>
      <c r="Q19" s="29">
        <f>SUM(E19:P19)</f>
        <v>46393776.080700502</v>
      </c>
      <c r="R19" s="29"/>
      <c r="S19" s="52"/>
      <c r="T19" s="52"/>
      <c r="U19" s="42"/>
      <c r="V19" s="55"/>
      <c r="W19" s="55"/>
      <c r="X19" s="58"/>
      <c r="Y19" s="64"/>
      <c r="Z19" s="65"/>
      <c r="AA19" s="69"/>
      <c r="AB19" s="69"/>
      <c r="AC19" s="69"/>
      <c r="AD19" s="80"/>
      <c r="AE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</row>
    <row r="20" spans="1:80" x14ac:dyDescent="0.2">
      <c r="A20" s="7">
        <v>9</v>
      </c>
      <c r="C20" s="2"/>
      <c r="D20" s="2"/>
      <c r="E20" s="28"/>
      <c r="Q20" s="2"/>
      <c r="R20" s="2"/>
      <c r="S20" s="52"/>
      <c r="T20" s="52"/>
      <c r="U20" s="52"/>
      <c r="V20" s="52"/>
      <c r="W20" s="52"/>
      <c r="X20" s="64"/>
      <c r="Y20" s="64"/>
      <c r="Z20" s="65"/>
      <c r="AA20" s="55"/>
      <c r="AB20" s="55"/>
      <c r="AC20" s="55"/>
      <c r="AD20" s="58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</row>
    <row r="21" spans="1:80" x14ac:dyDescent="0.2">
      <c r="A21" s="7">
        <v>10</v>
      </c>
      <c r="B21" s="19" t="s">
        <v>32</v>
      </c>
      <c r="E21" s="20">
        <f t="shared" ref="E21:P21" si="6">E22*$C$22+E23*$C$23+E24*$C$24+E25*$C$25</f>
        <v>2115841.3461930212</v>
      </c>
      <c r="F21" s="20">
        <f t="shared" si="6"/>
        <v>2192494.3943450442</v>
      </c>
      <c r="G21" s="20">
        <f t="shared" si="6"/>
        <v>1908599.7343740002</v>
      </c>
      <c r="H21" s="20">
        <f t="shared" si="6"/>
        <v>1635681.0649285847</v>
      </c>
      <c r="I21" s="20">
        <f t="shared" si="6"/>
        <v>1390848.5649189616</v>
      </c>
      <c r="J21" s="20">
        <f t="shared" si="6"/>
        <v>1263975.9739046607</v>
      </c>
      <c r="K21" s="20">
        <f t="shared" si="6"/>
        <v>1233601.1138286118</v>
      </c>
      <c r="L21" s="20">
        <f t="shared" si="6"/>
        <v>1219062.2679726477</v>
      </c>
      <c r="M21" s="20">
        <f t="shared" si="6"/>
        <v>1209319.6672845902</v>
      </c>
      <c r="N21" s="20">
        <f t="shared" si="6"/>
        <v>1293565.1767563974</v>
      </c>
      <c r="O21" s="20">
        <f t="shared" si="6"/>
        <v>1619618.8813776185</v>
      </c>
      <c r="P21" s="20">
        <f t="shared" si="6"/>
        <v>1947110.3975102564</v>
      </c>
      <c r="Q21" s="20">
        <f>SUM(E21:P21)</f>
        <v>19029718.583394397</v>
      </c>
      <c r="R21" s="20"/>
      <c r="S21" s="43" t="str">
        <f>B21</f>
        <v>FIRM COMMERCIAL (Rate G-1)</v>
      </c>
      <c r="T21" s="42"/>
      <c r="U21" s="52"/>
      <c r="V21" s="52"/>
      <c r="W21" s="52"/>
      <c r="X21" s="64"/>
      <c r="Y21" s="64"/>
      <c r="Z21" s="49"/>
      <c r="AA21" s="38"/>
      <c r="AB21" s="38"/>
      <c r="AC21" s="38"/>
      <c r="AD21" s="46"/>
      <c r="AE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</row>
    <row r="22" spans="1:80" x14ac:dyDescent="0.2">
      <c r="A22" s="7">
        <v>11</v>
      </c>
      <c r="B22" s="1" t="s">
        <v>25</v>
      </c>
      <c r="C22" s="31">
        <v>56.25</v>
      </c>
      <c r="D22" s="31">
        <v>66.5</v>
      </c>
      <c r="E22" s="2">
        <v>18580</v>
      </c>
      <c r="F22" s="2">
        <v>18557</v>
      </c>
      <c r="G22" s="2">
        <v>18757</v>
      </c>
      <c r="H22" s="2">
        <v>18428</v>
      </c>
      <c r="I22" s="2">
        <v>18263</v>
      </c>
      <c r="J22" s="2">
        <v>18041</v>
      </c>
      <c r="K22" s="2">
        <v>17905</v>
      </c>
      <c r="L22" s="2">
        <v>17765</v>
      </c>
      <c r="M22" s="2">
        <v>17749</v>
      </c>
      <c r="N22" s="2">
        <v>17980</v>
      </c>
      <c r="O22" s="2">
        <v>18211</v>
      </c>
      <c r="P22" s="2">
        <v>18483</v>
      </c>
      <c r="Q22" s="2">
        <f>ROUND((SUM(E22:P22)),0)</f>
        <v>218719</v>
      </c>
      <c r="R22" s="2"/>
      <c r="S22" s="71"/>
      <c r="T22" s="52" t="s">
        <v>66</v>
      </c>
      <c r="U22" s="61">
        <f t="shared" ref="U22:V25" si="7">SUM($E22:$P22)*C22</f>
        <v>12302943.75</v>
      </c>
      <c r="V22" s="61">
        <f t="shared" si="7"/>
        <v>14544813.5</v>
      </c>
      <c r="W22" s="61"/>
      <c r="X22" s="82"/>
      <c r="Y22" s="56"/>
      <c r="Z22" s="56"/>
      <c r="AA22" s="62">
        <f t="shared" ref="AA22:AB26" si="8">U22/$Y$27/12</f>
        <v>56.25</v>
      </c>
      <c r="AB22" s="62">
        <f t="shared" si="8"/>
        <v>66.5</v>
      </c>
      <c r="AC22" s="63"/>
      <c r="AD22" s="77"/>
      <c r="AE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</row>
    <row r="23" spans="1:80" x14ac:dyDescent="0.2">
      <c r="A23" s="7">
        <v>12</v>
      </c>
      <c r="B23" s="1" t="s">
        <v>26</v>
      </c>
      <c r="C23" s="24">
        <f>C14</f>
        <v>1.3855</v>
      </c>
      <c r="D23" s="24">
        <v>1.63</v>
      </c>
      <c r="E23" s="2">
        <v>698560.90670654527</v>
      </c>
      <c r="F23" s="2">
        <v>750727.69021700381</v>
      </c>
      <c r="G23" s="2">
        <v>566069.90281844477</v>
      </c>
      <c r="H23" s="2">
        <v>402386.8575088174</v>
      </c>
      <c r="I23" s="2">
        <v>254645.77417170507</v>
      </c>
      <c r="J23" s="2">
        <v>171529.996909323</v>
      </c>
      <c r="K23" s="2">
        <v>156316.35666029615</v>
      </c>
      <c r="L23" s="2">
        <v>143654.78045729321</v>
      </c>
      <c r="M23" s="2">
        <v>120025.43320609503</v>
      </c>
      <c r="N23" s="2">
        <v>155216.83996505511</v>
      </c>
      <c r="O23" s="2">
        <v>386577.43961083761</v>
      </c>
      <c r="P23" s="2">
        <v>605127.4909444307</v>
      </c>
      <c r="Q23" s="2">
        <f>SUM(E23:P23)</f>
        <v>4410839.4691758472</v>
      </c>
      <c r="R23" s="2"/>
      <c r="S23" s="71"/>
      <c r="T23" s="52" t="s">
        <v>62</v>
      </c>
      <c r="U23" s="18">
        <f t="shared" si="7"/>
        <v>6111218.0845431359</v>
      </c>
      <c r="V23" s="18">
        <f t="shared" si="7"/>
        <v>7189668.3347566305</v>
      </c>
      <c r="W23" s="18"/>
      <c r="X23" s="83"/>
      <c r="Y23" s="64"/>
      <c r="Z23" s="65"/>
      <c r="AA23" s="66">
        <f t="shared" si="8"/>
        <v>27.940956590616892</v>
      </c>
      <c r="AB23" s="66">
        <f t="shared" si="8"/>
        <v>32.871713636019877</v>
      </c>
      <c r="AC23" s="63"/>
      <c r="AD23" s="77"/>
      <c r="AE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</row>
    <row r="24" spans="1:80" x14ac:dyDescent="0.2">
      <c r="A24" s="7">
        <v>13</v>
      </c>
      <c r="B24" s="1" t="s">
        <v>27</v>
      </c>
      <c r="C24" s="24">
        <f>C15</f>
        <v>0.95779999999999998</v>
      </c>
      <c r="D24" s="24">
        <v>1.1302000000000001</v>
      </c>
      <c r="E24" s="2">
        <v>107392.15906358615</v>
      </c>
      <c r="F24" s="2">
        <v>113311.68255312742</v>
      </c>
      <c r="G24" s="2">
        <v>72278.799351686423</v>
      </c>
      <c r="H24" s="2">
        <v>43431.900031445031</v>
      </c>
      <c r="I24" s="2">
        <v>11216.428068557358</v>
      </c>
      <c r="J24" s="2">
        <v>12022.252230939388</v>
      </c>
      <c r="K24" s="2">
        <v>10303.353179966243</v>
      </c>
      <c r="L24" s="2">
        <v>21661.432082969157</v>
      </c>
      <c r="M24" s="2">
        <v>46610.126934167383</v>
      </c>
      <c r="N24" s="2">
        <v>70095.265175207285</v>
      </c>
      <c r="O24" s="2">
        <v>62275.097929424861</v>
      </c>
      <c r="P24" s="2">
        <v>72079.253295831819</v>
      </c>
      <c r="Q24" s="2">
        <f>SUM(E24:P24)</f>
        <v>642677.74989690853</v>
      </c>
      <c r="R24" s="2"/>
      <c r="S24" s="71"/>
      <c r="T24" s="52" t="s">
        <v>63</v>
      </c>
      <c r="U24" s="18">
        <f t="shared" si="7"/>
        <v>615556.74885125901</v>
      </c>
      <c r="V24" s="18">
        <f t="shared" si="7"/>
        <v>726354.39293348603</v>
      </c>
      <c r="W24" s="18"/>
      <c r="X24" s="83"/>
      <c r="Y24" s="64"/>
      <c r="Z24" s="65"/>
      <c r="AA24" s="66">
        <f t="shared" si="8"/>
        <v>2.8143725458293929</v>
      </c>
      <c r="AB24" s="66">
        <f t="shared" si="8"/>
        <v>3.3209478505913346</v>
      </c>
      <c r="AC24" s="63"/>
      <c r="AD24" s="77"/>
      <c r="AE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</row>
    <row r="25" spans="1:80" x14ac:dyDescent="0.2">
      <c r="A25" s="7">
        <v>14</v>
      </c>
      <c r="B25" s="1" t="s">
        <v>28</v>
      </c>
      <c r="C25" s="24">
        <f>C16</f>
        <v>0.76509999999999989</v>
      </c>
      <c r="D25" s="24">
        <v>0.90280000000000005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f>SUM(E25:P25)</f>
        <v>0</v>
      </c>
      <c r="R25" s="2"/>
      <c r="S25" s="71"/>
      <c r="T25" s="52" t="s">
        <v>64</v>
      </c>
      <c r="U25" s="18">
        <f t="shared" si="7"/>
        <v>0</v>
      </c>
      <c r="V25" s="18">
        <f t="shared" si="7"/>
        <v>0</v>
      </c>
      <c r="W25" s="18"/>
      <c r="X25" s="83"/>
      <c r="Y25" s="64"/>
      <c r="Z25" s="65"/>
      <c r="AA25" s="66">
        <f t="shared" si="8"/>
        <v>0</v>
      </c>
      <c r="AB25" s="66">
        <f t="shared" si="8"/>
        <v>0</v>
      </c>
      <c r="AC25" s="63"/>
      <c r="AD25" s="77"/>
      <c r="AE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</row>
    <row r="26" spans="1:80" x14ac:dyDescent="0.2">
      <c r="A26" s="7">
        <v>15</v>
      </c>
      <c r="B26" s="26" t="s">
        <v>29</v>
      </c>
      <c r="C26" s="26"/>
      <c r="D26" s="26"/>
      <c r="E26" s="27">
        <f t="shared" ref="E26:Q26" si="9">E23+E24+E25</f>
        <v>805953.06577013142</v>
      </c>
      <c r="F26" s="27">
        <f t="shared" si="9"/>
        <v>864039.37277013122</v>
      </c>
      <c r="G26" s="27">
        <f t="shared" si="9"/>
        <v>638348.70217013115</v>
      </c>
      <c r="H26" s="27">
        <f t="shared" si="9"/>
        <v>445818.75754026242</v>
      </c>
      <c r="I26" s="27">
        <f t="shared" si="9"/>
        <v>265862.20224026241</v>
      </c>
      <c r="J26" s="27">
        <f t="shared" si="9"/>
        <v>183552.2491402624</v>
      </c>
      <c r="K26" s="27">
        <f t="shared" si="9"/>
        <v>166619.7098402624</v>
      </c>
      <c r="L26" s="27">
        <f t="shared" si="9"/>
        <v>165316.21254026238</v>
      </c>
      <c r="M26" s="27">
        <f t="shared" si="9"/>
        <v>166635.56014026242</v>
      </c>
      <c r="N26" s="27">
        <f t="shared" si="9"/>
        <v>225312.1051402624</v>
      </c>
      <c r="O26" s="27">
        <f t="shared" si="9"/>
        <v>448852.53754026245</v>
      </c>
      <c r="P26" s="27">
        <f t="shared" si="9"/>
        <v>677206.74424026255</v>
      </c>
      <c r="Q26" s="27">
        <f t="shared" si="9"/>
        <v>5053517.2190727554</v>
      </c>
      <c r="R26" s="63"/>
      <c r="S26" s="71"/>
      <c r="T26" s="52" t="s">
        <v>65</v>
      </c>
      <c r="U26" s="18">
        <f>SUM($E28:$P28)</f>
        <v>23422762.244226757</v>
      </c>
      <c r="V26" s="18">
        <f>SUM($E28:$P28)</f>
        <v>23422762.244226757</v>
      </c>
      <c r="W26" s="18"/>
      <c r="X26" s="83"/>
      <c r="Y26" s="64"/>
      <c r="Z26" s="65"/>
      <c r="AA26" s="66">
        <f t="shared" si="8"/>
        <v>107.09066082154162</v>
      </c>
      <c r="AB26" s="66">
        <f t="shared" si="8"/>
        <v>107.09066082154162</v>
      </c>
      <c r="AC26" s="63"/>
      <c r="AD26" s="77"/>
      <c r="AE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</row>
    <row r="27" spans="1:80" x14ac:dyDescent="0.2">
      <c r="A27" s="7">
        <v>16</v>
      </c>
      <c r="B27" s="1" t="s">
        <v>30</v>
      </c>
      <c r="C27" s="22">
        <f>Q28/Q26</f>
        <v>4.634942601130482</v>
      </c>
      <c r="E27" s="22">
        <v>4.8700419797267358</v>
      </c>
      <c r="F27" s="22">
        <v>4.4876720987219851</v>
      </c>
      <c r="G27" s="22">
        <v>4.4876720987219851</v>
      </c>
      <c r="H27" s="22">
        <v>4.4876720987219851</v>
      </c>
      <c r="I27" s="22">
        <v>4.682798213667521</v>
      </c>
      <c r="J27" s="22">
        <v>4.682798213667521</v>
      </c>
      <c r="K27" s="22">
        <v>4.682798213667521</v>
      </c>
      <c r="L27" s="22">
        <v>4.6853845278199397</v>
      </c>
      <c r="M27" s="22">
        <v>4.6853845278199397</v>
      </c>
      <c r="N27" s="22">
        <v>4.6853845278199397</v>
      </c>
      <c r="O27" s="22">
        <v>4.6703263317375292</v>
      </c>
      <c r="P27" s="22">
        <v>4.6703263317375292</v>
      </c>
      <c r="Q27" s="22"/>
      <c r="R27" s="22"/>
      <c r="S27" s="71"/>
      <c r="T27" s="41" t="s">
        <v>3</v>
      </c>
      <c r="U27" s="35">
        <f>SUM(U22:U26)</f>
        <v>42452480.827621147</v>
      </c>
      <c r="V27" s="35">
        <f>SUM(V22:V26)</f>
        <v>45883598.471916869</v>
      </c>
      <c r="W27" s="51">
        <f>V27-U27</f>
        <v>3431117.6442957222</v>
      </c>
      <c r="X27" s="79">
        <f>W27/U27</f>
        <v>8.0822547408426385E-2</v>
      </c>
      <c r="Y27" s="64">
        <f>Q22/12</f>
        <v>18226.583333333332</v>
      </c>
      <c r="Z27" s="65">
        <f>Q26/Y27/12</f>
        <v>23.105067319587032</v>
      </c>
      <c r="AA27" s="53">
        <f>SUM(AA22:AA26)</f>
        <v>194.09598995798791</v>
      </c>
      <c r="AB27" s="53">
        <f>SUM(AB22:AB26)</f>
        <v>209.78332230815283</v>
      </c>
      <c r="AC27" s="68">
        <f>AB27-AA27</f>
        <v>15.687332350164922</v>
      </c>
      <c r="AD27" s="79">
        <f>AC27/AA27</f>
        <v>8.0822547408426343E-2</v>
      </c>
      <c r="AE27" s="25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</row>
    <row r="28" spans="1:80" x14ac:dyDescent="0.2">
      <c r="A28" s="7">
        <v>17</v>
      </c>
      <c r="B28" s="1" t="s">
        <v>31</v>
      </c>
      <c r="E28" s="29">
        <f t="shared" ref="E28:P28" si="10">E27*E26</f>
        <v>3925025.2639900031</v>
      </c>
      <c r="F28" s="29">
        <f t="shared" si="10"/>
        <v>3877525.3853777624</v>
      </c>
      <c r="G28" s="29">
        <f t="shared" si="10"/>
        <v>2864699.6599842878</v>
      </c>
      <c r="H28" s="29">
        <f t="shared" si="10"/>
        <v>2000688.3993003373</v>
      </c>
      <c r="I28" s="29">
        <f t="shared" si="10"/>
        <v>1244979.0457324141</v>
      </c>
      <c r="J28" s="29">
        <f t="shared" si="10"/>
        <v>859538.1443886765</v>
      </c>
      <c r="K28" s="29">
        <f t="shared" si="10"/>
        <v>780246.47960178147</v>
      </c>
      <c r="L28" s="29">
        <f t="shared" si="10"/>
        <v>774570.02443393809</v>
      </c>
      <c r="M28" s="29">
        <f t="shared" si="10"/>
        <v>780751.67526579462</v>
      </c>
      <c r="N28" s="29">
        <f t="shared" si="10"/>
        <v>1055673.851354725</v>
      </c>
      <c r="O28" s="29">
        <f t="shared" si="10"/>
        <v>2096287.8251414956</v>
      </c>
      <c r="P28" s="29">
        <f t="shared" si="10"/>
        <v>3162776.4896555403</v>
      </c>
      <c r="Q28" s="29">
        <f>SUM(E28:P28)</f>
        <v>23422762.244226757</v>
      </c>
      <c r="R28" s="29"/>
      <c r="S28" s="52"/>
      <c r="T28" s="52"/>
      <c r="U28" s="42"/>
      <c r="V28" s="55"/>
      <c r="W28" s="55"/>
      <c r="X28" s="58"/>
      <c r="Y28" s="64"/>
      <c r="Z28" s="65"/>
      <c r="AA28" s="69"/>
      <c r="AB28" s="69"/>
      <c r="AC28" s="69"/>
      <c r="AD28" s="80"/>
      <c r="AE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</row>
    <row r="29" spans="1:80" x14ac:dyDescent="0.2">
      <c r="A29" s="7">
        <v>18</v>
      </c>
      <c r="E29" s="28"/>
      <c r="Q29" s="2"/>
      <c r="R29" s="2"/>
      <c r="S29" s="52"/>
      <c r="T29" s="42"/>
      <c r="U29" s="52"/>
      <c r="V29" s="52"/>
      <c r="W29" s="52"/>
      <c r="X29" s="64"/>
      <c r="Y29" s="64"/>
      <c r="Z29" s="65"/>
      <c r="AA29" s="55"/>
      <c r="AB29" s="55"/>
      <c r="AC29" s="55"/>
      <c r="AD29" s="58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</row>
    <row r="30" spans="1:80" x14ac:dyDescent="0.2">
      <c r="A30" s="7">
        <v>19</v>
      </c>
      <c r="B30" s="19" t="s">
        <v>33</v>
      </c>
      <c r="C30" s="24"/>
      <c r="D30" s="24"/>
      <c r="E30" s="20">
        <f t="shared" ref="E30:P30" si="11">E31*$C$31+E32*$C$32+E33*$C$33+E34*$C$34</f>
        <v>143042.32475245002</v>
      </c>
      <c r="F30" s="20">
        <f t="shared" si="11"/>
        <v>165337.74145239999</v>
      </c>
      <c r="G30" s="20">
        <f t="shared" si="11"/>
        <v>120206.26631560001</v>
      </c>
      <c r="H30" s="20">
        <f t="shared" si="11"/>
        <v>66210.105684249997</v>
      </c>
      <c r="I30" s="20">
        <f t="shared" si="11"/>
        <v>48231.738106000004</v>
      </c>
      <c r="J30" s="20">
        <f t="shared" si="11"/>
        <v>27816.912146049999</v>
      </c>
      <c r="K30" s="20">
        <f t="shared" si="11"/>
        <v>29149.409844150003</v>
      </c>
      <c r="L30" s="20">
        <f t="shared" si="11"/>
        <v>31286.440775299998</v>
      </c>
      <c r="M30" s="20">
        <f t="shared" si="11"/>
        <v>43791.346404100004</v>
      </c>
      <c r="N30" s="20">
        <f t="shared" si="11"/>
        <v>40617.127024149995</v>
      </c>
      <c r="O30" s="20">
        <f t="shared" si="11"/>
        <v>58531.635871749997</v>
      </c>
      <c r="P30" s="20">
        <f t="shared" si="11"/>
        <v>108226.71322574999</v>
      </c>
      <c r="Q30" s="20">
        <f>SUM(E30:P30)</f>
        <v>882447.76160194993</v>
      </c>
      <c r="R30" s="20"/>
      <c r="S30" s="43" t="str">
        <f>B30</f>
        <v>FIRM INDUSTRIAL (Rate G-1)</v>
      </c>
      <c r="T30" s="42"/>
      <c r="U30" s="52"/>
      <c r="V30" s="52"/>
      <c r="W30" s="52"/>
      <c r="X30" s="64"/>
      <c r="Y30" s="64"/>
      <c r="Z30" s="49"/>
      <c r="AA30" s="38"/>
      <c r="AB30" s="38"/>
      <c r="AC30" s="38"/>
      <c r="AD30" s="46"/>
      <c r="AE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</row>
    <row r="31" spans="1:80" x14ac:dyDescent="0.2">
      <c r="A31" s="7">
        <v>20</v>
      </c>
      <c r="B31" s="1" t="s">
        <v>25</v>
      </c>
      <c r="C31" s="22">
        <f>C22</f>
        <v>56.25</v>
      </c>
      <c r="D31" s="22">
        <v>66.5</v>
      </c>
      <c r="E31" s="2">
        <v>223</v>
      </c>
      <c r="F31" s="2">
        <v>226</v>
      </c>
      <c r="G31" s="2">
        <v>216</v>
      </c>
      <c r="H31" s="2">
        <v>207</v>
      </c>
      <c r="I31" s="2">
        <v>219</v>
      </c>
      <c r="J31" s="2">
        <v>214</v>
      </c>
      <c r="K31" s="2">
        <v>219</v>
      </c>
      <c r="L31" s="2">
        <v>216</v>
      </c>
      <c r="M31" s="2">
        <v>218</v>
      </c>
      <c r="N31" s="2">
        <v>222</v>
      </c>
      <c r="O31" s="2">
        <v>212</v>
      </c>
      <c r="P31" s="2">
        <v>215</v>
      </c>
      <c r="Q31" s="2">
        <f>ROUND((SUM(E31:P31)),0)</f>
        <v>2607</v>
      </c>
      <c r="R31" s="2"/>
      <c r="S31" s="71"/>
      <c r="T31" s="52" t="s">
        <v>66</v>
      </c>
      <c r="U31" s="61">
        <f t="shared" ref="U31:V34" si="12">SUM($E31:$P31)*C31</f>
        <v>146643.75</v>
      </c>
      <c r="V31" s="61">
        <f t="shared" si="12"/>
        <v>173365.5</v>
      </c>
      <c r="W31" s="61"/>
      <c r="X31" s="82"/>
      <c r="Y31" s="56"/>
      <c r="Z31" s="56"/>
      <c r="AA31" s="62">
        <f t="shared" ref="AA31:AB35" si="13">U31/$Y$36/12</f>
        <v>56.25</v>
      </c>
      <c r="AB31" s="62">
        <f t="shared" si="13"/>
        <v>66.5</v>
      </c>
      <c r="AC31" s="63"/>
      <c r="AD31" s="77"/>
      <c r="AE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</row>
    <row r="32" spans="1:80" x14ac:dyDescent="0.2">
      <c r="A32" s="7">
        <v>21</v>
      </c>
      <c r="B32" s="1" t="s">
        <v>26</v>
      </c>
      <c r="C32" s="24">
        <f>C23</f>
        <v>1.3855</v>
      </c>
      <c r="D32" s="24">
        <v>1.63</v>
      </c>
      <c r="E32" s="2">
        <v>42512.549900000005</v>
      </c>
      <c r="F32" s="2">
        <v>44951.612800000003</v>
      </c>
      <c r="G32" s="2">
        <v>40594.571200000006</v>
      </c>
      <c r="H32" s="2">
        <v>28437.549499999997</v>
      </c>
      <c r="I32" s="2">
        <v>18851.612000000001</v>
      </c>
      <c r="J32" s="2">
        <v>8967.6570999999985</v>
      </c>
      <c r="K32" s="2">
        <v>9789.8753000000015</v>
      </c>
      <c r="L32" s="2">
        <v>8169.0965999999999</v>
      </c>
      <c r="M32" s="2">
        <v>11743.786200000002</v>
      </c>
      <c r="N32" s="2">
        <v>12845.635299999998</v>
      </c>
      <c r="O32" s="2">
        <v>19888.118499999997</v>
      </c>
      <c r="P32" s="2">
        <v>37041.478499999997</v>
      </c>
      <c r="Q32" s="2">
        <f>SUM(E32:P32)</f>
        <v>283793.5429</v>
      </c>
      <c r="R32" s="2"/>
      <c r="S32" s="71"/>
      <c r="T32" s="52" t="s">
        <v>62</v>
      </c>
      <c r="U32" s="18">
        <f t="shared" si="12"/>
        <v>393195.95368794998</v>
      </c>
      <c r="V32" s="18">
        <f t="shared" si="12"/>
        <v>462583.47492699994</v>
      </c>
      <c r="W32" s="18"/>
      <c r="X32" s="83"/>
      <c r="Y32" s="64"/>
      <c r="Z32" s="65"/>
      <c r="AA32" s="66">
        <f t="shared" si="13"/>
        <v>150.8231506282892</v>
      </c>
      <c r="AB32" s="66">
        <f t="shared" si="13"/>
        <v>177.43900073916379</v>
      </c>
      <c r="AC32" s="63"/>
      <c r="AD32" s="77"/>
      <c r="AE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</row>
    <row r="33" spans="1:80" x14ac:dyDescent="0.2">
      <c r="A33" s="7">
        <v>22</v>
      </c>
      <c r="B33" s="1" t="s">
        <v>27</v>
      </c>
      <c r="C33" s="24">
        <f>C24</f>
        <v>0.95779999999999998</v>
      </c>
      <c r="D33" s="24">
        <v>1.1302000000000001</v>
      </c>
      <c r="E33" s="2">
        <v>74751.97</v>
      </c>
      <c r="F33" s="2">
        <v>94325.31</v>
      </c>
      <c r="G33" s="2">
        <v>54095.31</v>
      </c>
      <c r="H33" s="2">
        <v>15834.34</v>
      </c>
      <c r="I33" s="2">
        <v>10225.6</v>
      </c>
      <c r="J33" s="2">
        <v>3502.53</v>
      </c>
      <c r="K33" s="2">
        <v>3410.72</v>
      </c>
      <c r="L33" s="2">
        <v>8162.62</v>
      </c>
      <c r="M33" s="2">
        <v>15930.08</v>
      </c>
      <c r="N33" s="2">
        <v>10787.22</v>
      </c>
      <c r="O33" s="2">
        <v>19891.05</v>
      </c>
      <c r="P33" s="2">
        <v>46786.38</v>
      </c>
      <c r="Q33" s="2">
        <f>SUM(E33:P33)</f>
        <v>357703.13</v>
      </c>
      <c r="R33" s="2"/>
      <c r="S33" s="71"/>
      <c r="T33" s="52" t="s">
        <v>63</v>
      </c>
      <c r="U33" s="18">
        <f t="shared" si="12"/>
        <v>342608.057914</v>
      </c>
      <c r="V33" s="18">
        <f t="shared" si="12"/>
        <v>404276.07752600004</v>
      </c>
      <c r="W33" s="18"/>
      <c r="X33" s="83"/>
      <c r="Y33" s="64"/>
      <c r="Z33" s="65"/>
      <c r="AA33" s="66">
        <f t="shared" si="13"/>
        <v>131.41851089911776</v>
      </c>
      <c r="AB33" s="66">
        <f t="shared" si="13"/>
        <v>155.07329402608363</v>
      </c>
      <c r="AC33" s="63"/>
      <c r="AD33" s="77"/>
      <c r="AE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</row>
    <row r="34" spans="1:80" x14ac:dyDescent="0.2">
      <c r="A34" s="7">
        <v>23</v>
      </c>
      <c r="B34" s="1" t="s">
        <v>28</v>
      </c>
      <c r="C34" s="24">
        <f>C25</f>
        <v>0.76509999999999989</v>
      </c>
      <c r="D34" s="24">
        <v>0.90280000000000005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f>SUM(E34:P34)</f>
        <v>0</v>
      </c>
      <c r="R34" s="2"/>
      <c r="S34" s="71"/>
      <c r="T34" s="52" t="s">
        <v>64</v>
      </c>
      <c r="U34" s="18">
        <f t="shared" si="12"/>
        <v>0</v>
      </c>
      <c r="V34" s="18">
        <f t="shared" si="12"/>
        <v>0</v>
      </c>
      <c r="W34" s="18"/>
      <c r="X34" s="83"/>
      <c r="Y34" s="64"/>
      <c r="Z34" s="65"/>
      <c r="AA34" s="66">
        <f t="shared" si="13"/>
        <v>0</v>
      </c>
      <c r="AB34" s="66">
        <f t="shared" si="13"/>
        <v>0</v>
      </c>
      <c r="AC34" s="63"/>
      <c r="AD34" s="77"/>
      <c r="AE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</row>
    <row r="35" spans="1:80" x14ac:dyDescent="0.2">
      <c r="A35" s="7">
        <v>24</v>
      </c>
      <c r="B35" s="26" t="s">
        <v>29</v>
      </c>
      <c r="C35" s="26"/>
      <c r="D35" s="26"/>
      <c r="E35" s="27">
        <f t="shared" ref="E35:Q35" si="14">E32+E33+E34</f>
        <v>117264.51990000001</v>
      </c>
      <c r="F35" s="27">
        <f t="shared" si="14"/>
        <v>139276.9228</v>
      </c>
      <c r="G35" s="27">
        <f t="shared" si="14"/>
        <v>94689.881200000003</v>
      </c>
      <c r="H35" s="27">
        <f t="shared" si="14"/>
        <v>44271.889499999997</v>
      </c>
      <c r="I35" s="27">
        <f t="shared" si="14"/>
        <v>29077.212</v>
      </c>
      <c r="J35" s="27">
        <f t="shared" si="14"/>
        <v>12470.187099999999</v>
      </c>
      <c r="K35" s="27">
        <f t="shared" si="14"/>
        <v>13200.595300000001</v>
      </c>
      <c r="L35" s="27">
        <f t="shared" si="14"/>
        <v>16331.7166</v>
      </c>
      <c r="M35" s="27">
        <f t="shared" si="14"/>
        <v>27673.866200000004</v>
      </c>
      <c r="N35" s="27">
        <f t="shared" si="14"/>
        <v>23632.855299999996</v>
      </c>
      <c r="O35" s="27">
        <f t="shared" si="14"/>
        <v>39779.1685</v>
      </c>
      <c r="P35" s="27">
        <f t="shared" si="14"/>
        <v>83827.858500000002</v>
      </c>
      <c r="Q35" s="27">
        <f t="shared" si="14"/>
        <v>641496.67290000001</v>
      </c>
      <c r="R35" s="63"/>
      <c r="S35" s="71"/>
      <c r="T35" s="52" t="s">
        <v>65</v>
      </c>
      <c r="U35" s="18">
        <f>SUM($E37:$P37)</f>
        <v>2970298.210974047</v>
      </c>
      <c r="V35" s="18">
        <f>SUM($E37:$P37)</f>
        <v>2970298.210974047</v>
      </c>
      <c r="W35" s="18"/>
      <c r="X35" s="83"/>
      <c r="Y35" s="64"/>
      <c r="Z35" s="65"/>
      <c r="AA35" s="66">
        <f t="shared" si="13"/>
        <v>1139.3548948883954</v>
      </c>
      <c r="AB35" s="66">
        <f t="shared" si="13"/>
        <v>1139.3548948883954</v>
      </c>
      <c r="AC35" s="63"/>
      <c r="AD35" s="77"/>
      <c r="AE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</row>
    <row r="36" spans="1:80" x14ac:dyDescent="0.2">
      <c r="A36" s="7">
        <v>25</v>
      </c>
      <c r="B36" s="1" t="s">
        <v>30</v>
      </c>
      <c r="C36" s="22">
        <f>Q37/Q35</f>
        <v>4.6302628469548948</v>
      </c>
      <c r="E36" s="22">
        <v>4.8700419797267358</v>
      </c>
      <c r="F36" s="22">
        <v>4.4876720987219851</v>
      </c>
      <c r="G36" s="22">
        <v>4.4876720987219851</v>
      </c>
      <c r="H36" s="22">
        <v>4.4876720987219851</v>
      </c>
      <c r="I36" s="22">
        <v>4.682798213667521</v>
      </c>
      <c r="J36" s="22">
        <v>4.682798213667521</v>
      </c>
      <c r="K36" s="22">
        <v>4.682798213667521</v>
      </c>
      <c r="L36" s="22">
        <v>4.6853845278199397</v>
      </c>
      <c r="M36" s="22">
        <v>4.6853845278199397</v>
      </c>
      <c r="N36" s="22">
        <v>4.6853845278199397</v>
      </c>
      <c r="O36" s="22">
        <v>4.6703263317375292</v>
      </c>
      <c r="P36" s="22">
        <v>4.6703263317375292</v>
      </c>
      <c r="Q36" s="22"/>
      <c r="R36" s="22"/>
      <c r="S36" s="71"/>
      <c r="T36" s="41" t="s">
        <v>3</v>
      </c>
      <c r="U36" s="35">
        <f>SUM(U31:U35)</f>
        <v>3852745.972575997</v>
      </c>
      <c r="V36" s="35">
        <f>SUM(V31:V35)</f>
        <v>4010523.2634270471</v>
      </c>
      <c r="W36" s="51">
        <f>V36-U36</f>
        <v>157777.29085105006</v>
      </c>
      <c r="X36" s="79">
        <f>W36/U36</f>
        <v>4.0951905984488793E-2</v>
      </c>
      <c r="Y36" s="64">
        <f>Q31/12</f>
        <v>217.25</v>
      </c>
      <c r="Z36" s="65">
        <f>Q35/Y36/12</f>
        <v>246.06700149597239</v>
      </c>
      <c r="AA36" s="53">
        <f>SUM(AA31:AA35)</f>
        <v>1477.8465564158023</v>
      </c>
      <c r="AB36" s="53">
        <f>SUM(AB31:AB35)</f>
        <v>1538.3671896536428</v>
      </c>
      <c r="AC36" s="68">
        <f>AB36-AA36</f>
        <v>60.520633237840457</v>
      </c>
      <c r="AD36" s="79">
        <f>AC36/AA36</f>
        <v>4.09519059844888E-2</v>
      </c>
      <c r="AE36" s="25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</row>
    <row r="37" spans="1:80" x14ac:dyDescent="0.2">
      <c r="A37" s="7">
        <v>26</v>
      </c>
      <c r="B37" s="1" t="s">
        <v>31</v>
      </c>
      <c r="E37" s="29">
        <f t="shared" ref="E37:P37" si="15">E36*E35</f>
        <v>571083.13464550127</v>
      </c>
      <c r="F37" s="29">
        <f t="shared" si="15"/>
        <v>625029.16044541588</v>
      </c>
      <c r="G37" s="29">
        <f t="shared" si="15"/>
        <v>424937.13789253944</v>
      </c>
      <c r="H37" s="29">
        <f t="shared" si="15"/>
        <v>198677.72326685282</v>
      </c>
      <c r="I37" s="29">
        <f t="shared" si="15"/>
        <v>136162.71641203179</v>
      </c>
      <c r="J37" s="29">
        <f t="shared" si="15"/>
        <v>58395.369875979763</v>
      </c>
      <c r="K37" s="29">
        <f t="shared" si="15"/>
        <v>61815.724090187876</v>
      </c>
      <c r="L37" s="29">
        <f t="shared" si="15"/>
        <v>76520.372270380074</v>
      </c>
      <c r="M37" s="29">
        <f t="shared" si="15"/>
        <v>129662.7045184392</v>
      </c>
      <c r="N37" s="29">
        <f t="shared" si="15"/>
        <v>110729.01457082744</v>
      </c>
      <c r="O37" s="29">
        <f t="shared" si="15"/>
        <v>185781.69810017408</v>
      </c>
      <c r="P37" s="29">
        <f t="shared" si="15"/>
        <v>391503.45488571766</v>
      </c>
      <c r="Q37" s="29">
        <f>SUM(E37:P37)</f>
        <v>2970298.210974047</v>
      </c>
      <c r="R37" s="29"/>
      <c r="S37" s="52"/>
      <c r="T37" s="52"/>
      <c r="U37" s="42"/>
      <c r="V37" s="55"/>
      <c r="W37" s="55"/>
      <c r="X37" s="58"/>
      <c r="Y37" s="64"/>
      <c r="Z37" s="65"/>
      <c r="AA37" s="69"/>
      <c r="AB37" s="69"/>
      <c r="AC37" s="69"/>
      <c r="AD37" s="80"/>
      <c r="AE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x14ac:dyDescent="0.2">
      <c r="A38" s="7">
        <v>27</v>
      </c>
      <c r="E38" s="28"/>
      <c r="S38" s="52"/>
      <c r="T38" s="42"/>
      <c r="U38" s="52"/>
      <c r="V38" s="52"/>
      <c r="W38" s="52"/>
      <c r="X38" s="64"/>
      <c r="Y38" s="64"/>
      <c r="Z38" s="65"/>
      <c r="AA38" s="55"/>
      <c r="AB38" s="55"/>
      <c r="AC38" s="55"/>
      <c r="AD38" s="58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1:80" x14ac:dyDescent="0.2">
      <c r="A39" s="7">
        <v>28</v>
      </c>
      <c r="B39" s="19" t="s">
        <v>34</v>
      </c>
      <c r="C39" s="24"/>
      <c r="D39" s="24"/>
      <c r="E39" s="20">
        <f>E40*$C$40+E41*$C$41+E42*$C$42+E43*$C$43</f>
        <v>286742.08821659931</v>
      </c>
      <c r="F39" s="20">
        <f t="shared" ref="F39:P39" si="16">F40*$C$40+F41*$C$41+F42*$C$42+F43*$C$43</f>
        <v>302218.90199328418</v>
      </c>
      <c r="G39" s="20">
        <f t="shared" si="16"/>
        <v>244876.24401244539</v>
      </c>
      <c r="H39" s="20">
        <f t="shared" si="16"/>
        <v>191727.11408398853</v>
      </c>
      <c r="I39" s="20">
        <f t="shared" si="16"/>
        <v>144693.91522856554</v>
      </c>
      <c r="J39" s="20">
        <f t="shared" si="16"/>
        <v>123196.96389405912</v>
      </c>
      <c r="K39" s="20">
        <f t="shared" si="16"/>
        <v>116404.27169407201</v>
      </c>
      <c r="L39" s="20">
        <f t="shared" si="16"/>
        <v>116607.35488307972</v>
      </c>
      <c r="M39" s="20">
        <f t="shared" si="16"/>
        <v>117165.15224598907</v>
      </c>
      <c r="N39" s="20">
        <f t="shared" si="16"/>
        <v>132900.71187020623</v>
      </c>
      <c r="O39" s="20">
        <f t="shared" si="16"/>
        <v>194493.6048733088</v>
      </c>
      <c r="P39" s="20">
        <f t="shared" si="16"/>
        <v>255355.64599731591</v>
      </c>
      <c r="Q39" s="20">
        <f>SUM(E39:P39)</f>
        <v>2226381.9689929141</v>
      </c>
      <c r="R39" s="20"/>
      <c r="S39" s="43" t="str">
        <f>B39</f>
        <v>FIRM PUBLIC AUTHORITY (Rate G-1)</v>
      </c>
      <c r="T39" s="42"/>
      <c r="U39" s="52"/>
      <c r="V39" s="52"/>
      <c r="W39" s="52"/>
      <c r="X39" s="64"/>
      <c r="Y39" s="64"/>
      <c r="Z39" s="49"/>
      <c r="AA39" s="38"/>
      <c r="AB39" s="38"/>
      <c r="AC39" s="38"/>
      <c r="AD39" s="46"/>
      <c r="AE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</row>
    <row r="40" spans="1:80" x14ac:dyDescent="0.2">
      <c r="A40" s="7">
        <v>29</v>
      </c>
      <c r="B40" s="1" t="s">
        <v>25</v>
      </c>
      <c r="C40" s="22">
        <f>C31</f>
        <v>56.25</v>
      </c>
      <c r="D40" s="22">
        <v>66.5</v>
      </c>
      <c r="E40" s="2">
        <v>1534</v>
      </c>
      <c r="F40" s="2">
        <v>1534</v>
      </c>
      <c r="G40" s="2">
        <v>1563</v>
      </c>
      <c r="H40" s="2">
        <v>1522</v>
      </c>
      <c r="I40" s="2">
        <v>1540</v>
      </c>
      <c r="J40" s="2">
        <v>1553</v>
      </c>
      <c r="K40" s="2">
        <v>1523</v>
      </c>
      <c r="L40" s="2">
        <v>1530</v>
      </c>
      <c r="M40" s="2">
        <v>1529</v>
      </c>
      <c r="N40" s="2">
        <v>1525</v>
      </c>
      <c r="O40" s="2">
        <v>1518</v>
      </c>
      <c r="P40" s="2">
        <v>1530</v>
      </c>
      <c r="Q40" s="2">
        <f>ROUND((SUM(E40:P40)),0)</f>
        <v>18401</v>
      </c>
      <c r="R40" s="2"/>
      <c r="S40" s="71"/>
      <c r="T40" s="52" t="s">
        <v>66</v>
      </c>
      <c r="U40" s="61">
        <f t="shared" ref="U40:V43" si="17">SUM($E40:$P40)*C40</f>
        <v>1035056.25</v>
      </c>
      <c r="V40" s="61">
        <f t="shared" si="17"/>
        <v>1223666.5</v>
      </c>
      <c r="W40" s="61"/>
      <c r="X40" s="82"/>
      <c r="Y40" s="56"/>
      <c r="Z40" s="56"/>
      <c r="AA40" s="62">
        <f t="shared" ref="AA40:AB44" si="18">U40/$Y$45/12</f>
        <v>56.25</v>
      </c>
      <c r="AB40" s="62">
        <f t="shared" si="18"/>
        <v>66.5</v>
      </c>
      <c r="AC40" s="63"/>
      <c r="AD40" s="77"/>
      <c r="AE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</row>
    <row r="41" spans="1:80" x14ac:dyDescent="0.2">
      <c r="A41" s="7">
        <v>30</v>
      </c>
      <c r="B41" s="1" t="s">
        <v>26</v>
      </c>
      <c r="C41" s="24">
        <f>C32</f>
        <v>1.3855</v>
      </c>
      <c r="D41" s="24">
        <v>1.63</v>
      </c>
      <c r="E41" s="2">
        <v>122829.00623881063</v>
      </c>
      <c r="F41" s="2">
        <v>131460.40579771844</v>
      </c>
      <c r="G41" s="2">
        <v>96997.018104104209</v>
      </c>
      <c r="H41" s="2">
        <v>69709.171460950485</v>
      </c>
      <c r="I41" s="2">
        <v>38972.834825357815</v>
      </c>
      <c r="J41" s="2">
        <v>24585.981732707816</v>
      </c>
      <c r="K41" s="2">
        <v>21255.446863670822</v>
      </c>
      <c r="L41" s="2">
        <v>20578.244960064803</v>
      </c>
      <c r="M41" s="2">
        <v>21332.854445193061</v>
      </c>
      <c r="N41" s="2">
        <v>31745.971058887564</v>
      </c>
      <c r="O41" s="2">
        <v>73276.836020502204</v>
      </c>
      <c r="P41" s="2">
        <v>109053.24130796325</v>
      </c>
      <c r="Q41" s="2">
        <f>SUM(E41:P41)</f>
        <v>761797.01281593123</v>
      </c>
      <c r="R41" s="2"/>
      <c r="S41" s="71"/>
      <c r="T41" s="52" t="s">
        <v>62</v>
      </c>
      <c r="U41" s="18">
        <f t="shared" si="17"/>
        <v>1055469.7612564727</v>
      </c>
      <c r="V41" s="18">
        <f t="shared" si="17"/>
        <v>1241729.1308899678</v>
      </c>
      <c r="W41" s="18"/>
      <c r="X41" s="83"/>
      <c r="Y41" s="64"/>
      <c r="Z41" s="65"/>
      <c r="AA41" s="66">
        <f t="shared" si="18"/>
        <v>57.359369667761136</v>
      </c>
      <c r="AB41" s="66">
        <f t="shared" si="18"/>
        <v>67.481611373836628</v>
      </c>
      <c r="AC41" s="63"/>
      <c r="AD41" s="77"/>
      <c r="AE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</row>
    <row r="42" spans="1:80" x14ac:dyDescent="0.2">
      <c r="A42" s="7">
        <v>31</v>
      </c>
      <c r="B42" s="1" t="s">
        <v>27</v>
      </c>
      <c r="C42" s="24">
        <f>C33</f>
        <v>0.95779999999999998</v>
      </c>
      <c r="D42" s="24">
        <v>1.1302000000000001</v>
      </c>
      <c r="E42" s="2">
        <v>31608.895461189361</v>
      </c>
      <c r="F42" s="2">
        <v>35281.906202281571</v>
      </c>
      <c r="G42" s="2">
        <v>23562.46129589581</v>
      </c>
      <c r="H42" s="2">
        <v>9952.5548390495096</v>
      </c>
      <c r="I42" s="2">
        <v>4251.464374642188</v>
      </c>
      <c r="J42" s="2">
        <v>1855.1223672921865</v>
      </c>
      <c r="K42" s="2">
        <v>1342.7647363291769</v>
      </c>
      <c r="L42" s="2">
        <v>2123.2997399351925</v>
      </c>
      <c r="M42" s="2">
        <v>1672.825654806938</v>
      </c>
      <c r="N42" s="2">
        <v>3273.5633411124368</v>
      </c>
      <c r="O42" s="2">
        <v>7915.0642794977957</v>
      </c>
      <c r="P42" s="2">
        <v>19001.754192036751</v>
      </c>
      <c r="Q42" s="2">
        <f>SUM(E42:P42)</f>
        <v>141841.67648406891</v>
      </c>
      <c r="R42" s="2"/>
      <c r="S42" s="71"/>
      <c r="T42" s="52" t="s">
        <v>63</v>
      </c>
      <c r="U42" s="18">
        <f t="shared" si="17"/>
        <v>135855.9577364412</v>
      </c>
      <c r="V42" s="18">
        <f t="shared" si="17"/>
        <v>160309.46276229469</v>
      </c>
      <c r="W42" s="18"/>
      <c r="X42" s="83"/>
      <c r="Y42" s="64"/>
      <c r="Z42" s="65"/>
      <c r="AA42" s="66">
        <f t="shared" si="18"/>
        <v>7.383074709876702</v>
      </c>
      <c r="AB42" s="66">
        <f t="shared" si="18"/>
        <v>8.7119973241831783</v>
      </c>
      <c r="AC42" s="63"/>
      <c r="AD42" s="77"/>
      <c r="AE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</row>
    <row r="43" spans="1:80" x14ac:dyDescent="0.2">
      <c r="A43" s="7">
        <v>32</v>
      </c>
      <c r="B43" s="1" t="s">
        <v>28</v>
      </c>
      <c r="C43" s="24">
        <f>C34</f>
        <v>0.76509999999999989</v>
      </c>
      <c r="D43" s="24">
        <v>0.90280000000000005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f>SUM(E43:P43)</f>
        <v>0</v>
      </c>
      <c r="R43" s="2"/>
      <c r="S43" s="71"/>
      <c r="T43" s="52" t="s">
        <v>64</v>
      </c>
      <c r="U43" s="18">
        <f t="shared" si="17"/>
        <v>0</v>
      </c>
      <c r="V43" s="18">
        <f t="shared" si="17"/>
        <v>0</v>
      </c>
      <c r="W43" s="18"/>
      <c r="X43" s="83"/>
      <c r="Y43" s="64"/>
      <c r="Z43" s="65"/>
      <c r="AA43" s="66">
        <f t="shared" si="18"/>
        <v>0</v>
      </c>
      <c r="AB43" s="66">
        <f t="shared" si="18"/>
        <v>0</v>
      </c>
      <c r="AC43" s="63"/>
      <c r="AD43" s="77"/>
      <c r="AE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</row>
    <row r="44" spans="1:80" x14ac:dyDescent="0.2">
      <c r="A44" s="7">
        <v>33</v>
      </c>
      <c r="B44" s="26" t="s">
        <v>29</v>
      </c>
      <c r="C44" s="26"/>
      <c r="D44" s="26"/>
      <c r="E44" s="27">
        <f t="shared" ref="E44:Q44" si="19">E41+E42+E43</f>
        <v>154437.90169999999</v>
      </c>
      <c r="F44" s="27">
        <f t="shared" si="19"/>
        <v>166742.31200000001</v>
      </c>
      <c r="G44" s="27">
        <f t="shared" si="19"/>
        <v>120559.47940000001</v>
      </c>
      <c r="H44" s="27">
        <f t="shared" si="19"/>
        <v>79661.726299999995</v>
      </c>
      <c r="I44" s="27">
        <f t="shared" si="19"/>
        <v>43224.299200000001</v>
      </c>
      <c r="J44" s="27">
        <f t="shared" si="19"/>
        <v>26441.104100000004</v>
      </c>
      <c r="K44" s="27">
        <f t="shared" si="19"/>
        <v>22598.211599999999</v>
      </c>
      <c r="L44" s="27">
        <f t="shared" si="19"/>
        <v>22701.544699999995</v>
      </c>
      <c r="M44" s="27">
        <f t="shared" si="19"/>
        <v>23005.680099999998</v>
      </c>
      <c r="N44" s="27">
        <f t="shared" si="19"/>
        <v>35019.534400000004</v>
      </c>
      <c r="O44" s="27">
        <f t="shared" si="19"/>
        <v>81191.900299999994</v>
      </c>
      <c r="P44" s="27">
        <f t="shared" si="19"/>
        <v>128054.9955</v>
      </c>
      <c r="Q44" s="27">
        <f t="shared" si="19"/>
        <v>903638.6893000002</v>
      </c>
      <c r="R44" s="63"/>
      <c r="S44" s="71"/>
      <c r="T44" s="52" t="s">
        <v>65</v>
      </c>
      <c r="U44" s="18">
        <f>SUM($E46:$P46)</f>
        <v>4186470.0910371062</v>
      </c>
      <c r="V44" s="18">
        <f>SUM($E46:$P46)</f>
        <v>4186470.0910371062</v>
      </c>
      <c r="W44" s="18"/>
      <c r="X44" s="83"/>
      <c r="Y44" s="64"/>
      <c r="Z44" s="65"/>
      <c r="AA44" s="66">
        <f t="shared" si="18"/>
        <v>227.51318357899603</v>
      </c>
      <c r="AB44" s="66">
        <f t="shared" si="18"/>
        <v>227.51318357899603</v>
      </c>
      <c r="AC44" s="63"/>
      <c r="AD44" s="77"/>
      <c r="AE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</row>
    <row r="45" spans="1:80" x14ac:dyDescent="0.2">
      <c r="A45" s="7">
        <v>34</v>
      </c>
      <c r="B45" s="1" t="s">
        <v>30</v>
      </c>
      <c r="C45" s="22">
        <f>Q46/Q44</f>
        <v>4.6329026640948019</v>
      </c>
      <c r="E45" s="22">
        <v>4.8700419797267358</v>
      </c>
      <c r="F45" s="22">
        <v>4.4876720987219851</v>
      </c>
      <c r="G45" s="22">
        <v>4.4876720987219851</v>
      </c>
      <c r="H45" s="22">
        <v>4.4876720987219851</v>
      </c>
      <c r="I45" s="22">
        <v>4.682798213667521</v>
      </c>
      <c r="J45" s="22">
        <v>4.682798213667521</v>
      </c>
      <c r="K45" s="22">
        <v>4.682798213667521</v>
      </c>
      <c r="L45" s="22">
        <v>4.6853845278199397</v>
      </c>
      <c r="M45" s="22">
        <v>4.6853845278199397</v>
      </c>
      <c r="N45" s="22">
        <v>4.6853845278199397</v>
      </c>
      <c r="O45" s="22">
        <v>4.6703263317375292</v>
      </c>
      <c r="P45" s="22">
        <v>4.6703263317375292</v>
      </c>
      <c r="Q45" s="22"/>
      <c r="R45" s="22"/>
      <c r="S45" s="71"/>
      <c r="T45" s="41" t="s">
        <v>3</v>
      </c>
      <c r="U45" s="35">
        <f>SUM(U40:U44)</f>
        <v>6412852.0600300208</v>
      </c>
      <c r="V45" s="35">
        <f>SUM(V40:V44)</f>
        <v>6812175.1846893691</v>
      </c>
      <c r="W45" s="51">
        <f>V45-U45</f>
        <v>399323.12465934828</v>
      </c>
      <c r="X45" s="79">
        <f>W45/U45</f>
        <v>6.2269193320121423E-2</v>
      </c>
      <c r="Y45" s="64">
        <f>Q40/12</f>
        <v>1533.4166666666667</v>
      </c>
      <c r="Z45" s="65">
        <f>Q44/Y45/12</f>
        <v>49.108129411445042</v>
      </c>
      <c r="AA45" s="53">
        <f>SUM(AA40:AA44)</f>
        <v>348.50562795663387</v>
      </c>
      <c r="AB45" s="53">
        <f>SUM(AB40:AB44)</f>
        <v>370.20679227701589</v>
      </c>
      <c r="AC45" s="68">
        <f>AB45-AA45</f>
        <v>21.70116432038202</v>
      </c>
      <c r="AD45" s="79">
        <f>AC45/AA45</f>
        <v>6.2269193320121631E-2</v>
      </c>
      <c r="AE45" s="25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</row>
    <row r="46" spans="1:80" x14ac:dyDescent="0.2">
      <c r="A46" s="7">
        <v>35</v>
      </c>
      <c r="B46" s="1" t="s">
        <v>31</v>
      </c>
      <c r="E46" s="29">
        <f t="shared" ref="E46:P46" si="20">E45*E44</f>
        <v>752119.06453991099</v>
      </c>
      <c r="F46" s="29">
        <f t="shared" si="20"/>
        <v>748284.82123879611</v>
      </c>
      <c r="G46" s="29">
        <f t="shared" si="20"/>
        <v>541031.41193982796</v>
      </c>
      <c r="H46" s="29">
        <f t="shared" si="20"/>
        <v>357495.70645253733</v>
      </c>
      <c r="I46" s="29">
        <f t="shared" si="20"/>
        <v>202410.67108079046</v>
      </c>
      <c r="J46" s="29">
        <f t="shared" si="20"/>
        <v>123818.35504687698</v>
      </c>
      <c r="K46" s="29">
        <f t="shared" si="20"/>
        <v>105822.86491256065</v>
      </c>
      <c r="L46" s="29">
        <f t="shared" si="20"/>
        <v>106365.46629499273</v>
      </c>
      <c r="M46" s="29">
        <f t="shared" si="20"/>
        <v>107790.45759251507</v>
      </c>
      <c r="N46" s="29">
        <f t="shared" si="20"/>
        <v>164079.98464921815</v>
      </c>
      <c r="O46" s="29">
        <f t="shared" si="20"/>
        <v>379192.66989489819</v>
      </c>
      <c r="P46" s="29">
        <f t="shared" si="20"/>
        <v>598058.61739418085</v>
      </c>
      <c r="Q46" s="29">
        <f>SUM(E46:P46)</f>
        <v>4186470.0910371062</v>
      </c>
      <c r="R46" s="29"/>
      <c r="S46" s="52"/>
      <c r="T46" s="52"/>
      <c r="U46" s="42"/>
      <c r="V46" s="55"/>
      <c r="W46" s="55"/>
      <c r="X46" s="58"/>
      <c r="Y46" s="64"/>
      <c r="Z46" s="65"/>
      <c r="AA46" s="69"/>
      <c r="AB46" s="69"/>
      <c r="AC46" s="69"/>
      <c r="AD46" s="80"/>
      <c r="AE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</row>
    <row r="47" spans="1:80" x14ac:dyDescent="0.2">
      <c r="A47" s="7">
        <v>36</v>
      </c>
      <c r="E47" s="28"/>
      <c r="S47" s="52"/>
      <c r="T47" s="52"/>
      <c r="U47" s="52"/>
      <c r="V47" s="52"/>
      <c r="W47" s="52"/>
      <c r="X47" s="64"/>
      <c r="Y47" s="64"/>
      <c r="Z47" s="65"/>
      <c r="AA47" s="55"/>
      <c r="AB47" s="55"/>
      <c r="AC47" s="55"/>
      <c r="AD47" s="58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</row>
    <row r="48" spans="1:80" x14ac:dyDescent="0.2">
      <c r="A48" s="7">
        <v>37</v>
      </c>
      <c r="B48" s="19" t="s">
        <v>35</v>
      </c>
      <c r="E48" s="20">
        <f t="shared" ref="E48:P48" si="21">E49*$C$49+E50*$C$50+E51*$C$51</f>
        <v>2721.7074536200003</v>
      </c>
      <c r="F48" s="20">
        <f t="shared" si="21"/>
        <v>4649.7811747599999</v>
      </c>
      <c r="G48" s="20">
        <f t="shared" si="21"/>
        <v>2936.03922414</v>
      </c>
      <c r="H48" s="20">
        <f t="shared" si="21"/>
        <v>2992.6753687800001</v>
      </c>
      <c r="I48" s="20">
        <f t="shared" si="21"/>
        <v>3130.9879052200004</v>
      </c>
      <c r="J48" s="20">
        <f t="shared" si="21"/>
        <v>1036.3522645399999</v>
      </c>
      <c r="K48" s="20">
        <f t="shared" si="21"/>
        <v>911.80759281999997</v>
      </c>
      <c r="L48" s="20">
        <f t="shared" si="21"/>
        <v>911.63567320000004</v>
      </c>
      <c r="M48" s="20">
        <f t="shared" si="21"/>
        <v>911.80759281999997</v>
      </c>
      <c r="N48" s="20">
        <f t="shared" si="21"/>
        <v>1655.6424459</v>
      </c>
      <c r="O48" s="20">
        <f t="shared" si="21"/>
        <v>2318.1780883599999</v>
      </c>
      <c r="P48" s="20">
        <f t="shared" si="21"/>
        <v>2662.7537473800003</v>
      </c>
      <c r="Q48" s="20">
        <f>SUM(E48:P48)</f>
        <v>26839.368531540007</v>
      </c>
      <c r="R48" s="20"/>
      <c r="S48" s="43" t="str">
        <f>B48</f>
        <v>INTERRUPTIBLE COMMERCIAL (G-2)</v>
      </c>
      <c r="T48" s="42"/>
      <c r="U48" s="52"/>
      <c r="V48" s="52"/>
      <c r="W48" s="52"/>
      <c r="X48" s="64"/>
      <c r="Y48" s="64"/>
      <c r="Z48" s="49"/>
      <c r="AA48" s="38"/>
      <c r="AB48" s="38"/>
      <c r="AC48" s="38"/>
      <c r="AD48" s="46"/>
      <c r="AE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</row>
    <row r="49" spans="1:80" x14ac:dyDescent="0.2">
      <c r="A49" s="7">
        <v>38</v>
      </c>
      <c r="B49" s="1" t="s">
        <v>36</v>
      </c>
      <c r="C49" s="31">
        <v>455.56</v>
      </c>
      <c r="D49" s="31">
        <v>540</v>
      </c>
      <c r="E49" s="2">
        <v>2</v>
      </c>
      <c r="F49" s="2">
        <v>4</v>
      </c>
      <c r="G49" s="2">
        <v>2</v>
      </c>
      <c r="H49" s="2">
        <v>4</v>
      </c>
      <c r="I49" s="2">
        <v>5</v>
      </c>
      <c r="J49" s="2">
        <v>2</v>
      </c>
      <c r="K49" s="2">
        <v>2</v>
      </c>
      <c r="L49" s="2">
        <v>2</v>
      </c>
      <c r="M49" s="2">
        <v>2</v>
      </c>
      <c r="N49" s="2">
        <v>3</v>
      </c>
      <c r="O49" s="2">
        <v>3</v>
      </c>
      <c r="P49" s="2">
        <v>3</v>
      </c>
      <c r="Q49" s="2">
        <f>SUM(E49:P49)</f>
        <v>34</v>
      </c>
      <c r="R49" s="2"/>
      <c r="S49" s="71"/>
      <c r="T49" s="52" t="s">
        <v>66</v>
      </c>
      <c r="U49" s="61">
        <f t="shared" ref="U49:V51" si="22">SUM($E49:$P49)*C49</f>
        <v>15489.04</v>
      </c>
      <c r="V49" s="61">
        <f t="shared" si="22"/>
        <v>18360</v>
      </c>
      <c r="W49" s="61"/>
      <c r="X49" s="82"/>
      <c r="Y49" s="56"/>
      <c r="Z49" s="56"/>
      <c r="AA49" s="62">
        <f t="shared" ref="AA49:AB52" si="23">U49/$Y$53/12</f>
        <v>455.56</v>
      </c>
      <c r="AB49" s="62">
        <f t="shared" si="23"/>
        <v>540</v>
      </c>
      <c r="AC49" s="63"/>
      <c r="AD49" s="77"/>
      <c r="AE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</row>
    <row r="50" spans="1:80" x14ac:dyDescent="0.2">
      <c r="A50" s="7">
        <v>39</v>
      </c>
      <c r="B50" s="1" t="s">
        <v>37</v>
      </c>
      <c r="C50" s="24">
        <v>0.85660000000000003</v>
      </c>
      <c r="D50" s="24">
        <v>1.0049999999999999</v>
      </c>
      <c r="E50" s="2">
        <v>2113.6907000000001</v>
      </c>
      <c r="F50" s="2">
        <v>3300.8886000000002</v>
      </c>
      <c r="G50" s="2">
        <v>2363.9029</v>
      </c>
      <c r="H50" s="2">
        <v>1366.3733</v>
      </c>
      <c r="I50" s="2">
        <v>996.01670000000001</v>
      </c>
      <c r="J50" s="2">
        <v>146.19689999999991</v>
      </c>
      <c r="K50" s="2">
        <v>0.80269999999999997</v>
      </c>
      <c r="L50" s="2">
        <v>0.60199999999999998</v>
      </c>
      <c r="M50" s="2">
        <v>0.80269999999999997</v>
      </c>
      <c r="N50" s="2">
        <v>337.3365</v>
      </c>
      <c r="O50" s="2">
        <v>1110.7846</v>
      </c>
      <c r="P50" s="2">
        <v>1513.0443</v>
      </c>
      <c r="Q50" s="2">
        <f>SUM(E50:P50)</f>
        <v>13250.4419</v>
      </c>
      <c r="R50" s="2"/>
      <c r="S50" s="71"/>
      <c r="T50" s="52" t="s">
        <v>62</v>
      </c>
      <c r="U50" s="18">
        <f t="shared" si="22"/>
        <v>11350.328531540001</v>
      </c>
      <c r="V50" s="18">
        <f t="shared" si="22"/>
        <v>13316.694109499998</v>
      </c>
      <c r="W50" s="18"/>
      <c r="X50" s="83"/>
      <c r="Y50" s="64"/>
      <c r="Z50" s="65"/>
      <c r="AA50" s="66">
        <f t="shared" si="23"/>
        <v>333.83319210411764</v>
      </c>
      <c r="AB50" s="66">
        <f t="shared" si="23"/>
        <v>391.66747380882344</v>
      </c>
      <c r="AC50" s="63"/>
      <c r="AD50" s="77"/>
      <c r="AE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</row>
    <row r="51" spans="1:80" x14ac:dyDescent="0.2">
      <c r="A51" s="7">
        <v>40</v>
      </c>
      <c r="B51" s="1" t="s">
        <v>28</v>
      </c>
      <c r="C51" s="24">
        <v>0.65699999999999992</v>
      </c>
      <c r="D51" s="24">
        <v>0.77529999999999999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f>SUM(E51:P51)</f>
        <v>0</v>
      </c>
      <c r="R51" s="2"/>
      <c r="S51" s="71"/>
      <c r="T51" s="52" t="s">
        <v>63</v>
      </c>
      <c r="U51" s="18">
        <f t="shared" si="22"/>
        <v>0</v>
      </c>
      <c r="V51" s="18">
        <f t="shared" si="22"/>
        <v>0</v>
      </c>
      <c r="W51" s="18"/>
      <c r="X51" s="83"/>
      <c r="Y51" s="64"/>
      <c r="Z51" s="65"/>
      <c r="AA51" s="66">
        <f t="shared" si="23"/>
        <v>0</v>
      </c>
      <c r="AB51" s="66">
        <f t="shared" si="23"/>
        <v>0</v>
      </c>
      <c r="AC51" s="63"/>
      <c r="AD51" s="77"/>
      <c r="AE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</row>
    <row r="52" spans="1:80" x14ac:dyDescent="0.2">
      <c r="A52" s="7">
        <v>41</v>
      </c>
      <c r="B52" s="26" t="s">
        <v>29</v>
      </c>
      <c r="C52" s="26"/>
      <c r="D52" s="26"/>
      <c r="E52" s="27">
        <f t="shared" ref="E52:Q52" si="24">E50+E51</f>
        <v>2113.6907000000001</v>
      </c>
      <c r="F52" s="27">
        <f t="shared" si="24"/>
        <v>3300.8886000000002</v>
      </c>
      <c r="G52" s="27">
        <f t="shared" si="24"/>
        <v>2363.9029</v>
      </c>
      <c r="H52" s="27">
        <f t="shared" si="24"/>
        <v>1366.3733</v>
      </c>
      <c r="I52" s="27">
        <f t="shared" si="24"/>
        <v>996.01670000000001</v>
      </c>
      <c r="J52" s="27">
        <f t="shared" si="24"/>
        <v>146.19689999999991</v>
      </c>
      <c r="K52" s="27">
        <f t="shared" si="24"/>
        <v>0.80269999999999997</v>
      </c>
      <c r="L52" s="27">
        <f t="shared" si="24"/>
        <v>0.60199999999999998</v>
      </c>
      <c r="M52" s="27">
        <f t="shared" si="24"/>
        <v>0.80269999999999997</v>
      </c>
      <c r="N52" s="27">
        <f t="shared" si="24"/>
        <v>337.3365</v>
      </c>
      <c r="O52" s="27">
        <f t="shared" si="24"/>
        <v>1110.7846</v>
      </c>
      <c r="P52" s="27">
        <f t="shared" si="24"/>
        <v>1513.0443</v>
      </c>
      <c r="Q52" s="27">
        <f t="shared" si="24"/>
        <v>13250.4419</v>
      </c>
      <c r="R52" s="63"/>
      <c r="S52" s="71"/>
      <c r="T52" s="52" t="s">
        <v>65</v>
      </c>
      <c r="U52" s="18">
        <f>SUM($E54:$P54)</f>
        <v>44226.622745205372</v>
      </c>
      <c r="V52" s="18">
        <f>SUM($E54:$P54)</f>
        <v>44226.622745205372</v>
      </c>
      <c r="W52" s="18"/>
      <c r="X52" s="83"/>
      <c r="Y52" s="64"/>
      <c r="Z52" s="65"/>
      <c r="AA52" s="66">
        <f t="shared" si="23"/>
        <v>1300.7830219178049</v>
      </c>
      <c r="AB52" s="66">
        <f t="shared" si="23"/>
        <v>1300.7830219178049</v>
      </c>
      <c r="AC52" s="63"/>
      <c r="AD52" s="77"/>
      <c r="AE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</row>
    <row r="53" spans="1:80" x14ac:dyDescent="0.2">
      <c r="A53" s="7">
        <v>42</v>
      </c>
      <c r="B53" s="1" t="s">
        <v>30</v>
      </c>
      <c r="C53" s="22">
        <f>Q54/Q52</f>
        <v>3.3377470033814776</v>
      </c>
      <c r="E53" s="22">
        <v>3.6001881132384139</v>
      </c>
      <c r="F53" s="22">
        <v>3.2178182322336633</v>
      </c>
      <c r="G53" s="22">
        <v>3.2178182322336633</v>
      </c>
      <c r="H53" s="22">
        <v>3.2178182322336633</v>
      </c>
      <c r="I53" s="22">
        <v>3.4129443471791983</v>
      </c>
      <c r="J53" s="22">
        <v>3.4129443471791983</v>
      </c>
      <c r="K53" s="22">
        <v>3.4129443471791983</v>
      </c>
      <c r="L53" s="22">
        <v>3.415530661331617</v>
      </c>
      <c r="M53" s="22">
        <v>3.415530661331617</v>
      </c>
      <c r="N53" s="22">
        <v>3.415530661331617</v>
      </c>
      <c r="O53" s="22">
        <v>3.4049081287458511</v>
      </c>
      <c r="P53" s="22">
        <v>3.4049081287458511</v>
      </c>
      <c r="Q53" s="22"/>
      <c r="R53" s="22"/>
      <c r="S53" s="71"/>
      <c r="T53" s="41" t="s">
        <v>3</v>
      </c>
      <c r="U53" s="35">
        <f>SUM(U49:U52)</f>
        <v>71065.991276745364</v>
      </c>
      <c r="V53" s="35">
        <f>SUM(V49:V52)</f>
        <v>75903.316854705365</v>
      </c>
      <c r="W53" s="51">
        <f>V53-U53</f>
        <v>4837.3255779600004</v>
      </c>
      <c r="X53" s="79">
        <f>W53/U53</f>
        <v>6.8068079978262377E-2</v>
      </c>
      <c r="Y53" s="64">
        <f>Q49/12</f>
        <v>2.8333333333333335</v>
      </c>
      <c r="Z53" s="65">
        <f>Q52/Y53/12</f>
        <v>389.71887941176465</v>
      </c>
      <c r="AA53" s="53">
        <f>SUM(AA49:AA52)</f>
        <v>2090.1762140219225</v>
      </c>
      <c r="AB53" s="53">
        <f>SUM(AB49:AB52)</f>
        <v>2232.4504957266281</v>
      </c>
      <c r="AC53" s="68">
        <f>AB53-AA53</f>
        <v>142.27428170470557</v>
      </c>
      <c r="AD53" s="79">
        <f>AC53/AA53</f>
        <v>6.8068079978262225E-2</v>
      </c>
      <c r="AE53" s="25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</row>
    <row r="54" spans="1:80" x14ac:dyDescent="0.2">
      <c r="A54" s="7">
        <v>43</v>
      </c>
      <c r="B54" s="1" t="s">
        <v>31</v>
      </c>
      <c r="E54" s="29">
        <f t="shared" ref="E54:P54" si="25">E53*E52</f>
        <v>7609.6841332025824</v>
      </c>
      <c r="F54" s="29">
        <f t="shared" si="25"/>
        <v>10621.659519652252</v>
      </c>
      <c r="G54" s="29">
        <f t="shared" si="25"/>
        <v>7606.6098508500299</v>
      </c>
      <c r="H54" s="29">
        <f t="shared" si="25"/>
        <v>4396.7409167772767</v>
      </c>
      <c r="I54" s="29">
        <f t="shared" si="25"/>
        <v>3399.3495659610794</v>
      </c>
      <c r="J54" s="29">
        <f t="shared" si="25"/>
        <v>498.96188343012221</v>
      </c>
      <c r="K54" s="29">
        <f t="shared" si="25"/>
        <v>2.7395704274807424</v>
      </c>
      <c r="L54" s="29">
        <f t="shared" si="25"/>
        <v>2.0561494581216335</v>
      </c>
      <c r="M54" s="29">
        <f t="shared" si="25"/>
        <v>2.7416464618508889</v>
      </c>
      <c r="N54" s="29">
        <f t="shared" si="25"/>
        <v>1152.183158936293</v>
      </c>
      <c r="O54" s="29">
        <f t="shared" si="25"/>
        <v>3782.1195138257085</v>
      </c>
      <c r="P54" s="29">
        <f t="shared" si="25"/>
        <v>5151.7768362225761</v>
      </c>
      <c r="Q54" s="29">
        <f>SUM(E54:P54)</f>
        <v>44226.622745205372</v>
      </c>
      <c r="R54" s="29"/>
      <c r="S54" s="52"/>
      <c r="T54" s="52"/>
      <c r="U54" s="42"/>
      <c r="V54" s="55"/>
      <c r="W54" s="55"/>
      <c r="X54" s="58"/>
      <c r="Y54" s="64"/>
      <c r="Z54" s="65"/>
      <c r="AA54" s="69"/>
      <c r="AB54" s="69"/>
      <c r="AC54" s="69"/>
      <c r="AD54" s="80"/>
      <c r="AE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</row>
    <row r="55" spans="1:80" x14ac:dyDescent="0.2">
      <c r="A55" s="7">
        <v>44</v>
      </c>
      <c r="E55" s="28"/>
      <c r="S55" s="52"/>
      <c r="T55" s="52"/>
      <c r="U55" s="52"/>
      <c r="V55" s="52"/>
      <c r="W55" s="52"/>
      <c r="X55" s="64"/>
      <c r="Y55" s="64"/>
      <c r="Z55" s="65"/>
      <c r="AA55" s="55"/>
      <c r="AB55" s="55"/>
      <c r="AC55" s="55"/>
      <c r="AD55" s="58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</row>
    <row r="56" spans="1:80" x14ac:dyDescent="0.2">
      <c r="A56" s="7">
        <v>45</v>
      </c>
      <c r="B56" s="19" t="s">
        <v>38</v>
      </c>
      <c r="E56" s="20">
        <f t="shared" ref="E56:P56" si="26">E57*$C$57+E58*$C$58+E59*$C$59</f>
        <v>18773.974472352329</v>
      </c>
      <c r="F56" s="20">
        <f t="shared" si="26"/>
        <v>15334.310833763742</v>
      </c>
      <c r="G56" s="20">
        <f t="shared" si="26"/>
        <v>10176.333154798182</v>
      </c>
      <c r="H56" s="20">
        <f t="shared" si="26"/>
        <v>39552.926887409303</v>
      </c>
      <c r="I56" s="20">
        <f t="shared" si="26"/>
        <v>16700.422292129464</v>
      </c>
      <c r="J56" s="20">
        <f t="shared" si="26"/>
        <v>11388.588700504164</v>
      </c>
      <c r="K56" s="20">
        <f t="shared" si="26"/>
        <v>14959.613617893898</v>
      </c>
      <c r="L56" s="20">
        <f t="shared" si="26"/>
        <v>16584.657457914043</v>
      </c>
      <c r="M56" s="20">
        <f t="shared" si="26"/>
        <v>45063.471866081869</v>
      </c>
      <c r="N56" s="20">
        <f t="shared" si="26"/>
        <v>16017.25611723449</v>
      </c>
      <c r="O56" s="20">
        <f t="shared" si="26"/>
        <v>16887.260082491226</v>
      </c>
      <c r="P56" s="20">
        <f t="shared" si="26"/>
        <v>14120.069599907951</v>
      </c>
      <c r="Q56" s="20">
        <f>SUM(E56:P56)</f>
        <v>235558.88508248067</v>
      </c>
      <c r="R56" s="20"/>
      <c r="S56" s="43" t="str">
        <f>B56</f>
        <v>INTERRUPTIBLE INDUSTRIAL (G-2)</v>
      </c>
      <c r="T56" s="42"/>
      <c r="U56" s="52"/>
      <c r="V56" s="52"/>
      <c r="W56" s="52"/>
      <c r="X56" s="64"/>
      <c r="Y56" s="64"/>
      <c r="Z56" s="49"/>
      <c r="AA56" s="38"/>
      <c r="AB56" s="38"/>
      <c r="AC56" s="38"/>
      <c r="AD56" s="46"/>
      <c r="AE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</row>
    <row r="57" spans="1:80" x14ac:dyDescent="0.2">
      <c r="A57" s="7">
        <v>46</v>
      </c>
      <c r="B57" s="1" t="s">
        <v>36</v>
      </c>
      <c r="C57" s="31">
        <f>C49</f>
        <v>455.56</v>
      </c>
      <c r="D57" s="31">
        <v>540</v>
      </c>
      <c r="E57" s="2">
        <v>5</v>
      </c>
      <c r="F57" s="2">
        <v>5</v>
      </c>
      <c r="G57" s="2">
        <v>5</v>
      </c>
      <c r="H57" s="2">
        <v>6</v>
      </c>
      <c r="I57" s="2">
        <v>6</v>
      </c>
      <c r="J57" s="2">
        <v>6</v>
      </c>
      <c r="K57" s="2">
        <v>5</v>
      </c>
      <c r="L57" s="2">
        <v>5</v>
      </c>
      <c r="M57" s="2">
        <v>5</v>
      </c>
      <c r="N57" s="2">
        <v>5</v>
      </c>
      <c r="O57" s="2">
        <v>5</v>
      </c>
      <c r="P57" s="2">
        <v>5</v>
      </c>
      <c r="Q57" s="2">
        <f>ROUND((SUM(E57:P57)),0)</f>
        <v>63</v>
      </c>
      <c r="R57" s="2"/>
      <c r="S57" s="71"/>
      <c r="T57" s="52" t="s">
        <v>66</v>
      </c>
      <c r="U57" s="61">
        <f t="shared" ref="U57:V59" si="27">SUM($E57:$P57)*C57</f>
        <v>28700.28</v>
      </c>
      <c r="V57" s="61">
        <f t="shared" si="27"/>
        <v>34020</v>
      </c>
      <c r="W57" s="61"/>
      <c r="X57" s="82"/>
      <c r="Y57" s="56"/>
      <c r="Z57" s="56"/>
      <c r="AA57" s="62">
        <f t="shared" ref="AA57:AB60" si="28">U57/$Y$61/12</f>
        <v>455.55999999999995</v>
      </c>
      <c r="AB57" s="62">
        <f t="shared" si="28"/>
        <v>540</v>
      </c>
      <c r="AC57" s="63"/>
      <c r="AD57" s="77"/>
      <c r="AE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</row>
    <row r="58" spans="1:80" x14ac:dyDescent="0.2">
      <c r="A58" s="7">
        <v>47</v>
      </c>
      <c r="B58" s="1" t="s">
        <v>37</v>
      </c>
      <c r="C58" s="24">
        <f>C50</f>
        <v>0.85660000000000003</v>
      </c>
      <c r="D58" s="24">
        <v>1.0049999999999999</v>
      </c>
      <c r="E58" s="2">
        <v>19257.733448928706</v>
      </c>
      <c r="F58" s="2">
        <v>15242.249397342681</v>
      </c>
      <c r="G58" s="2">
        <v>9220.7951842145467</v>
      </c>
      <c r="H58" s="2">
        <v>30567.149000000001</v>
      </c>
      <c r="I58" s="2">
        <v>16305.232654832434</v>
      </c>
      <c r="J58" s="2">
        <v>10104.166122465753</v>
      </c>
      <c r="K58" s="2">
        <v>14804.825610429485</v>
      </c>
      <c r="L58" s="2">
        <v>16701.911578232597</v>
      </c>
      <c r="M58" s="2">
        <v>24423.4</v>
      </c>
      <c r="N58" s="2">
        <v>16039.523835202534</v>
      </c>
      <c r="O58" s="2">
        <v>17055.171704986253</v>
      </c>
      <c r="P58" s="2">
        <v>13824.736866574771</v>
      </c>
      <c r="Q58" s="2">
        <f>SUM(E58:P58)</f>
        <v>203546.89540320975</v>
      </c>
      <c r="R58" s="2"/>
      <c r="S58" s="71"/>
      <c r="T58" s="52" t="s">
        <v>62</v>
      </c>
      <c r="U58" s="18">
        <f t="shared" si="27"/>
        <v>174358.27060238947</v>
      </c>
      <c r="V58" s="18">
        <f t="shared" si="27"/>
        <v>204564.62988022578</v>
      </c>
      <c r="W58" s="18"/>
      <c r="X58" s="83"/>
      <c r="Y58" s="64"/>
      <c r="Z58" s="65"/>
      <c r="AA58" s="66">
        <f t="shared" si="28"/>
        <v>2767.5915968633249</v>
      </c>
      <c r="AB58" s="66">
        <f t="shared" si="28"/>
        <v>3247.0576171464413</v>
      </c>
      <c r="AC58" s="63"/>
      <c r="AD58" s="77"/>
      <c r="AE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</row>
    <row r="59" spans="1:80" x14ac:dyDescent="0.2">
      <c r="A59" s="7">
        <v>48</v>
      </c>
      <c r="B59" s="1" t="s">
        <v>28</v>
      </c>
      <c r="C59" s="24">
        <f>C51</f>
        <v>0.65699999999999992</v>
      </c>
      <c r="D59" s="24">
        <v>0.77529999999999999</v>
      </c>
      <c r="E59" s="2">
        <v>0</v>
      </c>
      <c r="F59" s="2">
        <v>0</v>
      </c>
      <c r="G59" s="2">
        <v>0</v>
      </c>
      <c r="H59" s="2">
        <v>16188.351680379456</v>
      </c>
      <c r="I59" s="2">
        <v>0</v>
      </c>
      <c r="J59" s="2">
        <v>0</v>
      </c>
      <c r="K59" s="2">
        <v>0</v>
      </c>
      <c r="L59" s="2">
        <v>0</v>
      </c>
      <c r="M59" s="2">
        <v>33279.432916410762</v>
      </c>
      <c r="N59" s="2">
        <v>0</v>
      </c>
      <c r="O59" s="2">
        <v>0</v>
      </c>
      <c r="P59" s="2">
        <v>0</v>
      </c>
      <c r="Q59" s="2">
        <f>SUM(E59:P59)</f>
        <v>49467.784596790218</v>
      </c>
      <c r="R59" s="2"/>
      <c r="S59" s="71"/>
      <c r="T59" s="52" t="s">
        <v>63</v>
      </c>
      <c r="U59" s="18">
        <f t="shared" si="27"/>
        <v>32500.334480091169</v>
      </c>
      <c r="V59" s="18">
        <f t="shared" si="27"/>
        <v>38352.373397891453</v>
      </c>
      <c r="W59" s="18"/>
      <c r="X59" s="83"/>
      <c r="Y59" s="64"/>
      <c r="Z59" s="65"/>
      <c r="AA59" s="66">
        <f t="shared" si="28"/>
        <v>515.87832508081226</v>
      </c>
      <c r="AB59" s="66">
        <f t="shared" si="28"/>
        <v>608.76783171256272</v>
      </c>
      <c r="AC59" s="63"/>
      <c r="AD59" s="77"/>
      <c r="AE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</row>
    <row r="60" spans="1:80" x14ac:dyDescent="0.2">
      <c r="A60" s="7">
        <v>49</v>
      </c>
      <c r="B60" s="26" t="s">
        <v>29</v>
      </c>
      <c r="C60" s="26"/>
      <c r="D60" s="26"/>
      <c r="E60" s="27">
        <f t="shared" ref="E60:Q60" si="29">E58+E59</f>
        <v>19257.733448928706</v>
      </c>
      <c r="F60" s="27">
        <f t="shared" si="29"/>
        <v>15242.249397342681</v>
      </c>
      <c r="G60" s="27">
        <f t="shared" si="29"/>
        <v>9220.7951842145467</v>
      </c>
      <c r="H60" s="27">
        <f t="shared" si="29"/>
        <v>46755.500680379453</v>
      </c>
      <c r="I60" s="27">
        <f t="shared" si="29"/>
        <v>16305.232654832434</v>
      </c>
      <c r="J60" s="27">
        <f t="shared" si="29"/>
        <v>10104.166122465753</v>
      </c>
      <c r="K60" s="27">
        <f t="shared" si="29"/>
        <v>14804.825610429485</v>
      </c>
      <c r="L60" s="27">
        <f t="shared" si="29"/>
        <v>16701.911578232597</v>
      </c>
      <c r="M60" s="27">
        <f t="shared" si="29"/>
        <v>57702.832916410764</v>
      </c>
      <c r="N60" s="27">
        <f t="shared" si="29"/>
        <v>16039.523835202534</v>
      </c>
      <c r="O60" s="27">
        <f t="shared" si="29"/>
        <v>17055.171704986253</v>
      </c>
      <c r="P60" s="27">
        <f t="shared" si="29"/>
        <v>13824.736866574771</v>
      </c>
      <c r="Q60" s="27">
        <f t="shared" si="29"/>
        <v>253014.67999999996</v>
      </c>
      <c r="R60" s="63"/>
      <c r="S60" s="71"/>
      <c r="T60" s="52" t="s">
        <v>65</v>
      </c>
      <c r="U60" s="18">
        <f>SUM($E62:$P62)</f>
        <v>853220.07394776482</v>
      </c>
      <c r="V60" s="18">
        <f>SUM($E62:$P62)</f>
        <v>853220.07394776482</v>
      </c>
      <c r="W60" s="18"/>
      <c r="X60" s="83"/>
      <c r="Y60" s="64"/>
      <c r="Z60" s="65"/>
      <c r="AA60" s="66">
        <f t="shared" si="28"/>
        <v>13543.175776948648</v>
      </c>
      <c r="AB60" s="66">
        <f t="shared" si="28"/>
        <v>13543.175776948648</v>
      </c>
      <c r="AC60" s="63"/>
      <c r="AD60" s="77"/>
      <c r="AE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</row>
    <row r="61" spans="1:80" x14ac:dyDescent="0.2">
      <c r="A61" s="7">
        <v>50</v>
      </c>
      <c r="B61" s="1" t="s">
        <v>30</v>
      </c>
      <c r="E61" s="22">
        <v>3.6001881132384139</v>
      </c>
      <c r="F61" s="22">
        <v>3.2178182322336633</v>
      </c>
      <c r="G61" s="22">
        <v>3.2178182322336633</v>
      </c>
      <c r="H61" s="22">
        <v>3.2178182322336633</v>
      </c>
      <c r="I61" s="22">
        <v>3.4129443471791983</v>
      </c>
      <c r="J61" s="22">
        <v>3.4129443471791983</v>
      </c>
      <c r="K61" s="22">
        <v>3.4129443471791983</v>
      </c>
      <c r="L61" s="22">
        <v>3.415530661331617</v>
      </c>
      <c r="M61" s="22">
        <v>3.415530661331617</v>
      </c>
      <c r="N61" s="22">
        <v>3.415530661331617</v>
      </c>
      <c r="O61" s="22">
        <v>3.4049081287458511</v>
      </c>
      <c r="P61" s="22">
        <v>3.4049081287458511</v>
      </c>
      <c r="Q61" s="22"/>
      <c r="R61" s="22"/>
      <c r="S61" s="71"/>
      <c r="T61" s="41" t="s">
        <v>3</v>
      </c>
      <c r="U61" s="35">
        <f>SUM(U57:U60)</f>
        <v>1088778.9590302454</v>
      </c>
      <c r="V61" s="35">
        <f>SUM(V57:V60)</f>
        <v>1130157.0772258821</v>
      </c>
      <c r="W61" s="51">
        <f>V61-U61</f>
        <v>41378.118195636664</v>
      </c>
      <c r="X61" s="79">
        <f>W61/U61</f>
        <v>3.8004149375270219E-2</v>
      </c>
      <c r="Y61" s="64">
        <f>Q57/12</f>
        <v>5.25</v>
      </c>
      <c r="Z61" s="65">
        <f>Q60/Y61/12</f>
        <v>4016.106031746031</v>
      </c>
      <c r="AA61" s="53">
        <f>SUM(AA57:AA60)</f>
        <v>17282.205698892787</v>
      </c>
      <c r="AB61" s="53">
        <f>SUM(AB57:AB60)</f>
        <v>17939.001225807653</v>
      </c>
      <c r="AC61" s="68">
        <f>AB61-AA61</f>
        <v>656.79552691486606</v>
      </c>
      <c r="AD61" s="79">
        <f>AC61/AA61</f>
        <v>3.8004149375270121E-2</v>
      </c>
      <c r="AE61" s="25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</row>
    <row r="62" spans="1:80" x14ac:dyDescent="0.2">
      <c r="A62" s="7">
        <v>51</v>
      </c>
      <c r="B62" s="1" t="s">
        <v>31</v>
      </c>
      <c r="E62" s="29">
        <f t="shared" ref="E62:P62" si="30">E61*E60</f>
        <v>69331.463050746926</v>
      </c>
      <c r="F62" s="29">
        <f t="shared" si="30"/>
        <v>49046.788011021847</v>
      </c>
      <c r="G62" s="29">
        <f t="shared" si="30"/>
        <v>29670.842859457927</v>
      </c>
      <c r="H62" s="29">
        <f t="shared" si="30"/>
        <v>150450.70254653846</v>
      </c>
      <c r="I62" s="29">
        <f t="shared" si="30"/>
        <v>55648.851618752029</v>
      </c>
      <c r="J62" s="29">
        <f t="shared" si="30"/>
        <v>34484.95665062905</v>
      </c>
      <c r="K62" s="29">
        <f t="shared" si="30"/>
        <v>50528.045878089135</v>
      </c>
      <c r="L62" s="29">
        <f t="shared" si="30"/>
        <v>57045.891098302971</v>
      </c>
      <c r="M62" s="29">
        <f t="shared" si="30"/>
        <v>197085.79507169625</v>
      </c>
      <c r="N62" s="29">
        <f t="shared" si="30"/>
        <v>54783.485452293542</v>
      </c>
      <c r="O62" s="29">
        <f t="shared" si="30"/>
        <v>58071.292775463931</v>
      </c>
      <c r="P62" s="29">
        <f t="shared" si="30"/>
        <v>47071.958934772883</v>
      </c>
      <c r="Q62" s="29">
        <f>SUM(E62:P62)</f>
        <v>853220.07394776482</v>
      </c>
      <c r="R62" s="29"/>
      <c r="S62" s="52"/>
      <c r="T62" s="52"/>
      <c r="U62" s="42"/>
      <c r="V62" s="55"/>
      <c r="W62" s="55"/>
      <c r="X62" s="58"/>
      <c r="Y62" s="64"/>
      <c r="Z62" s="65"/>
      <c r="AA62" s="69"/>
      <c r="AB62" s="69"/>
      <c r="AC62" s="69"/>
      <c r="AD62" s="80"/>
      <c r="AE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</row>
    <row r="63" spans="1:80" x14ac:dyDescent="0.2">
      <c r="A63" s="7">
        <v>52</v>
      </c>
      <c r="E63" s="28"/>
      <c r="S63" s="52"/>
      <c r="T63" s="52"/>
      <c r="U63" s="52"/>
      <c r="V63" s="52"/>
      <c r="W63" s="52"/>
      <c r="X63" s="64"/>
      <c r="Y63" s="64"/>
      <c r="Z63" s="65"/>
      <c r="AA63" s="55"/>
      <c r="AB63" s="55"/>
      <c r="AC63" s="55"/>
      <c r="AD63" s="58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</row>
    <row r="64" spans="1:80" x14ac:dyDescent="0.2">
      <c r="A64" s="7">
        <v>53</v>
      </c>
      <c r="B64" s="19" t="s">
        <v>39</v>
      </c>
      <c r="E64" s="20">
        <f>E65*$C$65+E69*$C$69+E70*$C$70+E71*$C$71+E66+E67+E68</f>
        <v>837492.52625966154</v>
      </c>
      <c r="F64" s="20">
        <f t="shared" ref="F64:P64" si="31">F65*$C$65+F69*$C$69+F70*$C$70+F71*$C$71+F66+F67+F68</f>
        <v>911752.38047432574</v>
      </c>
      <c r="G64" s="20">
        <f t="shared" si="31"/>
        <v>856371.58455759776</v>
      </c>
      <c r="H64" s="20">
        <f t="shared" si="31"/>
        <v>738197.00861061167</v>
      </c>
      <c r="I64" s="20">
        <f t="shared" si="31"/>
        <v>531819.93462887057</v>
      </c>
      <c r="J64" s="20">
        <f t="shared" si="31"/>
        <v>515879.7563281568</v>
      </c>
      <c r="K64" s="20">
        <f t="shared" si="31"/>
        <v>551747.10249354807</v>
      </c>
      <c r="L64" s="20">
        <f t="shared" si="31"/>
        <v>540068.74134925636</v>
      </c>
      <c r="M64" s="20">
        <f t="shared" si="31"/>
        <v>556633.32253357454</v>
      </c>
      <c r="N64" s="20">
        <f t="shared" si="31"/>
        <v>614218.26129517017</v>
      </c>
      <c r="O64" s="20">
        <f t="shared" si="31"/>
        <v>675093.32617408957</v>
      </c>
      <c r="P64" s="20">
        <f t="shared" si="31"/>
        <v>713429.86801274214</v>
      </c>
      <c r="Q64" s="20">
        <f>SUM(E64:P64)</f>
        <v>8042703.8127176063</v>
      </c>
      <c r="R64" s="20"/>
      <c r="S64" s="43" t="str">
        <f>B64</f>
        <v>TRANSPORTATION (T-4)</v>
      </c>
      <c r="T64" s="42"/>
      <c r="U64" s="52"/>
      <c r="V64" s="52"/>
      <c r="W64" s="52"/>
      <c r="X64" s="64"/>
      <c r="Y64" s="64"/>
      <c r="Z64" s="49"/>
      <c r="AA64" s="38"/>
      <c r="AB64" s="38"/>
      <c r="AC64" s="38"/>
      <c r="AD64" s="46"/>
      <c r="AE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</row>
    <row r="65" spans="1:80" x14ac:dyDescent="0.2">
      <c r="A65" s="7">
        <v>54</v>
      </c>
      <c r="B65" s="1" t="s">
        <v>40</v>
      </c>
      <c r="C65" s="22">
        <v>458.2</v>
      </c>
      <c r="D65" s="22">
        <v>540</v>
      </c>
      <c r="E65" s="2">
        <v>119</v>
      </c>
      <c r="F65" s="2">
        <v>119</v>
      </c>
      <c r="G65" s="2">
        <v>118.60919540229885</v>
      </c>
      <c r="H65" s="2">
        <v>120</v>
      </c>
      <c r="I65" s="2">
        <v>119</v>
      </c>
      <c r="J65" s="2">
        <v>119</v>
      </c>
      <c r="K65" s="2">
        <v>119</v>
      </c>
      <c r="L65" s="2">
        <v>119</v>
      </c>
      <c r="M65" s="2">
        <v>119</v>
      </c>
      <c r="N65" s="2">
        <v>119</v>
      </c>
      <c r="O65" s="2">
        <v>119</v>
      </c>
      <c r="P65" s="2">
        <v>119</v>
      </c>
      <c r="Q65" s="2">
        <f>SUM(E65:P65)</f>
        <v>1428.6091954022988</v>
      </c>
      <c r="R65" s="2"/>
      <c r="S65" s="71"/>
      <c r="T65" s="52" t="s">
        <v>66</v>
      </c>
      <c r="U65" s="61">
        <f>SUM($E65:$P65)*C65</f>
        <v>654588.73333333328</v>
      </c>
      <c r="V65" s="61">
        <f>SUM($E65:$P65)*D65</f>
        <v>771448.96551724139</v>
      </c>
      <c r="W65" s="61"/>
      <c r="X65" s="82"/>
      <c r="Y65" s="56"/>
      <c r="Z65" s="56"/>
      <c r="AA65" s="62">
        <f t="shared" ref="AA65:AB71" si="32">U65/$Y$72/12</f>
        <v>458.2</v>
      </c>
      <c r="AB65" s="62">
        <f t="shared" si="32"/>
        <v>540</v>
      </c>
      <c r="AC65" s="63"/>
      <c r="AD65" s="77"/>
      <c r="AE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</row>
    <row r="66" spans="1:80" x14ac:dyDescent="0.2">
      <c r="A66" s="7">
        <v>55</v>
      </c>
      <c r="B66" s="1" t="s">
        <v>41</v>
      </c>
      <c r="E66" s="2">
        <v>5900</v>
      </c>
      <c r="F66" s="2">
        <v>5900</v>
      </c>
      <c r="G66" s="2">
        <v>5900</v>
      </c>
      <c r="H66" s="2">
        <v>5950</v>
      </c>
      <c r="I66" s="2">
        <v>5900</v>
      </c>
      <c r="J66" s="2">
        <v>5900</v>
      </c>
      <c r="K66" s="2">
        <v>5900</v>
      </c>
      <c r="L66" s="2">
        <v>5900</v>
      </c>
      <c r="M66" s="2">
        <v>5900</v>
      </c>
      <c r="N66" s="2">
        <v>5900</v>
      </c>
      <c r="O66" s="2">
        <v>5900</v>
      </c>
      <c r="P66" s="2">
        <v>5900</v>
      </c>
      <c r="Q66" s="29">
        <f t="shared" ref="Q66:Q71" si="33">SUM(E66:P66)</f>
        <v>70850</v>
      </c>
      <c r="R66" s="29"/>
      <c r="S66" s="71"/>
      <c r="T66" s="52" t="s">
        <v>41</v>
      </c>
      <c r="U66" s="18">
        <f t="shared" ref="U66:V68" si="34">SUM($E66:$P66)</f>
        <v>70850</v>
      </c>
      <c r="V66" s="18">
        <f t="shared" si="34"/>
        <v>70850</v>
      </c>
      <c r="W66" s="18"/>
      <c r="X66" s="83"/>
      <c r="Y66" s="64"/>
      <c r="Z66" s="65"/>
      <c r="AA66" s="66">
        <f t="shared" si="32"/>
        <v>49.59368890247729</v>
      </c>
      <c r="AB66" s="66">
        <f t="shared" si="32"/>
        <v>49.59368890247729</v>
      </c>
      <c r="AC66" s="69"/>
      <c r="AD66" s="80"/>
      <c r="AE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</row>
    <row r="67" spans="1:80" x14ac:dyDescent="0.2">
      <c r="A67" s="7">
        <v>56</v>
      </c>
      <c r="B67" s="1" t="s">
        <v>42</v>
      </c>
      <c r="E67" s="2">
        <v>6750</v>
      </c>
      <c r="F67" s="2">
        <v>6750</v>
      </c>
      <c r="G67" s="2">
        <v>6750</v>
      </c>
      <c r="H67" s="2">
        <v>6825</v>
      </c>
      <c r="I67" s="2">
        <v>6750</v>
      </c>
      <c r="J67" s="2">
        <v>6750</v>
      </c>
      <c r="K67" s="2">
        <v>6750</v>
      </c>
      <c r="L67" s="2">
        <v>6750</v>
      </c>
      <c r="M67" s="2">
        <v>6750</v>
      </c>
      <c r="N67" s="2">
        <v>6750</v>
      </c>
      <c r="O67" s="2">
        <v>6750</v>
      </c>
      <c r="P67" s="2">
        <v>6750</v>
      </c>
      <c r="Q67" s="29">
        <f t="shared" si="33"/>
        <v>81075</v>
      </c>
      <c r="R67" s="29"/>
      <c r="S67" s="71"/>
      <c r="T67" s="52" t="s">
        <v>42</v>
      </c>
      <c r="U67" s="18">
        <f t="shared" si="34"/>
        <v>81075</v>
      </c>
      <c r="V67" s="18">
        <f t="shared" si="34"/>
        <v>81075</v>
      </c>
      <c r="W67" s="18"/>
      <c r="X67" s="83"/>
      <c r="Y67" s="64"/>
      <c r="Z67" s="65"/>
      <c r="AA67" s="66">
        <f t="shared" si="32"/>
        <v>56.750999686215188</v>
      </c>
      <c r="AB67" s="66">
        <f t="shared" si="32"/>
        <v>56.750999686215188</v>
      </c>
      <c r="AC67" s="69"/>
      <c r="AD67" s="80"/>
      <c r="AE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</row>
    <row r="68" spans="1:80" x14ac:dyDescent="0.2">
      <c r="A68" s="7">
        <v>57</v>
      </c>
      <c r="B68" s="1" t="s">
        <v>43</v>
      </c>
      <c r="E68" s="2">
        <v>0</v>
      </c>
      <c r="F68" s="2">
        <v>6.03</v>
      </c>
      <c r="G68" s="2">
        <v>36.270000000000003</v>
      </c>
      <c r="H68" s="2">
        <v>29.79</v>
      </c>
      <c r="I68" s="2">
        <v>11</v>
      </c>
      <c r="J68" s="2">
        <v>5.9</v>
      </c>
      <c r="K68" s="2">
        <v>0.64</v>
      </c>
      <c r="L68" s="2">
        <v>0.05</v>
      </c>
      <c r="M68" s="2">
        <v>1.3800000000000001</v>
      </c>
      <c r="N68" s="2">
        <v>0.69</v>
      </c>
      <c r="O68" s="2">
        <v>0.28999999999999998</v>
      </c>
      <c r="P68" s="2">
        <v>0</v>
      </c>
      <c r="Q68" s="29">
        <f t="shared" si="33"/>
        <v>92.04</v>
      </c>
      <c r="R68" s="29"/>
      <c r="S68" s="71"/>
      <c r="T68" s="52" t="s">
        <v>43</v>
      </c>
      <c r="U68" s="18">
        <f t="shared" si="34"/>
        <v>92.04</v>
      </c>
      <c r="V68" s="18">
        <f t="shared" si="34"/>
        <v>92.04</v>
      </c>
      <c r="W68" s="18"/>
      <c r="X68" s="83"/>
      <c r="Y68" s="64"/>
      <c r="Z68" s="65"/>
      <c r="AA68" s="66">
        <f t="shared" si="32"/>
        <v>6.442629677606225E-2</v>
      </c>
      <c r="AB68" s="66">
        <f t="shared" si="32"/>
        <v>6.442629677606225E-2</v>
      </c>
      <c r="AC68" s="69"/>
      <c r="AD68" s="80"/>
      <c r="AE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x14ac:dyDescent="0.2">
      <c r="A69" s="7">
        <v>58</v>
      </c>
      <c r="B69" s="1" t="s">
        <v>44</v>
      </c>
      <c r="C69" s="24">
        <v>1.4507999999999999</v>
      </c>
      <c r="D69" s="24">
        <v>1.68</v>
      </c>
      <c r="E69" s="2">
        <v>35863.476999999999</v>
      </c>
      <c r="F69" s="2">
        <v>36000</v>
      </c>
      <c r="G69" s="2">
        <v>36000</v>
      </c>
      <c r="H69" s="2">
        <v>36300</v>
      </c>
      <c r="I69" s="2">
        <v>33937.821320476956</v>
      </c>
      <c r="J69" s="2">
        <v>34224.027999999998</v>
      </c>
      <c r="K69" s="2">
        <v>32981.224000000002</v>
      </c>
      <c r="L69" s="2">
        <v>32222.318000000003</v>
      </c>
      <c r="M69" s="2">
        <v>32040.560000000001</v>
      </c>
      <c r="N69" s="2">
        <v>33052.184999999998</v>
      </c>
      <c r="O69" s="2">
        <v>34413.921999999999</v>
      </c>
      <c r="P69" s="2">
        <v>35949.945</v>
      </c>
      <c r="Q69" s="2">
        <f t="shared" si="33"/>
        <v>412985.48032047699</v>
      </c>
      <c r="R69" s="2"/>
      <c r="S69" s="71"/>
      <c r="T69" s="52" t="s">
        <v>70</v>
      </c>
      <c r="U69" s="18">
        <f t="shared" ref="U69:V71" si="35">SUM($E69:$P69)*C69</f>
        <v>599159.33484894794</v>
      </c>
      <c r="V69" s="18">
        <f t="shared" si="35"/>
        <v>693815.60693840135</v>
      </c>
      <c r="W69" s="18"/>
      <c r="X69" s="83"/>
      <c r="Y69" s="64"/>
      <c r="Z69" s="65"/>
      <c r="AA69" s="66">
        <f t="shared" si="32"/>
        <v>419.40044679624481</v>
      </c>
      <c r="AB69" s="66">
        <f t="shared" si="32"/>
        <v>485.65808562013467</v>
      </c>
      <c r="AC69" s="63"/>
      <c r="AD69" s="77"/>
      <c r="AE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x14ac:dyDescent="0.2">
      <c r="A70" s="7">
        <v>59</v>
      </c>
      <c r="B70" s="1" t="s">
        <v>45</v>
      </c>
      <c r="C70" s="24">
        <v>1.0029999999999999</v>
      </c>
      <c r="D70" s="24">
        <v>1.1739999999999999</v>
      </c>
      <c r="E70" s="2">
        <v>563013.02849058039</v>
      </c>
      <c r="F70" s="2">
        <v>599375.06625363801</v>
      </c>
      <c r="G70" s="2">
        <v>587607.46713745699</v>
      </c>
      <c r="H70" s="2">
        <v>487844.06393351639</v>
      </c>
      <c r="I70" s="2">
        <v>326093.72723592009</v>
      </c>
      <c r="J70" s="2">
        <v>334302.76946244715</v>
      </c>
      <c r="K70" s="2">
        <v>354217.87178598484</v>
      </c>
      <c r="L70" s="2">
        <v>343932.27674937999</v>
      </c>
      <c r="M70" s="2">
        <v>358032.49961217202</v>
      </c>
      <c r="N70" s="2">
        <v>381991.85829539393</v>
      </c>
      <c r="O70" s="2">
        <v>439067.42204190354</v>
      </c>
      <c r="P70" s="2">
        <v>473683.72967400646</v>
      </c>
      <c r="Q70" s="2">
        <f t="shared" si="33"/>
        <v>5249161.7806724003</v>
      </c>
      <c r="R70" s="2"/>
      <c r="S70" s="71"/>
      <c r="T70" s="52" t="s">
        <v>71</v>
      </c>
      <c r="U70" s="18">
        <f t="shared" si="35"/>
        <v>5264909.2660144167</v>
      </c>
      <c r="V70" s="18">
        <f t="shared" si="35"/>
        <v>6162515.9305093978</v>
      </c>
      <c r="W70" s="18"/>
      <c r="X70" s="83"/>
      <c r="Y70" s="64"/>
      <c r="Z70" s="65"/>
      <c r="AA70" s="66">
        <f t="shared" si="32"/>
        <v>3685.3390577062673</v>
      </c>
      <c r="AB70" s="66">
        <f t="shared" si="32"/>
        <v>4313.6471124099289</v>
      </c>
      <c r="AC70" s="63"/>
      <c r="AD70" s="77"/>
      <c r="AE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x14ac:dyDescent="0.2">
      <c r="A71" s="7">
        <v>60</v>
      </c>
      <c r="B71" s="1" t="s">
        <v>46</v>
      </c>
      <c r="C71" s="24">
        <v>0.80119999999999991</v>
      </c>
      <c r="D71" s="24">
        <v>0.93899999999999995</v>
      </c>
      <c r="E71" s="2">
        <v>191692.36926112015</v>
      </c>
      <c r="F71" s="2">
        <v>238602.79458553036</v>
      </c>
      <c r="G71" s="2">
        <v>184397.76795481177</v>
      </c>
      <c r="H71" s="2">
        <v>160305.27020131654</v>
      </c>
      <c r="I71" s="2">
        <v>110239.80908573988</v>
      </c>
      <c r="J71" s="2">
        <v>79555.86462172032</v>
      </c>
      <c r="K71" s="2">
        <v>101648.74851847885</v>
      </c>
      <c r="L71" s="2">
        <v>101323.86272494801</v>
      </c>
      <c r="M71" s="2">
        <v>104674.36467120086</v>
      </c>
      <c r="N71" s="2">
        <v>144722.70023326276</v>
      </c>
      <c r="O71" s="2">
        <v>146785.93837800849</v>
      </c>
      <c r="P71" s="2">
        <v>148518.60577098565</v>
      </c>
      <c r="Q71" s="2">
        <f t="shared" si="33"/>
        <v>1712468.0960071238</v>
      </c>
      <c r="R71" s="2"/>
      <c r="S71" s="71"/>
      <c r="T71" s="52" t="s">
        <v>72</v>
      </c>
      <c r="U71" s="18">
        <f t="shared" si="35"/>
        <v>1372029.4385209074</v>
      </c>
      <c r="V71" s="18">
        <f t="shared" si="35"/>
        <v>1608007.5421506893</v>
      </c>
      <c r="W71" s="18"/>
      <c r="X71" s="83"/>
      <c r="Y71" s="64"/>
      <c r="Z71" s="65"/>
      <c r="AA71" s="66">
        <f t="shared" si="32"/>
        <v>960.39521720601942</v>
      </c>
      <c r="AB71" s="66">
        <f t="shared" si="32"/>
        <v>1125.5755229111985</v>
      </c>
      <c r="AC71" s="63"/>
      <c r="AD71" s="77"/>
      <c r="AE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x14ac:dyDescent="0.2">
      <c r="A72" s="7">
        <v>61</v>
      </c>
      <c r="B72" s="26" t="s">
        <v>29</v>
      </c>
      <c r="C72" s="26"/>
      <c r="D72" s="26"/>
      <c r="E72" s="27">
        <f t="shared" ref="E72:P72" si="36">E69+E70+E71</f>
        <v>790568.87475170055</v>
      </c>
      <c r="F72" s="27">
        <f t="shared" si="36"/>
        <v>873977.86083916831</v>
      </c>
      <c r="G72" s="27">
        <f t="shared" si="36"/>
        <v>808005.23509226879</v>
      </c>
      <c r="H72" s="27">
        <f t="shared" si="36"/>
        <v>684449.33413483296</v>
      </c>
      <c r="I72" s="27">
        <f t="shared" si="36"/>
        <v>470271.35764213692</v>
      </c>
      <c r="J72" s="27">
        <f t="shared" si="36"/>
        <v>448082.66208416747</v>
      </c>
      <c r="K72" s="27">
        <f t="shared" si="36"/>
        <v>488847.84430446371</v>
      </c>
      <c r="L72" s="27">
        <f t="shared" si="36"/>
        <v>477478.457474328</v>
      </c>
      <c r="M72" s="27">
        <f t="shared" si="36"/>
        <v>494747.42428337288</v>
      </c>
      <c r="N72" s="27">
        <f t="shared" si="36"/>
        <v>559766.74352865666</v>
      </c>
      <c r="O72" s="27">
        <f t="shared" si="36"/>
        <v>620267.28241991205</v>
      </c>
      <c r="P72" s="27">
        <f t="shared" si="36"/>
        <v>658152.28044499212</v>
      </c>
      <c r="Q72" s="27">
        <f>SUM(E72:P72)</f>
        <v>7374615.3569999998</v>
      </c>
      <c r="R72" s="63"/>
      <c r="S72" s="71"/>
      <c r="T72" s="41" t="s">
        <v>3</v>
      </c>
      <c r="U72" s="35">
        <f>SUM(U65:U71)</f>
        <v>8042703.8127176054</v>
      </c>
      <c r="V72" s="35">
        <f>SUM(V65:V71)</f>
        <v>9387805.0851157308</v>
      </c>
      <c r="W72" s="51">
        <f>V72-U72</f>
        <v>1345101.2723981254</v>
      </c>
      <c r="X72" s="79">
        <f>W72/U72</f>
        <v>0.16724490963737476</v>
      </c>
      <c r="Y72" s="64">
        <f>Q65/12</f>
        <v>119.05076628352491</v>
      </c>
      <c r="Z72" s="65">
        <f>Q72/Y72/12</f>
        <v>5162.0942807408537</v>
      </c>
      <c r="AA72" s="53">
        <f>SUM(AA65:AA71)</f>
        <v>5629.7438365939997</v>
      </c>
      <c r="AB72" s="53">
        <f>SUM(AB65:AB71)</f>
        <v>6571.2898358267303</v>
      </c>
      <c r="AC72" s="68">
        <f>AB72-AA72</f>
        <v>941.54599923273054</v>
      </c>
      <c r="AD72" s="79">
        <f>AC72/AA72</f>
        <v>0.16724490963737468</v>
      </c>
      <c r="AE72" s="25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x14ac:dyDescent="0.2">
      <c r="A73" s="7">
        <v>62</v>
      </c>
      <c r="E73" s="28"/>
      <c r="Q73" s="22"/>
      <c r="R73" s="22"/>
      <c r="S73" s="52"/>
      <c r="T73" s="52"/>
      <c r="U73" s="52"/>
      <c r="V73" s="52"/>
      <c r="W73" s="52"/>
      <c r="X73" s="64"/>
      <c r="Y73" s="64"/>
      <c r="Z73" s="65"/>
      <c r="AA73" s="55"/>
      <c r="AB73" s="55"/>
      <c r="AC73" s="55"/>
      <c r="AD73" s="58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x14ac:dyDescent="0.2">
      <c r="A74" s="7">
        <v>63</v>
      </c>
      <c r="B74" s="19" t="s">
        <v>47</v>
      </c>
      <c r="E74" s="32">
        <f>E75*$C$75+E76*$C$76+E77*$C$77</f>
        <v>1143.869067075</v>
      </c>
      <c r="F74" s="32">
        <f t="shared" ref="F74:P74" si="37">F75*$C$75+F76*$C$76+F77*$C$77</f>
        <v>2586.0043355999996</v>
      </c>
      <c r="G74" s="32">
        <f t="shared" si="37"/>
        <v>2001.221573399999</v>
      </c>
      <c r="H74" s="32">
        <f t="shared" si="37"/>
        <v>1032.8000738999992</v>
      </c>
      <c r="I74" s="32">
        <f t="shared" si="37"/>
        <v>1063.5071711250007</v>
      </c>
      <c r="J74" s="32">
        <f t="shared" si="37"/>
        <v>0</v>
      </c>
      <c r="K74" s="32">
        <f t="shared" si="37"/>
        <v>1145.7741660749998</v>
      </c>
      <c r="L74" s="32">
        <f t="shared" si="37"/>
        <v>23.905549499999914</v>
      </c>
      <c r="M74" s="32">
        <f t="shared" si="37"/>
        <v>0</v>
      </c>
      <c r="N74" s="32">
        <f t="shared" si="37"/>
        <v>1012.2938637000009</v>
      </c>
      <c r="O74" s="32">
        <f t="shared" si="37"/>
        <v>1586.5102123499992</v>
      </c>
      <c r="P74" s="32">
        <f t="shared" si="37"/>
        <v>1868.7225117749997</v>
      </c>
      <c r="Q74" s="32">
        <f>SUM(E74:P74)</f>
        <v>13464.608524499998</v>
      </c>
      <c r="R74" s="32"/>
      <c r="S74" s="43" t="str">
        <f>B74</f>
        <v>ECONOMIC DEV RIDER (EDR)</v>
      </c>
      <c r="T74" s="42"/>
      <c r="U74" s="52"/>
      <c r="V74" s="52"/>
      <c r="W74" s="52"/>
      <c r="X74" s="64"/>
      <c r="Y74" s="64"/>
      <c r="Z74" s="65"/>
      <c r="AA74" s="55"/>
      <c r="AB74" s="55"/>
      <c r="AC74" s="55"/>
      <c r="AD74" s="58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x14ac:dyDescent="0.2">
      <c r="A75" s="7">
        <v>64</v>
      </c>
      <c r="B75" s="1" t="s">
        <v>44</v>
      </c>
      <c r="C75" s="1">
        <v>1.0391249999999999</v>
      </c>
      <c r="D75" s="33">
        <v>1.26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f t="shared" ref="Q75:Q77" si="38">SUM(E75:P75)</f>
        <v>0</v>
      </c>
      <c r="R75" s="2"/>
      <c r="S75" s="71"/>
      <c r="T75" s="55" t="s">
        <v>44</v>
      </c>
      <c r="U75" s="61">
        <f t="shared" ref="U75:V77" si="39">SUM($E75:$P75)*C75</f>
        <v>0</v>
      </c>
      <c r="V75" s="61">
        <f t="shared" si="39"/>
        <v>0</v>
      </c>
      <c r="W75" s="61"/>
      <c r="X75" s="82"/>
      <c r="Y75" s="64"/>
      <c r="Z75" s="65"/>
      <c r="AA75" s="55"/>
      <c r="AB75" s="55"/>
      <c r="AC75" s="55"/>
      <c r="AD75" s="58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x14ac:dyDescent="0.2">
      <c r="A76" s="7">
        <v>65</v>
      </c>
      <c r="B76" s="1" t="s">
        <v>45</v>
      </c>
      <c r="C76" s="33">
        <v>0.71835000000000004</v>
      </c>
      <c r="D76" s="33">
        <v>0.88049999999999995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f t="shared" si="38"/>
        <v>0</v>
      </c>
      <c r="R76" s="2"/>
      <c r="S76" s="71"/>
      <c r="T76" s="55" t="s">
        <v>45</v>
      </c>
      <c r="U76" s="18">
        <f t="shared" si="39"/>
        <v>0</v>
      </c>
      <c r="V76" s="18">
        <f t="shared" si="39"/>
        <v>0</v>
      </c>
      <c r="W76" s="18"/>
      <c r="X76" s="83"/>
      <c r="Y76" s="64"/>
      <c r="Z76" s="65"/>
      <c r="AA76" s="55"/>
      <c r="AB76" s="55"/>
      <c r="AC76" s="55"/>
      <c r="AD76" s="58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x14ac:dyDescent="0.2">
      <c r="A77" s="7">
        <v>66</v>
      </c>
      <c r="B77" s="1" t="s">
        <v>48</v>
      </c>
      <c r="C77" s="33">
        <v>0.57382499999999992</v>
      </c>
      <c r="D77" s="33">
        <v>0.70424999999999993</v>
      </c>
      <c r="E77" s="2">
        <v>1993.4110000000001</v>
      </c>
      <c r="F77" s="2">
        <v>4506.6080000000002</v>
      </c>
      <c r="G77" s="2">
        <v>3487.5119999999988</v>
      </c>
      <c r="H77" s="2">
        <v>1799.851999999999</v>
      </c>
      <c r="I77" s="2">
        <v>1853.3650000000016</v>
      </c>
      <c r="J77" s="2">
        <v>0</v>
      </c>
      <c r="K77" s="2">
        <v>1996.7309999999998</v>
      </c>
      <c r="L77" s="2">
        <v>41.659999999999854</v>
      </c>
      <c r="M77" s="2">
        <v>0</v>
      </c>
      <c r="N77" s="2">
        <v>1764.1160000000018</v>
      </c>
      <c r="O77" s="2">
        <v>2764.7979999999989</v>
      </c>
      <c r="P77" s="2">
        <v>3256.607</v>
      </c>
      <c r="Q77" s="2">
        <f t="shared" si="38"/>
        <v>23464.66</v>
      </c>
      <c r="R77" s="2"/>
      <c r="S77" s="71"/>
      <c r="T77" s="55" t="s">
        <v>48</v>
      </c>
      <c r="U77" s="18">
        <f t="shared" si="39"/>
        <v>13464.608524499998</v>
      </c>
      <c r="V77" s="18">
        <f t="shared" si="39"/>
        <v>16524.986804999997</v>
      </c>
      <c r="W77" s="18"/>
      <c r="X77" s="83"/>
      <c r="Y77" s="64"/>
      <c r="Z77" s="65"/>
      <c r="AA77" s="55"/>
      <c r="AB77" s="55"/>
      <c r="AC77" s="55"/>
      <c r="AD77" s="58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x14ac:dyDescent="0.2">
      <c r="A78" s="7">
        <v>67</v>
      </c>
      <c r="B78" s="26" t="s">
        <v>29</v>
      </c>
      <c r="C78" s="27"/>
      <c r="D78" s="27"/>
      <c r="E78" s="27">
        <f t="shared" ref="E78:Q78" si="40">E75+E76+E77</f>
        <v>1993.4110000000001</v>
      </c>
      <c r="F78" s="27">
        <f t="shared" si="40"/>
        <v>4506.6080000000002</v>
      </c>
      <c r="G78" s="27">
        <f t="shared" si="40"/>
        <v>3487.5119999999988</v>
      </c>
      <c r="H78" s="27">
        <f t="shared" si="40"/>
        <v>1799.851999999999</v>
      </c>
      <c r="I78" s="27">
        <f t="shared" si="40"/>
        <v>1853.3650000000016</v>
      </c>
      <c r="J78" s="27">
        <f t="shared" si="40"/>
        <v>0</v>
      </c>
      <c r="K78" s="27">
        <f t="shared" si="40"/>
        <v>1996.7309999999998</v>
      </c>
      <c r="L78" s="27">
        <f t="shared" si="40"/>
        <v>41.659999999999854</v>
      </c>
      <c r="M78" s="27">
        <f t="shared" si="40"/>
        <v>0</v>
      </c>
      <c r="N78" s="27">
        <f t="shared" si="40"/>
        <v>1764.1160000000018</v>
      </c>
      <c r="O78" s="27">
        <f t="shared" si="40"/>
        <v>2764.7979999999989</v>
      </c>
      <c r="P78" s="27">
        <f t="shared" si="40"/>
        <v>3256.607</v>
      </c>
      <c r="Q78" s="27">
        <f t="shared" si="40"/>
        <v>23464.66</v>
      </c>
      <c r="R78" s="63"/>
      <c r="S78" s="71"/>
      <c r="T78" s="41" t="s">
        <v>3</v>
      </c>
      <c r="U78" s="35">
        <f>SUM(U75:U77)</f>
        <v>13464.608524499998</v>
      </c>
      <c r="V78" s="35">
        <f>SUM(V75:V77)</f>
        <v>16524.986804999997</v>
      </c>
      <c r="W78" s="51">
        <f>V78-U78</f>
        <v>3060.3782804999992</v>
      </c>
      <c r="X78" s="79">
        <f>W78/U78</f>
        <v>0.22729055025486863</v>
      </c>
      <c r="Y78" s="64"/>
      <c r="Z78" s="65"/>
      <c r="AA78" s="55"/>
      <c r="AB78" s="55"/>
      <c r="AC78" s="55"/>
      <c r="AD78" s="58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</row>
    <row r="79" spans="1:80" x14ac:dyDescent="0.2">
      <c r="A79" s="7">
        <v>68</v>
      </c>
      <c r="E79" s="28"/>
      <c r="Q79" s="22"/>
      <c r="R79" s="22"/>
      <c r="S79" s="52"/>
      <c r="T79" s="52"/>
      <c r="U79" s="52"/>
      <c r="V79" s="52"/>
      <c r="W79" s="52"/>
      <c r="X79" s="64"/>
      <c r="Y79" s="64"/>
      <c r="Z79" s="65"/>
      <c r="AA79" s="55"/>
      <c r="AB79" s="55"/>
      <c r="AC79" s="55"/>
      <c r="AD79" s="58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</row>
    <row r="80" spans="1:80" x14ac:dyDescent="0.2">
      <c r="A80" s="7">
        <v>69</v>
      </c>
      <c r="B80" s="19" t="s">
        <v>49</v>
      </c>
      <c r="E80" s="20">
        <f>E81*$C$81+E85*$C$85+E86*$C$86+E82+E83+E84</f>
        <v>649767.92332200683</v>
      </c>
      <c r="F80" s="20">
        <f t="shared" ref="F80:P80" si="41">F81*$C$81+F85*$C$85+F86*$C$86+F82+F83+F84</f>
        <v>692260.35824844253</v>
      </c>
      <c r="G80" s="20">
        <f t="shared" si="41"/>
        <v>636918.29529618192</v>
      </c>
      <c r="H80" s="20">
        <f t="shared" si="41"/>
        <v>618764.69357955607</v>
      </c>
      <c r="I80" s="20">
        <f t="shared" si="41"/>
        <v>548553.10680163663</v>
      </c>
      <c r="J80" s="20">
        <f t="shared" si="41"/>
        <v>518745.11676484719</v>
      </c>
      <c r="K80" s="20">
        <f t="shared" si="41"/>
        <v>537198.95776062715</v>
      </c>
      <c r="L80" s="20">
        <f t="shared" si="41"/>
        <v>507751.5253129651</v>
      </c>
      <c r="M80" s="20">
        <f t="shared" si="41"/>
        <v>551533.40356340306</v>
      </c>
      <c r="N80" s="20">
        <f t="shared" si="41"/>
        <v>568679.77606067935</v>
      </c>
      <c r="O80" s="20">
        <f t="shared" si="41"/>
        <v>631511.8005937998</v>
      </c>
      <c r="P80" s="20">
        <f t="shared" si="41"/>
        <v>626656.08769388706</v>
      </c>
      <c r="Q80" s="30">
        <f>SUM(E80:P80)</f>
        <v>7088341.0449980311</v>
      </c>
      <c r="R80" s="30"/>
      <c r="S80" s="43" t="str">
        <f>B80</f>
        <v>TRANSPORTATION (T-3)</v>
      </c>
      <c r="T80" s="42"/>
      <c r="U80" s="52"/>
      <c r="V80" s="52"/>
      <c r="W80" s="52"/>
      <c r="X80" s="64"/>
      <c r="Y80" s="64"/>
      <c r="Z80" s="49"/>
      <c r="AA80" s="38"/>
      <c r="AB80" s="38"/>
      <c r="AC80" s="38"/>
      <c r="AD80" s="46"/>
      <c r="AE80" s="38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</row>
    <row r="81" spans="1:80" x14ac:dyDescent="0.2">
      <c r="A81" s="7">
        <v>70</v>
      </c>
      <c r="B81" s="1" t="s">
        <v>40</v>
      </c>
      <c r="C81" s="31">
        <v>457.97</v>
      </c>
      <c r="D81" s="31">
        <v>540</v>
      </c>
      <c r="E81" s="2">
        <v>70</v>
      </c>
      <c r="F81" s="2">
        <v>69</v>
      </c>
      <c r="G81" s="2">
        <v>69</v>
      </c>
      <c r="H81" s="2">
        <v>70</v>
      </c>
      <c r="I81" s="2">
        <v>70</v>
      </c>
      <c r="J81" s="2">
        <v>70</v>
      </c>
      <c r="K81" s="2">
        <v>70</v>
      </c>
      <c r="L81" s="2">
        <v>70</v>
      </c>
      <c r="M81" s="2">
        <v>70</v>
      </c>
      <c r="N81" s="2">
        <v>70</v>
      </c>
      <c r="O81" s="2">
        <v>70</v>
      </c>
      <c r="P81" s="2">
        <v>70</v>
      </c>
      <c r="Q81" s="2">
        <f>SUM(E81:P81)</f>
        <v>838</v>
      </c>
      <c r="R81" s="2"/>
      <c r="S81" s="71"/>
      <c r="T81" s="52" t="s">
        <v>66</v>
      </c>
      <c r="U81" s="61">
        <f>SUM($E81:$P81)*C81</f>
        <v>383778.86000000004</v>
      </c>
      <c r="V81" s="61">
        <f>SUM($E81:$P81)*D81</f>
        <v>452520</v>
      </c>
      <c r="W81" s="61"/>
      <c r="X81" s="82"/>
      <c r="Y81" s="56"/>
      <c r="Z81" s="56"/>
      <c r="AA81" s="62">
        <f t="shared" ref="AA81:AB86" si="42">U81/$Y$87/12</f>
        <v>457.97000000000008</v>
      </c>
      <c r="AB81" s="62">
        <f t="shared" si="42"/>
        <v>540</v>
      </c>
      <c r="AC81" s="63"/>
      <c r="AD81" s="77"/>
      <c r="AE81" s="2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</row>
    <row r="82" spans="1:80" x14ac:dyDescent="0.2">
      <c r="A82" s="7">
        <v>71</v>
      </c>
      <c r="B82" s="1" t="s">
        <v>41</v>
      </c>
      <c r="E82" s="2">
        <v>3450</v>
      </c>
      <c r="F82" s="2">
        <v>3400</v>
      </c>
      <c r="G82" s="2">
        <v>3400</v>
      </c>
      <c r="H82" s="2">
        <v>3450</v>
      </c>
      <c r="I82" s="2">
        <v>3450</v>
      </c>
      <c r="J82" s="2">
        <v>3450</v>
      </c>
      <c r="K82" s="2">
        <v>3450</v>
      </c>
      <c r="L82" s="2">
        <v>3450</v>
      </c>
      <c r="M82" s="2">
        <v>3450</v>
      </c>
      <c r="N82" s="2">
        <v>3450</v>
      </c>
      <c r="O82" s="2">
        <v>3450</v>
      </c>
      <c r="P82" s="2">
        <v>3450</v>
      </c>
      <c r="Q82" s="29">
        <f t="shared" ref="Q82:Q86" si="43">SUM(C82:P82)</f>
        <v>41300</v>
      </c>
      <c r="R82" s="29"/>
      <c r="S82" s="71"/>
      <c r="T82" s="52" t="s">
        <v>41</v>
      </c>
      <c r="U82" s="18">
        <f t="shared" ref="U82:V84" si="44">SUM($E82:$P82)</f>
        <v>41300</v>
      </c>
      <c r="V82" s="18">
        <f t="shared" si="44"/>
        <v>41300</v>
      </c>
      <c r="W82" s="18"/>
      <c r="X82" s="83"/>
      <c r="Y82" s="64"/>
      <c r="Z82" s="65"/>
      <c r="AA82" s="66">
        <f t="shared" si="42"/>
        <v>49.28400954653938</v>
      </c>
      <c r="AB82" s="66">
        <f t="shared" si="42"/>
        <v>49.28400954653938</v>
      </c>
      <c r="AC82" s="69"/>
      <c r="AD82" s="80"/>
      <c r="AE82" s="29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</row>
    <row r="83" spans="1:80" x14ac:dyDescent="0.2">
      <c r="A83" s="7">
        <v>72</v>
      </c>
      <c r="B83" s="1" t="s">
        <v>42</v>
      </c>
      <c r="E83" s="2">
        <v>3900</v>
      </c>
      <c r="F83" s="2">
        <v>3825</v>
      </c>
      <c r="G83" s="2">
        <v>3825</v>
      </c>
      <c r="H83" s="2">
        <v>3900</v>
      </c>
      <c r="I83" s="2">
        <v>3900</v>
      </c>
      <c r="J83" s="2">
        <v>3900</v>
      </c>
      <c r="K83" s="2">
        <v>3900</v>
      </c>
      <c r="L83" s="2">
        <v>3900</v>
      </c>
      <c r="M83" s="2">
        <v>3900</v>
      </c>
      <c r="N83" s="2">
        <v>3900</v>
      </c>
      <c r="O83" s="2">
        <v>3900</v>
      </c>
      <c r="P83" s="2">
        <v>3900</v>
      </c>
      <c r="Q83" s="29">
        <f t="shared" si="43"/>
        <v>46650</v>
      </c>
      <c r="R83" s="29"/>
      <c r="S83" s="71"/>
      <c r="T83" s="52" t="s">
        <v>42</v>
      </c>
      <c r="U83" s="18">
        <f t="shared" si="44"/>
        <v>46650</v>
      </c>
      <c r="V83" s="18">
        <f t="shared" si="44"/>
        <v>46650</v>
      </c>
      <c r="W83" s="18"/>
      <c r="X83" s="83"/>
      <c r="Y83" s="64"/>
      <c r="Z83" s="65"/>
      <c r="AA83" s="66">
        <f t="shared" si="42"/>
        <v>55.668257756563243</v>
      </c>
      <c r="AB83" s="66">
        <f t="shared" si="42"/>
        <v>55.668257756563243</v>
      </c>
      <c r="AC83" s="69"/>
      <c r="AD83" s="80"/>
      <c r="AE83" s="29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</row>
    <row r="84" spans="1:80" x14ac:dyDescent="0.2">
      <c r="A84" s="7">
        <v>73</v>
      </c>
      <c r="B84" s="1" t="s">
        <v>43</v>
      </c>
      <c r="E84" s="2">
        <v>414.57</v>
      </c>
      <c r="F84" s="2">
        <v>428.39</v>
      </c>
      <c r="G84" s="2">
        <v>430.40000000000003</v>
      </c>
      <c r="H84" s="2">
        <v>215.39999999999998</v>
      </c>
      <c r="I84" s="2">
        <v>72.430000000000007</v>
      </c>
      <c r="J84" s="2">
        <v>165.26</v>
      </c>
      <c r="K84" s="2">
        <v>70.88</v>
      </c>
      <c r="L84" s="2">
        <v>99.16</v>
      </c>
      <c r="M84" s="2">
        <v>63.5</v>
      </c>
      <c r="N84" s="2">
        <v>70.78</v>
      </c>
      <c r="O84" s="2">
        <v>227.5</v>
      </c>
      <c r="P84" s="2">
        <v>314.86</v>
      </c>
      <c r="Q84" s="29">
        <f t="shared" si="43"/>
        <v>2573.1300000000006</v>
      </c>
      <c r="R84" s="29"/>
      <c r="S84" s="71"/>
      <c r="T84" s="52" t="s">
        <v>43</v>
      </c>
      <c r="U84" s="18">
        <f t="shared" si="44"/>
        <v>2573.1300000000006</v>
      </c>
      <c r="V84" s="18">
        <f t="shared" si="44"/>
        <v>2573.1300000000006</v>
      </c>
      <c r="W84" s="18"/>
      <c r="X84" s="83"/>
      <c r="Y84" s="64"/>
      <c r="Z84" s="65"/>
      <c r="AA84" s="66">
        <f t="shared" si="42"/>
        <v>3.0705608591885452</v>
      </c>
      <c r="AB84" s="66">
        <f t="shared" si="42"/>
        <v>3.0705608591885452</v>
      </c>
      <c r="AC84" s="69"/>
      <c r="AD84" s="80"/>
      <c r="AE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</row>
    <row r="85" spans="1:80" x14ac:dyDescent="0.2">
      <c r="A85" s="7">
        <v>74</v>
      </c>
      <c r="B85" s="1" t="s">
        <v>50</v>
      </c>
      <c r="C85" s="24">
        <v>0.876</v>
      </c>
      <c r="D85" s="24">
        <v>1.0337000000000001</v>
      </c>
      <c r="E85" s="2">
        <v>461079.90667101991</v>
      </c>
      <c r="F85" s="2">
        <v>457872.40946910088</v>
      </c>
      <c r="G85" s="2">
        <v>443739.93139572104</v>
      </c>
      <c r="H85" s="2">
        <v>425993.12354247348</v>
      </c>
      <c r="I85" s="2">
        <v>396964.3476076505</v>
      </c>
      <c r="J85" s="2">
        <v>367093.28019101435</v>
      </c>
      <c r="K85" s="2">
        <v>376659.16712645418</v>
      </c>
      <c r="L85" s="2">
        <v>367569.24935076089</v>
      </c>
      <c r="M85" s="2">
        <v>371893.51045179513</v>
      </c>
      <c r="N85" s="2">
        <v>397732.18579386914</v>
      </c>
      <c r="O85" s="2">
        <v>427385.17241921875</v>
      </c>
      <c r="P85" s="2">
        <v>443997.44108691189</v>
      </c>
      <c r="Q85" s="2">
        <f t="shared" si="43"/>
        <v>4937981.6348059904</v>
      </c>
      <c r="R85" s="2"/>
      <c r="S85" s="71"/>
      <c r="T85" s="52" t="s">
        <v>70</v>
      </c>
      <c r="U85" s="18">
        <f>SUM($E85:$P85)*C85</f>
        <v>4325670.2391928481</v>
      </c>
      <c r="V85" s="18">
        <f>SUM($E85:$P85)*D85</f>
        <v>5104389.6418420626</v>
      </c>
      <c r="W85" s="18"/>
      <c r="X85" s="83"/>
      <c r="Y85" s="64"/>
      <c r="Z85" s="65"/>
      <c r="AA85" s="66">
        <f t="shared" si="42"/>
        <v>5161.897660134664</v>
      </c>
      <c r="AB85" s="66">
        <f t="shared" si="42"/>
        <v>6091.1570905036542</v>
      </c>
      <c r="AC85" s="63"/>
      <c r="AD85" s="77"/>
      <c r="AE85" s="2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</row>
    <row r="86" spans="1:80" x14ac:dyDescent="0.2">
      <c r="A86" s="7">
        <v>75</v>
      </c>
      <c r="B86" s="1" t="s">
        <v>51</v>
      </c>
      <c r="C86" s="24">
        <v>0.67189999999999994</v>
      </c>
      <c r="D86" s="24">
        <v>0.79279999999999995</v>
      </c>
      <c r="E86" s="2">
        <v>306651.96469443874</v>
      </c>
      <c r="F86" s="2">
        <v>374923.06526791217</v>
      </c>
      <c r="G86" s="2">
        <v>310978.9929952824</v>
      </c>
      <c r="H86" s="2">
        <v>306550.7030158494</v>
      </c>
      <c r="I86" s="2">
        <v>240113.12441931048</v>
      </c>
      <c r="J86" s="2">
        <v>234556.09959446144</v>
      </c>
      <c r="K86" s="2">
        <v>249690.05411200074</v>
      </c>
      <c r="L86" s="2">
        <v>217671.97928515926</v>
      </c>
      <c r="M86" s="2">
        <v>277248.53163808689</v>
      </c>
      <c r="N86" s="2">
        <v>269069.3575014883</v>
      </c>
      <c r="O86" s="2">
        <v>323689.52158738527</v>
      </c>
      <c r="P86" s="2">
        <v>294674.16178263474</v>
      </c>
      <c r="Q86" s="2">
        <f t="shared" si="43"/>
        <v>3405819.0205940097</v>
      </c>
      <c r="R86" s="2"/>
      <c r="S86" s="71"/>
      <c r="T86" s="52" t="s">
        <v>71</v>
      </c>
      <c r="U86" s="18">
        <f>SUM($E86:$P86)*C86</f>
        <v>2288368.8158051851</v>
      </c>
      <c r="V86" s="18">
        <f>SUM($E86:$P86)*D86</f>
        <v>2700132.158312771</v>
      </c>
      <c r="W86" s="18"/>
      <c r="X86" s="83"/>
      <c r="Y86" s="64"/>
      <c r="Z86" s="65"/>
      <c r="AA86" s="66">
        <f t="shared" si="42"/>
        <v>2730.7503768558295</v>
      </c>
      <c r="AB86" s="66">
        <f t="shared" si="42"/>
        <v>3222.1147473899418</v>
      </c>
      <c r="AC86" s="63"/>
      <c r="AD86" s="77"/>
      <c r="AE86" s="2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</row>
    <row r="87" spans="1:80" x14ac:dyDescent="0.2">
      <c r="A87" s="7">
        <v>76</v>
      </c>
      <c r="B87" s="26" t="s">
        <v>29</v>
      </c>
      <c r="C87" s="26"/>
      <c r="D87" s="26"/>
      <c r="E87" s="27">
        <f t="shared" ref="E87:Q87" si="45">E85+E86</f>
        <v>767731.8713654587</v>
      </c>
      <c r="F87" s="27">
        <f t="shared" si="45"/>
        <v>832795.47473701299</v>
      </c>
      <c r="G87" s="27">
        <f t="shared" si="45"/>
        <v>754718.92439100344</v>
      </c>
      <c r="H87" s="27">
        <f t="shared" si="45"/>
        <v>732543.82655832288</v>
      </c>
      <c r="I87" s="27">
        <f t="shared" si="45"/>
        <v>637077.47202696092</v>
      </c>
      <c r="J87" s="27">
        <f t="shared" si="45"/>
        <v>601649.37978547579</v>
      </c>
      <c r="K87" s="27">
        <f t="shared" si="45"/>
        <v>626349.22123845492</v>
      </c>
      <c r="L87" s="27">
        <f t="shared" si="45"/>
        <v>585241.22863592021</v>
      </c>
      <c r="M87" s="27">
        <f t="shared" si="45"/>
        <v>649142.04208988207</v>
      </c>
      <c r="N87" s="27">
        <f t="shared" si="45"/>
        <v>666801.54329535738</v>
      </c>
      <c r="O87" s="27">
        <f t="shared" si="45"/>
        <v>751074.69400660403</v>
      </c>
      <c r="P87" s="27">
        <f t="shared" si="45"/>
        <v>738671.60286954662</v>
      </c>
      <c r="Q87" s="27">
        <f t="shared" si="45"/>
        <v>8343800.6554000005</v>
      </c>
      <c r="R87" s="63"/>
      <c r="S87" s="71"/>
      <c r="T87" s="41" t="s">
        <v>3</v>
      </c>
      <c r="U87" s="35">
        <f>SUM(U81:U86)</f>
        <v>7088341.044998033</v>
      </c>
      <c r="V87" s="35">
        <f>SUM(V81:V86)</f>
        <v>8347564.9301548339</v>
      </c>
      <c r="W87" s="51">
        <f>V87-U87</f>
        <v>1259223.885156801</v>
      </c>
      <c r="X87" s="79">
        <f>W87/U87</f>
        <v>0.17764719236320978</v>
      </c>
      <c r="Y87" s="64">
        <f>Q81/12</f>
        <v>69.833333333333329</v>
      </c>
      <c r="Z87" s="65">
        <f>Q87/Y87/12</f>
        <v>9956.8026914081147</v>
      </c>
      <c r="AA87" s="53">
        <f>SUM(AA81:AA86)</f>
        <v>8458.6408651527854</v>
      </c>
      <c r="AB87" s="53">
        <f>SUM(AB81:AB86)</f>
        <v>9961.2946660558882</v>
      </c>
      <c r="AC87" s="68">
        <f>AB87-AA87</f>
        <v>1502.6538009031028</v>
      </c>
      <c r="AD87" s="79">
        <f>AC87/AA87</f>
        <v>0.17764719236320964</v>
      </c>
      <c r="AE87" s="25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</row>
    <row r="88" spans="1:80" x14ac:dyDescent="0.2">
      <c r="A88" s="7">
        <v>77</v>
      </c>
      <c r="E88" s="28"/>
      <c r="S88" s="52"/>
      <c r="T88" s="52"/>
      <c r="U88" s="52"/>
      <c r="V88" s="52"/>
      <c r="W88" s="52"/>
      <c r="X88" s="64"/>
      <c r="Y88" s="64"/>
      <c r="Z88" s="65"/>
      <c r="AA88" s="55"/>
      <c r="AB88" s="55"/>
      <c r="AC88" s="55"/>
      <c r="AD88" s="58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</row>
    <row r="89" spans="1:80" x14ac:dyDescent="0.2">
      <c r="A89" s="7">
        <v>78</v>
      </c>
      <c r="B89" s="19" t="s">
        <v>52</v>
      </c>
      <c r="E89" s="20">
        <f t="shared" ref="E89:P89" si="46">E90*$C$90+E91+E92+E93+E95</f>
        <v>277652.61830034037</v>
      </c>
      <c r="F89" s="20">
        <f t="shared" si="46"/>
        <v>287785.20660424954</v>
      </c>
      <c r="G89" s="20">
        <f t="shared" si="46"/>
        <v>246528.349326519</v>
      </c>
      <c r="H89" s="20">
        <f t="shared" si="46"/>
        <v>225674.54204125135</v>
      </c>
      <c r="I89" s="20">
        <f t="shared" si="46"/>
        <v>187767.63651166504</v>
      </c>
      <c r="J89" s="20">
        <f t="shared" si="46"/>
        <v>158597.09419894399</v>
      </c>
      <c r="K89" s="20">
        <f t="shared" si="46"/>
        <v>191773.06385539868</v>
      </c>
      <c r="L89" s="20">
        <f t="shared" si="46"/>
        <v>212032.54771866949</v>
      </c>
      <c r="M89" s="20">
        <f t="shared" si="46"/>
        <v>247033.27126557243</v>
      </c>
      <c r="N89" s="20">
        <f t="shared" si="46"/>
        <v>205897.74607028044</v>
      </c>
      <c r="O89" s="20">
        <f t="shared" si="46"/>
        <v>225331.5533237058</v>
      </c>
      <c r="P89" s="20">
        <f t="shared" si="46"/>
        <v>247338.02282340368</v>
      </c>
      <c r="Q89" s="30">
        <f t="shared" ref="Q89" si="47">SUM(C89:P89)</f>
        <v>2713411.6520399996</v>
      </c>
      <c r="R89" s="30"/>
      <c r="S89" s="43" t="str">
        <f>B89</f>
        <v>SPECIAL CONTRACTS</v>
      </c>
      <c r="T89" s="42"/>
      <c r="U89" s="52"/>
      <c r="V89" s="52"/>
      <c r="W89" s="52"/>
      <c r="X89" s="64"/>
      <c r="Y89" s="64"/>
      <c r="Z89" s="49"/>
      <c r="AA89" s="38"/>
      <c r="AB89" s="38"/>
      <c r="AC89" s="38"/>
      <c r="AD89" s="46"/>
      <c r="AE89" s="38"/>
      <c r="AF89" s="38"/>
      <c r="AG89" s="38"/>
      <c r="AH89" s="38"/>
      <c r="AI89" s="38"/>
      <c r="AJ89" s="38"/>
      <c r="AK89" s="38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</row>
    <row r="90" spans="1:80" x14ac:dyDescent="0.2">
      <c r="A90" s="7">
        <v>79</v>
      </c>
      <c r="B90" s="1" t="s">
        <v>40</v>
      </c>
      <c r="C90" s="31">
        <v>435</v>
      </c>
      <c r="D90" s="31">
        <v>435</v>
      </c>
      <c r="E90" s="2">
        <v>12.609195402298852</v>
      </c>
      <c r="F90" s="2">
        <v>12.609195402298852</v>
      </c>
      <c r="G90" s="2">
        <v>12.609195402298852</v>
      </c>
      <c r="H90" s="2">
        <v>12.609195402298852</v>
      </c>
      <c r="I90" s="2">
        <v>12.609195402298852</v>
      </c>
      <c r="J90" s="2">
        <v>12.609195402298852</v>
      </c>
      <c r="K90" s="2">
        <v>12.609195402298852</v>
      </c>
      <c r="L90" s="2">
        <v>12.609195402298852</v>
      </c>
      <c r="M90" s="2">
        <v>12.609195402298852</v>
      </c>
      <c r="N90" s="2">
        <v>12.609195402298852</v>
      </c>
      <c r="O90" s="2">
        <v>12.609195402298852</v>
      </c>
      <c r="P90" s="2">
        <v>12.609195402298852</v>
      </c>
      <c r="Q90" s="2">
        <f>SUM(E90:P90)</f>
        <v>151.31034482758622</v>
      </c>
      <c r="R90" s="2"/>
      <c r="S90" s="71"/>
      <c r="T90" s="52" t="s">
        <v>66</v>
      </c>
      <c r="U90" s="61">
        <f>SUM($E90:$P90)*C90</f>
        <v>65820</v>
      </c>
      <c r="V90" s="61">
        <f>SUM($E90:$P90)*D90</f>
        <v>65820</v>
      </c>
      <c r="W90" s="61"/>
      <c r="X90" s="82"/>
      <c r="Y90" s="56"/>
      <c r="Z90" s="56"/>
      <c r="AA90" s="62">
        <f t="shared" ref="AA90:AB94" si="48">U90/$Y$95/12</f>
        <v>434.99999999999994</v>
      </c>
      <c r="AB90" s="62">
        <f t="shared" si="48"/>
        <v>434.99999999999994</v>
      </c>
      <c r="AC90" s="63"/>
      <c r="AD90" s="77"/>
      <c r="AE90" s="2"/>
      <c r="AF90" s="2"/>
      <c r="AG90" s="2"/>
      <c r="AH90" s="2"/>
      <c r="AI90" s="2"/>
      <c r="AJ90" s="2"/>
      <c r="AK90" s="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</row>
    <row r="91" spans="1:80" x14ac:dyDescent="0.2">
      <c r="A91" s="7">
        <v>80</v>
      </c>
      <c r="B91" s="1" t="s">
        <v>41</v>
      </c>
      <c r="E91" s="2">
        <v>600</v>
      </c>
      <c r="F91" s="2">
        <v>600</v>
      </c>
      <c r="G91" s="2">
        <v>600</v>
      </c>
      <c r="H91" s="2">
        <v>600</v>
      </c>
      <c r="I91" s="2">
        <v>600</v>
      </c>
      <c r="J91" s="2">
        <v>600</v>
      </c>
      <c r="K91" s="2">
        <v>600</v>
      </c>
      <c r="L91" s="2">
        <v>600</v>
      </c>
      <c r="M91" s="2">
        <v>600</v>
      </c>
      <c r="N91" s="2">
        <v>600</v>
      </c>
      <c r="O91" s="2">
        <v>600</v>
      </c>
      <c r="P91" s="2">
        <v>600</v>
      </c>
      <c r="Q91" s="29">
        <f>SUM(E91:P91)</f>
        <v>7200</v>
      </c>
      <c r="R91" s="29"/>
      <c r="S91" s="71"/>
      <c r="T91" s="52" t="s">
        <v>41</v>
      </c>
      <c r="U91" s="18">
        <f t="shared" ref="U91:V93" si="49">SUM($E91:$P91)</f>
        <v>7200</v>
      </c>
      <c r="V91" s="18">
        <f t="shared" si="49"/>
        <v>7200</v>
      </c>
      <c r="W91" s="18"/>
      <c r="X91" s="83"/>
      <c r="Y91" s="64"/>
      <c r="Z91" s="65"/>
      <c r="AA91" s="66">
        <f t="shared" si="48"/>
        <v>47.584320875113946</v>
      </c>
      <c r="AB91" s="66">
        <f t="shared" si="48"/>
        <v>47.584320875113946</v>
      </c>
      <c r="AC91" s="69"/>
      <c r="AD91" s="80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</row>
    <row r="92" spans="1:80" x14ac:dyDescent="0.2">
      <c r="A92" s="7">
        <v>81</v>
      </c>
      <c r="B92" s="1" t="s">
        <v>42</v>
      </c>
      <c r="E92" s="2">
        <v>675</v>
      </c>
      <c r="F92" s="2">
        <v>675</v>
      </c>
      <c r="G92" s="2">
        <v>675</v>
      </c>
      <c r="H92" s="2">
        <v>675</v>
      </c>
      <c r="I92" s="2">
        <v>675</v>
      </c>
      <c r="J92" s="2">
        <v>675</v>
      </c>
      <c r="K92" s="2">
        <v>675</v>
      </c>
      <c r="L92" s="2">
        <v>675</v>
      </c>
      <c r="M92" s="2">
        <v>675</v>
      </c>
      <c r="N92" s="2">
        <v>675</v>
      </c>
      <c r="O92" s="2">
        <v>675</v>
      </c>
      <c r="P92" s="2">
        <v>675</v>
      </c>
      <c r="Q92" s="29">
        <f t="shared" ref="Q92:Q93" si="50">SUM(E92:P92)</f>
        <v>8100</v>
      </c>
      <c r="R92" s="29"/>
      <c r="S92" s="71"/>
      <c r="T92" s="52" t="s">
        <v>42</v>
      </c>
      <c r="U92" s="18">
        <f t="shared" si="49"/>
        <v>8100</v>
      </c>
      <c r="V92" s="18">
        <f t="shared" si="49"/>
        <v>8100</v>
      </c>
      <c r="W92" s="18"/>
      <c r="X92" s="83"/>
      <c r="Y92" s="64"/>
      <c r="Z92" s="65"/>
      <c r="AA92" s="66">
        <f t="shared" si="48"/>
        <v>53.532360984503185</v>
      </c>
      <c r="AB92" s="66">
        <f t="shared" si="48"/>
        <v>53.532360984503185</v>
      </c>
      <c r="AC92" s="69"/>
      <c r="AD92" s="80"/>
      <c r="AE92" s="29"/>
      <c r="AF92" s="29"/>
      <c r="AG92" s="29"/>
      <c r="AH92" s="29"/>
      <c r="AI92" s="29"/>
      <c r="AJ92" s="29"/>
      <c r="AK92" s="29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</row>
    <row r="93" spans="1:80" x14ac:dyDescent="0.2">
      <c r="A93" s="7">
        <v>82</v>
      </c>
      <c r="B93" s="1" t="s">
        <v>43</v>
      </c>
      <c r="E93" s="2">
        <v>10787.82</v>
      </c>
      <c r="F93" s="2">
        <v>7781.46</v>
      </c>
      <c r="G93" s="2">
        <v>8971.85</v>
      </c>
      <c r="H93" s="2">
        <v>11992.47</v>
      </c>
      <c r="I93" s="2">
        <v>7868.9300000000012</v>
      </c>
      <c r="J93" s="2">
        <v>7466.67</v>
      </c>
      <c r="K93" s="2">
        <v>10589.01</v>
      </c>
      <c r="L93" s="2">
        <v>5875.26</v>
      </c>
      <c r="M93" s="2">
        <v>9801.1200000000008</v>
      </c>
      <c r="N93" s="2">
        <v>6875.15</v>
      </c>
      <c r="O93" s="2">
        <v>11242.060000000001</v>
      </c>
      <c r="P93" s="2">
        <v>16252.730000000001</v>
      </c>
      <c r="Q93" s="29">
        <f t="shared" si="50"/>
        <v>115504.52999999998</v>
      </c>
      <c r="R93" s="29"/>
      <c r="S93" s="71"/>
      <c r="T93" s="52" t="s">
        <v>43</v>
      </c>
      <c r="U93" s="18">
        <f t="shared" si="49"/>
        <v>115504.52999999998</v>
      </c>
      <c r="V93" s="18">
        <f t="shared" si="49"/>
        <v>115504.52999999998</v>
      </c>
      <c r="W93" s="18"/>
      <c r="X93" s="83"/>
      <c r="Y93" s="64"/>
      <c r="Z93" s="65"/>
      <c r="AA93" s="66">
        <f t="shared" si="48"/>
        <v>763.36175250683664</v>
      </c>
      <c r="AB93" s="66">
        <f t="shared" si="48"/>
        <v>763.36175250683664</v>
      </c>
      <c r="AC93" s="69"/>
      <c r="AD93" s="80"/>
      <c r="AE93" s="29"/>
      <c r="AF93" s="29"/>
      <c r="AG93" s="29"/>
      <c r="AH93" s="29"/>
      <c r="AI93" s="29"/>
      <c r="AJ93" s="29"/>
      <c r="AK93" s="29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</row>
    <row r="94" spans="1:80" x14ac:dyDescent="0.2">
      <c r="A94" s="7">
        <v>83</v>
      </c>
      <c r="B94" s="1" t="s">
        <v>53</v>
      </c>
      <c r="C94" s="34" t="s">
        <v>54</v>
      </c>
      <c r="D94" s="34" t="s">
        <v>54</v>
      </c>
      <c r="E94" s="2">
        <v>1499643.5189434784</v>
      </c>
      <c r="F94" s="2">
        <v>1573202.798139815</v>
      </c>
      <c r="G94" s="2">
        <v>1368533.9126487076</v>
      </c>
      <c r="H94" s="2">
        <v>1305767.3145437511</v>
      </c>
      <c r="I94" s="2">
        <v>1050189.4671522423</v>
      </c>
      <c r="J94" s="2">
        <v>943578.15319627139</v>
      </c>
      <c r="K94" s="2">
        <v>1108963.6593226658</v>
      </c>
      <c r="L94" s="2">
        <v>1219010.1829904779</v>
      </c>
      <c r="M94" s="2">
        <v>1335049.2719164798</v>
      </c>
      <c r="N94" s="2">
        <v>1143649.6025816542</v>
      </c>
      <c r="O94" s="2">
        <v>1252411.6881221514</v>
      </c>
      <c r="P94" s="2">
        <v>1325542.8294423034</v>
      </c>
      <c r="Q94" s="2">
        <f>SUM(E94:P94)</f>
        <v>15125542.398999998</v>
      </c>
      <c r="R94" s="2"/>
      <c r="S94" s="71"/>
      <c r="T94" s="52" t="s">
        <v>73</v>
      </c>
      <c r="U94" s="18">
        <f>SUM($E95:$P95)</f>
        <v>2516787.1220399998</v>
      </c>
      <c r="V94" s="18">
        <f>SUM($E95:$P95)</f>
        <v>2516787.1220399998</v>
      </c>
      <c r="W94" s="18"/>
      <c r="X94" s="83"/>
      <c r="Y94" s="64"/>
      <c r="Z94" s="65"/>
      <c r="AA94" s="66">
        <f t="shared" si="48"/>
        <v>16633.278609653597</v>
      </c>
      <c r="AB94" s="66">
        <f t="shared" si="48"/>
        <v>16633.278609653597</v>
      </c>
      <c r="AC94" s="63"/>
      <c r="AD94" s="77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</row>
    <row r="95" spans="1:80" x14ac:dyDescent="0.2">
      <c r="A95" s="7">
        <v>84</v>
      </c>
      <c r="B95" s="1" t="s">
        <v>55</v>
      </c>
      <c r="C95" s="34"/>
      <c r="D95" s="34"/>
      <c r="E95" s="2">
        <v>260104.79830034039</v>
      </c>
      <c r="F95" s="2">
        <v>273243.74660424952</v>
      </c>
      <c r="G95" s="2">
        <v>230796.499326519</v>
      </c>
      <c r="H95" s="2">
        <v>206922.07204125135</v>
      </c>
      <c r="I95" s="2">
        <v>173138.70651166505</v>
      </c>
      <c r="J95" s="2">
        <v>144370.42419894398</v>
      </c>
      <c r="K95" s="2">
        <v>174424.05385539867</v>
      </c>
      <c r="L95" s="2">
        <v>199397.28771866948</v>
      </c>
      <c r="M95" s="2">
        <v>230472.15126557244</v>
      </c>
      <c r="N95" s="2">
        <v>192262.59607028044</v>
      </c>
      <c r="O95" s="2">
        <v>207329.4933237058</v>
      </c>
      <c r="P95" s="2">
        <v>224325.29282340367</v>
      </c>
      <c r="Q95" s="29">
        <f>SUM(E95:P95)</f>
        <v>2516787.1220399998</v>
      </c>
      <c r="R95" s="29"/>
      <c r="S95" s="71"/>
      <c r="T95" s="41" t="s">
        <v>3</v>
      </c>
      <c r="U95" s="35">
        <f>SUM(U90:U94)</f>
        <v>2713411.6520399996</v>
      </c>
      <c r="V95" s="35">
        <f>SUM(V90:V94)</f>
        <v>2713411.6520399996</v>
      </c>
      <c r="W95" s="51">
        <f>V95-U95</f>
        <v>0</v>
      </c>
      <c r="X95" s="79">
        <f>W95/U95</f>
        <v>0</v>
      </c>
      <c r="Y95" s="64">
        <f>Q90/12</f>
        <v>12.609195402298852</v>
      </c>
      <c r="Z95" s="65">
        <f>Q96/Y95/12</f>
        <v>99963.703183910649</v>
      </c>
      <c r="AA95" s="53">
        <f>SUM(AA90:AA94)</f>
        <v>17932.757044020051</v>
      </c>
      <c r="AB95" s="53">
        <f>SUM(AB90:AB94)</f>
        <v>17932.757044020051</v>
      </c>
      <c r="AC95" s="68"/>
      <c r="AD95" s="79"/>
      <c r="AE95" s="25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</row>
    <row r="96" spans="1:80" x14ac:dyDescent="0.2">
      <c r="A96" s="7">
        <v>85</v>
      </c>
      <c r="B96" s="26" t="s">
        <v>29</v>
      </c>
      <c r="C96" s="26"/>
      <c r="D96" s="26"/>
      <c r="E96" s="27">
        <f t="shared" ref="E96:Q96" si="51">E94</f>
        <v>1499643.5189434784</v>
      </c>
      <c r="F96" s="27">
        <f t="shared" si="51"/>
        <v>1573202.798139815</v>
      </c>
      <c r="G96" s="27">
        <f t="shared" si="51"/>
        <v>1368533.9126487076</v>
      </c>
      <c r="H96" s="27">
        <f t="shared" si="51"/>
        <v>1305767.3145437511</v>
      </c>
      <c r="I96" s="27">
        <f t="shared" si="51"/>
        <v>1050189.4671522423</v>
      </c>
      <c r="J96" s="27">
        <f t="shared" si="51"/>
        <v>943578.15319627139</v>
      </c>
      <c r="K96" s="27">
        <f t="shared" si="51"/>
        <v>1108963.6593226658</v>
      </c>
      <c r="L96" s="27">
        <f t="shared" si="51"/>
        <v>1219010.1829904779</v>
      </c>
      <c r="M96" s="27">
        <f t="shared" si="51"/>
        <v>1335049.2719164798</v>
      </c>
      <c r="N96" s="27">
        <f t="shared" si="51"/>
        <v>1143649.6025816542</v>
      </c>
      <c r="O96" s="27">
        <f t="shared" si="51"/>
        <v>1252411.6881221514</v>
      </c>
      <c r="P96" s="27">
        <f t="shared" si="51"/>
        <v>1325542.8294423034</v>
      </c>
      <c r="Q96" s="27">
        <f t="shared" si="51"/>
        <v>15125542.398999998</v>
      </c>
      <c r="R96" s="63"/>
      <c r="S96" s="52"/>
      <c r="T96" s="52"/>
      <c r="U96" s="52"/>
      <c r="V96" s="52"/>
      <c r="W96" s="52"/>
      <c r="X96" s="64"/>
      <c r="Y96" s="64"/>
      <c r="Z96" s="57"/>
      <c r="AA96" s="63"/>
      <c r="AB96" s="63"/>
      <c r="AC96" s="63"/>
      <c r="AD96" s="77"/>
      <c r="AE96" s="2"/>
      <c r="AF96" s="2"/>
      <c r="AG96" s="2"/>
      <c r="AH96" s="2"/>
      <c r="AI96" s="2"/>
      <c r="AJ96" s="2"/>
      <c r="AK96" s="2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</row>
    <row r="97" spans="1:80" x14ac:dyDescent="0.2">
      <c r="A97" s="7">
        <v>86</v>
      </c>
      <c r="E97" s="29"/>
      <c r="S97" s="52"/>
      <c r="T97" s="52"/>
      <c r="U97" s="52"/>
      <c r="V97" s="52"/>
      <c r="W97" s="52"/>
      <c r="X97" s="64"/>
      <c r="Y97" s="64"/>
      <c r="Z97" s="57"/>
      <c r="AA97" s="55"/>
      <c r="AB97" s="55"/>
      <c r="AC97" s="55"/>
      <c r="AD97" s="58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</row>
    <row r="98" spans="1:80" x14ac:dyDescent="0.2">
      <c r="A98" s="7">
        <v>87</v>
      </c>
      <c r="B98" s="1" t="s">
        <v>98</v>
      </c>
      <c r="E98" s="29"/>
      <c r="S98" s="43" t="str">
        <f>B98</f>
        <v>OTHER REVENUE (Current)</v>
      </c>
      <c r="T98" s="42"/>
      <c r="U98" s="52"/>
      <c r="V98" s="52"/>
      <c r="W98" s="52"/>
      <c r="X98" s="64"/>
      <c r="Y98" s="64"/>
      <c r="Z98" s="57"/>
      <c r="AA98" s="55"/>
      <c r="AB98" s="55"/>
      <c r="AC98" s="55"/>
      <c r="AD98" s="58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</row>
    <row r="99" spans="1:80" x14ac:dyDescent="0.2">
      <c r="A99" s="7">
        <v>88</v>
      </c>
      <c r="B99" s="1" t="s">
        <v>56</v>
      </c>
      <c r="E99" s="29">
        <v>13265</v>
      </c>
      <c r="F99" s="29">
        <v>12790</v>
      </c>
      <c r="G99" s="29">
        <v>11209</v>
      </c>
      <c r="H99" s="29">
        <v>25716</v>
      </c>
      <c r="I99" s="29">
        <v>22720</v>
      </c>
      <c r="J99" s="29">
        <v>22154</v>
      </c>
      <c r="K99" s="29">
        <v>24641</v>
      </c>
      <c r="L99" s="29">
        <v>21821</v>
      </c>
      <c r="M99" s="29">
        <v>25606</v>
      </c>
      <c r="N99" s="29">
        <v>21842</v>
      </c>
      <c r="O99" s="29">
        <v>14779</v>
      </c>
      <c r="P99" s="29">
        <v>17743</v>
      </c>
      <c r="S99" s="55"/>
      <c r="T99" s="55" t="s">
        <v>56</v>
      </c>
      <c r="U99" s="61">
        <f t="shared" ref="U99:U100" si="52">SUM($E99:$P99)</f>
        <v>234286</v>
      </c>
      <c r="V99" s="61">
        <f>SUM(E103:P103)</f>
        <v>234286</v>
      </c>
      <c r="W99" s="51">
        <f>V99-U99</f>
        <v>0</v>
      </c>
      <c r="X99" s="79">
        <f>W99/U99</f>
        <v>0</v>
      </c>
      <c r="Y99" s="64"/>
      <c r="Z99" s="57"/>
      <c r="AA99" s="69"/>
      <c r="AB99" s="69"/>
      <c r="AC99" s="69"/>
      <c r="AD99" s="80"/>
      <c r="AE99" s="29"/>
      <c r="AF99" s="29"/>
      <c r="AG99" s="29"/>
      <c r="AH99" s="29"/>
      <c r="AI99" s="29"/>
      <c r="AJ99" s="29"/>
      <c r="AK99" s="29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</row>
    <row r="100" spans="1:80" x14ac:dyDescent="0.2">
      <c r="A100" s="7">
        <v>89</v>
      </c>
      <c r="B100" s="1" t="s">
        <v>57</v>
      </c>
      <c r="E100" s="29">
        <v>164747.73437851624</v>
      </c>
      <c r="F100" s="29">
        <v>191837.44082492081</v>
      </c>
      <c r="G100" s="29">
        <v>193882.27953630488</v>
      </c>
      <c r="H100" s="29">
        <v>149224.67845336147</v>
      </c>
      <c r="I100" s="29">
        <v>111035.39680227943</v>
      </c>
      <c r="J100" s="29">
        <v>76826.48538212695</v>
      </c>
      <c r="K100" s="29">
        <v>60067.552651024758</v>
      </c>
      <c r="L100" s="29">
        <v>56585.604229702934</v>
      </c>
      <c r="M100" s="29">
        <v>56302.760425728316</v>
      </c>
      <c r="N100" s="29">
        <v>56496.617066283536</v>
      </c>
      <c r="O100" s="29">
        <v>68651.583294319717</v>
      </c>
      <c r="P100" s="29">
        <v>114621.93815149483</v>
      </c>
      <c r="S100" s="55"/>
      <c r="T100" s="55" t="s">
        <v>57</v>
      </c>
      <c r="U100" s="61">
        <f t="shared" si="52"/>
        <v>1300280.0711960639</v>
      </c>
      <c r="V100" s="61">
        <f>SUM(E104:P104)</f>
        <v>1417393.4605600804</v>
      </c>
      <c r="W100" s="51">
        <f>V100-U100</f>
        <v>117113.38936401648</v>
      </c>
      <c r="X100" s="79">
        <f>W100/U100</f>
        <v>9.0067818432600921E-2</v>
      </c>
      <c r="Y100" s="64"/>
      <c r="Z100" s="57"/>
      <c r="AA100" s="69"/>
      <c r="AB100" s="69"/>
      <c r="AC100" s="69"/>
      <c r="AD100" s="80"/>
      <c r="AE100" s="29"/>
      <c r="AF100" s="29"/>
      <c r="AG100" s="29"/>
      <c r="AH100" s="29"/>
      <c r="AI100" s="29"/>
      <c r="AJ100" s="29"/>
      <c r="AK100" s="29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</row>
    <row r="101" spans="1:80" x14ac:dyDescent="0.2">
      <c r="A101" s="7">
        <v>90</v>
      </c>
      <c r="S101" s="52"/>
      <c r="T101" s="52"/>
      <c r="U101" s="52"/>
      <c r="V101" s="52"/>
      <c r="W101" s="52"/>
      <c r="X101" s="64"/>
      <c r="Y101" s="64"/>
      <c r="Z101" s="57"/>
      <c r="AA101" s="55"/>
      <c r="AB101" s="55"/>
      <c r="AC101" s="55"/>
      <c r="AD101" s="58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</row>
    <row r="102" spans="1:80" x14ac:dyDescent="0.2">
      <c r="A102" s="7">
        <v>91</v>
      </c>
      <c r="B102" s="1" t="s">
        <v>99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S102" s="70" t="s">
        <v>58</v>
      </c>
      <c r="T102" s="70"/>
      <c r="U102" s="61">
        <f>U100+U99+U95+U87+U78+U72+U61+U53+U45+U36+U27+U18-U103</f>
        <v>95596169.626038104</v>
      </c>
      <c r="V102" s="61">
        <f>V100+V99+V95+V87+V78+V72+V61+V53+V45+V36+V27+V18-V103</f>
        <v>111985970.40816292</v>
      </c>
      <c r="W102" s="61"/>
      <c r="X102" s="82"/>
      <c r="Y102" s="64"/>
      <c r="Z102" s="57"/>
      <c r="AA102" s="63"/>
      <c r="AB102" s="63"/>
      <c r="AC102" s="63"/>
      <c r="AD102" s="77"/>
      <c r="AE102" s="2"/>
      <c r="AF102" s="2"/>
      <c r="AG102" s="2"/>
      <c r="AH102" s="2"/>
      <c r="AI102" s="2"/>
      <c r="AJ102" s="2"/>
      <c r="AK102" s="2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</row>
    <row r="103" spans="1:80" x14ac:dyDescent="0.2">
      <c r="A103" s="7">
        <v>92</v>
      </c>
      <c r="B103" s="1" t="s">
        <v>56</v>
      </c>
      <c r="E103" s="29">
        <v>13265</v>
      </c>
      <c r="F103" s="29">
        <v>12790</v>
      </c>
      <c r="G103" s="29">
        <v>11209</v>
      </c>
      <c r="H103" s="29">
        <v>25716</v>
      </c>
      <c r="I103" s="29">
        <v>22720</v>
      </c>
      <c r="J103" s="29">
        <v>22154</v>
      </c>
      <c r="K103" s="29">
        <v>24641</v>
      </c>
      <c r="L103" s="29">
        <v>21821</v>
      </c>
      <c r="M103" s="29">
        <v>25606</v>
      </c>
      <c r="N103" s="29">
        <v>21842</v>
      </c>
      <c r="O103" s="29">
        <v>14779</v>
      </c>
      <c r="P103" s="29">
        <v>17743</v>
      </c>
      <c r="S103" s="55" t="s">
        <v>31</v>
      </c>
      <c r="T103" s="55"/>
      <c r="U103" s="52">
        <f>U60+U52+U44+U35+U26+U17</f>
        <v>77870753.323631376</v>
      </c>
      <c r="V103" s="52">
        <f>V60+V52+V44+V35+V26+V17</f>
        <v>77870753.323631376</v>
      </c>
      <c r="W103" s="52"/>
      <c r="X103" s="64"/>
      <c r="Y103" s="64"/>
      <c r="Z103" s="57"/>
      <c r="AA103" s="63"/>
      <c r="AB103" s="63"/>
      <c r="AC103" s="63"/>
      <c r="AD103" s="77"/>
      <c r="AE103" s="2"/>
      <c r="AF103" s="2"/>
      <c r="AG103" s="2"/>
      <c r="AH103" s="2"/>
      <c r="AI103" s="2"/>
      <c r="AJ103" s="2"/>
      <c r="AK103" s="2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</row>
    <row r="104" spans="1:80" x14ac:dyDescent="0.2">
      <c r="A104" s="7">
        <v>93</v>
      </c>
      <c r="B104" s="1" t="s">
        <v>57</v>
      </c>
      <c r="E104" s="29">
        <v>177693.77982403763</v>
      </c>
      <c r="F104" s="29">
        <v>205245.57648414737</v>
      </c>
      <c r="G104" s="29">
        <v>205502.29119519462</v>
      </c>
      <c r="H104" s="29">
        <v>159193.05511740889</v>
      </c>
      <c r="I104" s="29">
        <v>119525.17344533833</v>
      </c>
      <c r="J104" s="29">
        <v>84623.974370916563</v>
      </c>
      <c r="K104" s="29">
        <v>67708.231646313812</v>
      </c>
      <c r="L104" s="29">
        <v>64186.883484335063</v>
      </c>
      <c r="M104" s="29">
        <v>63898.292296912259</v>
      </c>
      <c r="N104" s="29">
        <v>64609.636474537096</v>
      </c>
      <c r="O104" s="29">
        <v>78654.352408831968</v>
      </c>
      <c r="P104" s="29">
        <v>126552.21381210648</v>
      </c>
      <c r="S104" s="70" t="s">
        <v>59</v>
      </c>
      <c r="T104" s="70"/>
      <c r="U104" s="54">
        <f>U103+U102</f>
        <v>173466922.94966948</v>
      </c>
      <c r="V104" s="54">
        <f>V103+V102</f>
        <v>189856723.7317943</v>
      </c>
      <c r="W104" s="61"/>
      <c r="X104" s="82"/>
      <c r="Y104" s="64"/>
      <c r="Z104" s="57"/>
      <c r="AA104" s="63"/>
      <c r="AB104" s="63"/>
      <c r="AC104" s="63"/>
      <c r="AD104" s="77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</row>
    <row r="105" spans="1:80" x14ac:dyDescent="0.2">
      <c r="A105" s="7"/>
      <c r="V105" s="2"/>
      <c r="W105" s="2"/>
      <c r="X105" s="81"/>
      <c r="AA105" s="2"/>
      <c r="AB105" s="2"/>
      <c r="AC105" s="2"/>
      <c r="AD105" s="81"/>
      <c r="AE105" s="2"/>
      <c r="AF105" s="2"/>
      <c r="AG105" s="2"/>
      <c r="AH105" s="2"/>
      <c r="AI105" s="2"/>
      <c r="AJ105" s="2"/>
      <c r="AK105" s="2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</row>
    <row r="106" spans="1:80" x14ac:dyDescent="0.2">
      <c r="A106" s="7"/>
      <c r="V106" s="2"/>
      <c r="W106" s="2"/>
      <c r="X106" s="81"/>
      <c r="AA106" s="2"/>
      <c r="AB106" s="2"/>
      <c r="AC106" s="2"/>
      <c r="AD106" s="81"/>
      <c r="AE106" s="2"/>
      <c r="AF106" s="2"/>
      <c r="AG106" s="2"/>
      <c r="AH106" s="2"/>
      <c r="AI106" s="2"/>
      <c r="AJ106" s="2"/>
      <c r="AK106" s="2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</row>
    <row r="107" spans="1:80" x14ac:dyDescent="0.2">
      <c r="A107" s="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V107" s="2"/>
      <c r="W107" s="2"/>
      <c r="X107" s="81"/>
      <c r="AA107" s="2"/>
      <c r="AB107" s="2"/>
      <c r="AC107" s="2"/>
      <c r="AD107" s="81"/>
      <c r="AE107" s="2"/>
      <c r="AF107" s="2"/>
      <c r="AG107" s="2"/>
      <c r="AH107" s="2"/>
      <c r="AI107" s="2"/>
      <c r="AJ107" s="2"/>
      <c r="AK107" s="2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</row>
    <row r="108" spans="1:80" x14ac:dyDescent="0.2">
      <c r="A108" s="7"/>
      <c r="C108" s="2"/>
      <c r="D108" s="2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V108" s="2"/>
      <c r="W108" s="2"/>
      <c r="X108" s="81"/>
      <c r="AA108" s="2"/>
      <c r="AB108" s="2"/>
      <c r="AC108" s="2"/>
      <c r="AD108" s="81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</row>
    <row r="109" spans="1:80" x14ac:dyDescent="0.2">
      <c r="A109" s="7"/>
      <c r="C109" s="2"/>
      <c r="D109" s="2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V109" s="2"/>
      <c r="W109" s="2"/>
      <c r="X109" s="81"/>
      <c r="AA109" s="2"/>
      <c r="AB109" s="2"/>
      <c r="AC109" s="2"/>
      <c r="AD109" s="81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</row>
    <row r="110" spans="1:80" x14ac:dyDescent="0.2">
      <c r="A110" s="7"/>
      <c r="E110" s="29"/>
      <c r="V110" s="2"/>
      <c r="W110" s="2"/>
      <c r="X110" s="81"/>
      <c r="AA110" s="2"/>
      <c r="AB110" s="2"/>
      <c r="AC110" s="2"/>
      <c r="AD110" s="81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</row>
    <row r="111" spans="1:80" x14ac:dyDescent="0.2">
      <c r="A111" s="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7"/>
      <c r="R111" s="17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</row>
    <row r="112" spans="1:80" x14ac:dyDescent="0.2">
      <c r="A112" s="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7"/>
      <c r="R112" s="17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</row>
    <row r="113" spans="1:80" x14ac:dyDescent="0.2">
      <c r="A113" s="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7"/>
      <c r="R113" s="17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</row>
    <row r="114" spans="1:80" x14ac:dyDescent="0.2">
      <c r="A114" s="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</row>
    <row r="115" spans="1:80" x14ac:dyDescent="0.2">
      <c r="A115" s="7"/>
      <c r="Q115" s="2"/>
      <c r="R115" s="2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</row>
    <row r="116" spans="1:80" x14ac:dyDescent="0.2">
      <c r="A116" s="7"/>
      <c r="Q116" s="2"/>
      <c r="R116" s="2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</row>
    <row r="117" spans="1:80" x14ac:dyDescent="0.2">
      <c r="A117" s="7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</row>
    <row r="118" spans="1:80" x14ac:dyDescent="0.2">
      <c r="A118" s="7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</row>
    <row r="119" spans="1:80" x14ac:dyDescent="0.2">
      <c r="A119" s="7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</row>
    <row r="120" spans="1:80" x14ac:dyDescent="0.2">
      <c r="A120" s="7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</row>
    <row r="121" spans="1:80" x14ac:dyDescent="0.2">
      <c r="A121" s="7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</row>
    <row r="122" spans="1:80" x14ac:dyDescent="0.2"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</row>
    <row r="123" spans="1:80" x14ac:dyDescent="0.2"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</row>
    <row r="124" spans="1:80" x14ac:dyDescent="0.2"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</row>
    <row r="125" spans="1:80" x14ac:dyDescent="0.2"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</row>
    <row r="126" spans="1:80" x14ac:dyDescent="0.2"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</row>
    <row r="127" spans="1:80" x14ac:dyDescent="0.2"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</row>
    <row r="128" spans="1:80" x14ac:dyDescent="0.2"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</row>
    <row r="129" spans="38:80" x14ac:dyDescent="0.2"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</row>
    <row r="130" spans="38:80" x14ac:dyDescent="0.2"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</row>
    <row r="131" spans="38:80" x14ac:dyDescent="0.2"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</row>
    <row r="132" spans="38:80" x14ac:dyDescent="0.2"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</row>
    <row r="133" spans="38:80" x14ac:dyDescent="0.2"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</row>
    <row r="134" spans="38:80" x14ac:dyDescent="0.2"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</row>
    <row r="135" spans="38:80" x14ac:dyDescent="0.2"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</row>
    <row r="136" spans="38:80" x14ac:dyDescent="0.2"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</row>
    <row r="137" spans="38:80" x14ac:dyDescent="0.2"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</row>
    <row r="138" spans="38:80" x14ac:dyDescent="0.2"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</row>
    <row r="139" spans="38:80" x14ac:dyDescent="0.2"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</row>
    <row r="140" spans="38:80" x14ac:dyDescent="0.2"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</row>
    <row r="141" spans="38:80" x14ac:dyDescent="0.2"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</row>
    <row r="142" spans="38:80" x14ac:dyDescent="0.2"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</row>
    <row r="143" spans="38:80" x14ac:dyDescent="0.2"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</row>
    <row r="144" spans="38:80" x14ac:dyDescent="0.2"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</row>
    <row r="145" spans="55:80" x14ac:dyDescent="0.2"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</row>
    <row r="146" spans="55:80" x14ac:dyDescent="0.2"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</row>
    <row r="147" spans="55:80" x14ac:dyDescent="0.2"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</row>
    <row r="148" spans="55:80" x14ac:dyDescent="0.2"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</row>
    <row r="149" spans="55:80" x14ac:dyDescent="0.2"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</row>
    <row r="150" spans="55:80" x14ac:dyDescent="0.2"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</row>
    <row r="151" spans="55:80" x14ac:dyDescent="0.2"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</row>
    <row r="152" spans="55:80" x14ac:dyDescent="0.2"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</row>
    <row r="153" spans="55:80" x14ac:dyDescent="0.2"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</row>
    <row r="154" spans="55:80" x14ac:dyDescent="0.2"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</row>
    <row r="155" spans="55:80" x14ac:dyDescent="0.2"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</row>
    <row r="156" spans="55:80" x14ac:dyDescent="0.2"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</row>
    <row r="157" spans="55:80" x14ac:dyDescent="0.2"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</row>
    <row r="158" spans="55:80" x14ac:dyDescent="0.2"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</row>
    <row r="159" spans="55:80" x14ac:dyDescent="0.2"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</row>
    <row r="160" spans="55:80" x14ac:dyDescent="0.2"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</row>
    <row r="161" spans="55:80" x14ac:dyDescent="0.2"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</row>
    <row r="162" spans="55:80" x14ac:dyDescent="0.2"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</row>
    <row r="163" spans="55:80" x14ac:dyDescent="0.2"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</row>
    <row r="164" spans="55:80" x14ac:dyDescent="0.2"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</row>
    <row r="165" spans="55:80" x14ac:dyDescent="0.2"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</row>
    <row r="166" spans="55:80" x14ac:dyDescent="0.2"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</row>
    <row r="167" spans="55:80" x14ac:dyDescent="0.2"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</row>
    <row r="168" spans="55:80" x14ac:dyDescent="0.2"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</row>
    <row r="169" spans="55:80" x14ac:dyDescent="0.2"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</row>
    <row r="170" spans="55:80" x14ac:dyDescent="0.2"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</row>
    <row r="171" spans="55:80" x14ac:dyDescent="0.2"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</row>
    <row r="172" spans="55:80" x14ac:dyDescent="0.2"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</row>
    <row r="173" spans="55:80" x14ac:dyDescent="0.2"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</row>
    <row r="174" spans="55:80" x14ac:dyDescent="0.2"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</row>
    <row r="175" spans="55:80" x14ac:dyDescent="0.2"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</row>
    <row r="176" spans="55:80" x14ac:dyDescent="0.2"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</row>
    <row r="177" spans="55:80" x14ac:dyDescent="0.2"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</row>
    <row r="178" spans="55:80" x14ac:dyDescent="0.2"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</row>
    <row r="179" spans="55:80" x14ac:dyDescent="0.2"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</row>
    <row r="180" spans="55:80" x14ac:dyDescent="0.2"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</row>
    <row r="181" spans="55:80" x14ac:dyDescent="0.2"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</row>
    <row r="182" spans="55:80" x14ac:dyDescent="0.2"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</row>
    <row r="183" spans="55:80" x14ac:dyDescent="0.2"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</row>
    <row r="184" spans="55:80" x14ac:dyDescent="0.2"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</row>
    <row r="185" spans="55:80" x14ac:dyDescent="0.2"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</row>
    <row r="186" spans="55:80" x14ac:dyDescent="0.2"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</row>
    <row r="187" spans="55:80" x14ac:dyDescent="0.2"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</row>
    <row r="188" spans="55:80" x14ac:dyDescent="0.2"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</row>
    <row r="189" spans="55:80" x14ac:dyDescent="0.2"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</row>
    <row r="190" spans="55:80" x14ac:dyDescent="0.2"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</row>
    <row r="191" spans="55:80" x14ac:dyDescent="0.2"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</row>
    <row r="192" spans="55:80" x14ac:dyDescent="0.2"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</row>
    <row r="193" spans="55:80" x14ac:dyDescent="0.2"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</row>
    <row r="194" spans="55:80" x14ac:dyDescent="0.2"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</row>
    <row r="195" spans="55:80" x14ac:dyDescent="0.2"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</row>
    <row r="196" spans="55:80" x14ac:dyDescent="0.2"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</row>
    <row r="197" spans="55:80" x14ac:dyDescent="0.2"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</row>
    <row r="198" spans="55:80" x14ac:dyDescent="0.2"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</row>
    <row r="199" spans="55:80" x14ac:dyDescent="0.2"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</row>
    <row r="200" spans="55:80" x14ac:dyDescent="0.2"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</row>
    <row r="201" spans="55:80" x14ac:dyDescent="0.2"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</row>
    <row r="202" spans="55:80" x14ac:dyDescent="0.2"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</row>
    <row r="203" spans="55:80" x14ac:dyDescent="0.2"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</row>
    <row r="204" spans="55:80" x14ac:dyDescent="0.2"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</row>
    <row r="205" spans="55:80" x14ac:dyDescent="0.2"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</row>
    <row r="206" spans="55:80" x14ac:dyDescent="0.2"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</row>
    <row r="207" spans="55:80" x14ac:dyDescent="0.2"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</row>
    <row r="208" spans="55:80" x14ac:dyDescent="0.2"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</row>
    <row r="209" spans="55:80" x14ac:dyDescent="0.2"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</row>
    <row r="210" spans="55:80" x14ac:dyDescent="0.2"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</row>
    <row r="211" spans="55:80" x14ac:dyDescent="0.2"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</row>
    <row r="212" spans="55:80" x14ac:dyDescent="0.2"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</row>
    <row r="213" spans="55:80" x14ac:dyDescent="0.2"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</row>
    <row r="214" spans="55:80" x14ac:dyDescent="0.2"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</row>
    <row r="215" spans="55:80" x14ac:dyDescent="0.2"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</row>
    <row r="216" spans="55:80" x14ac:dyDescent="0.2"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</row>
    <row r="217" spans="55:80" x14ac:dyDescent="0.2"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</row>
    <row r="218" spans="55:80" x14ac:dyDescent="0.2"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</row>
    <row r="219" spans="55:80" x14ac:dyDescent="0.2"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</row>
    <row r="220" spans="55:80" x14ac:dyDescent="0.2"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</row>
    <row r="221" spans="55:80" x14ac:dyDescent="0.2"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</row>
    <row r="222" spans="55:80" x14ac:dyDescent="0.2"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</row>
    <row r="223" spans="55:80" x14ac:dyDescent="0.2"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</row>
    <row r="224" spans="55:80" x14ac:dyDescent="0.2"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</row>
    <row r="225" spans="55:80" x14ac:dyDescent="0.2"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</row>
    <row r="226" spans="55:80" x14ac:dyDescent="0.2"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</row>
    <row r="227" spans="55:80" x14ac:dyDescent="0.2"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</row>
    <row r="228" spans="55:80" x14ac:dyDescent="0.2"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</row>
    <row r="229" spans="55:80" x14ac:dyDescent="0.2"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</row>
    <row r="230" spans="55:80" x14ac:dyDescent="0.2"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</row>
    <row r="231" spans="55:80" x14ac:dyDescent="0.2"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</row>
    <row r="232" spans="55:80" x14ac:dyDescent="0.2"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</row>
    <row r="233" spans="55:80" x14ac:dyDescent="0.2"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</row>
    <row r="234" spans="55:80" x14ac:dyDescent="0.2"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</row>
    <row r="235" spans="55:80" x14ac:dyDescent="0.2"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</row>
    <row r="236" spans="55:80" x14ac:dyDescent="0.2"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</row>
    <row r="237" spans="55:80" x14ac:dyDescent="0.2"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</row>
    <row r="238" spans="55:80" x14ac:dyDescent="0.2"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</row>
    <row r="239" spans="55:80" x14ac:dyDescent="0.2"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</row>
    <row r="240" spans="55:80" x14ac:dyDescent="0.2"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</row>
    <row r="241" spans="55:80" x14ac:dyDescent="0.2"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</row>
    <row r="242" spans="55:80" x14ac:dyDescent="0.2"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</row>
    <row r="243" spans="55:80" x14ac:dyDescent="0.2"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</row>
    <row r="244" spans="55:80" x14ac:dyDescent="0.2"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</row>
    <row r="245" spans="55:80" x14ac:dyDescent="0.2"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</row>
    <row r="246" spans="55:80" x14ac:dyDescent="0.2"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</row>
    <row r="247" spans="55:80" x14ac:dyDescent="0.2"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</row>
    <row r="248" spans="55:80" x14ac:dyDescent="0.2"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</row>
    <row r="249" spans="55:80" x14ac:dyDescent="0.2"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</row>
    <row r="250" spans="55:80" x14ac:dyDescent="0.2"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</row>
    <row r="251" spans="55:80" x14ac:dyDescent="0.2"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</row>
    <row r="252" spans="55:80" x14ac:dyDescent="0.2"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</row>
    <row r="253" spans="55:80" x14ac:dyDescent="0.2"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</row>
    <row r="254" spans="55:80" x14ac:dyDescent="0.2"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</row>
    <row r="255" spans="55:80" x14ac:dyDescent="0.2"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</row>
    <row r="256" spans="55:80" x14ac:dyDescent="0.2"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</row>
    <row r="257" spans="55:80" x14ac:dyDescent="0.2"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</row>
    <row r="258" spans="55:80" x14ac:dyDescent="0.2"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</row>
    <row r="259" spans="55:80" x14ac:dyDescent="0.2"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</row>
    <row r="260" spans="55:80" x14ac:dyDescent="0.2"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</row>
    <row r="261" spans="55:80" x14ac:dyDescent="0.2"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</row>
    <row r="262" spans="55:80" x14ac:dyDescent="0.2"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</row>
    <row r="263" spans="55:80" x14ac:dyDescent="0.2"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</row>
    <row r="264" spans="55:80" x14ac:dyDescent="0.2"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</row>
    <row r="265" spans="55:80" x14ac:dyDescent="0.2"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</row>
    <row r="266" spans="55:80" x14ac:dyDescent="0.2"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</row>
    <row r="267" spans="55:80" x14ac:dyDescent="0.2"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</row>
    <row r="268" spans="55:80" x14ac:dyDescent="0.2"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</row>
    <row r="269" spans="55:80" x14ac:dyDescent="0.2"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</row>
    <row r="270" spans="55:80" x14ac:dyDescent="0.2"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</row>
    <row r="271" spans="55:80" x14ac:dyDescent="0.2"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</row>
    <row r="272" spans="55:80" x14ac:dyDescent="0.2"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</row>
    <row r="273" spans="55:80" x14ac:dyDescent="0.2"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</row>
    <row r="274" spans="55:80" x14ac:dyDescent="0.2"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</row>
    <row r="275" spans="55:80" x14ac:dyDescent="0.2"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</row>
    <row r="276" spans="55:80" x14ac:dyDescent="0.2"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</row>
    <row r="277" spans="55:80" x14ac:dyDescent="0.2"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</row>
    <row r="278" spans="55:80" x14ac:dyDescent="0.2"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</row>
    <row r="279" spans="55:80" x14ac:dyDescent="0.2"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</row>
    <row r="280" spans="55:80" x14ac:dyDescent="0.2"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</row>
    <row r="281" spans="55:80" x14ac:dyDescent="0.2"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</row>
    <row r="282" spans="55:80" x14ac:dyDescent="0.2"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</row>
    <row r="283" spans="55:80" x14ac:dyDescent="0.2"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</row>
    <row r="284" spans="55:80" x14ac:dyDescent="0.2"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</row>
    <row r="285" spans="55:80" x14ac:dyDescent="0.2"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</row>
    <row r="286" spans="55:80" x14ac:dyDescent="0.2"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</row>
    <row r="287" spans="55:80" x14ac:dyDescent="0.2"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</row>
    <row r="288" spans="55:80" x14ac:dyDescent="0.2"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</row>
    <row r="289" spans="55:80" x14ac:dyDescent="0.2"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</row>
    <row r="290" spans="55:80" x14ac:dyDescent="0.2"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</row>
    <row r="291" spans="55:80" x14ac:dyDescent="0.2"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</row>
    <row r="292" spans="55:80" x14ac:dyDescent="0.2"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</row>
    <row r="293" spans="55:80" x14ac:dyDescent="0.2"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</row>
    <row r="294" spans="55:80" x14ac:dyDescent="0.2"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</row>
    <row r="295" spans="55:80" x14ac:dyDescent="0.2"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</row>
    <row r="296" spans="55:80" x14ac:dyDescent="0.2"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</row>
    <row r="297" spans="55:80" x14ac:dyDescent="0.2"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</row>
    <row r="298" spans="55:80" x14ac:dyDescent="0.2"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</row>
    <row r="299" spans="55:80" x14ac:dyDescent="0.2"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</row>
    <row r="300" spans="55:80" x14ac:dyDescent="0.2"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</row>
    <row r="301" spans="55:80" x14ac:dyDescent="0.2"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</row>
    <row r="302" spans="55:80" x14ac:dyDescent="0.2"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</row>
    <row r="303" spans="55:80" x14ac:dyDescent="0.2"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</row>
    <row r="304" spans="55:80" x14ac:dyDescent="0.2"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</row>
    <row r="305" spans="55:80" x14ac:dyDescent="0.2"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</row>
    <row r="306" spans="55:80" x14ac:dyDescent="0.2"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</row>
    <row r="307" spans="55:80" x14ac:dyDescent="0.2"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</row>
    <row r="308" spans="55:80" x14ac:dyDescent="0.2"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</row>
    <row r="309" spans="55:80" x14ac:dyDescent="0.2"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</row>
    <row r="310" spans="55:80" x14ac:dyDescent="0.2"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</row>
    <row r="311" spans="55:80" x14ac:dyDescent="0.2"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</row>
    <row r="312" spans="55:80" x14ac:dyDescent="0.2"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</row>
    <row r="313" spans="55:80" x14ac:dyDescent="0.2"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</row>
    <row r="314" spans="55:80" x14ac:dyDescent="0.2"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</row>
    <row r="315" spans="55:80" x14ac:dyDescent="0.2"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</row>
    <row r="316" spans="55:80" x14ac:dyDescent="0.2"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</row>
    <row r="317" spans="55:80" x14ac:dyDescent="0.2"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</row>
    <row r="318" spans="55:80" x14ac:dyDescent="0.2"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</row>
    <row r="319" spans="55:80" x14ac:dyDescent="0.2"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</row>
    <row r="320" spans="55:80" x14ac:dyDescent="0.2"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</row>
    <row r="321" spans="55:80" x14ac:dyDescent="0.2"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</row>
    <row r="322" spans="55:80" x14ac:dyDescent="0.2"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</row>
    <row r="323" spans="55:80" x14ac:dyDescent="0.2"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</row>
    <row r="324" spans="55:80" x14ac:dyDescent="0.2"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</row>
    <row r="325" spans="55:80" x14ac:dyDescent="0.2"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</row>
    <row r="326" spans="55:80" x14ac:dyDescent="0.2"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</row>
    <row r="327" spans="55:80" x14ac:dyDescent="0.2"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</row>
    <row r="328" spans="55:80" x14ac:dyDescent="0.2"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</row>
    <row r="329" spans="55:80" x14ac:dyDescent="0.2"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</row>
    <row r="330" spans="55:80" x14ac:dyDescent="0.2"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</row>
    <row r="331" spans="55:80" x14ac:dyDescent="0.2"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</row>
    <row r="332" spans="55:80" x14ac:dyDescent="0.2"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</row>
    <row r="333" spans="55:80" x14ac:dyDescent="0.2"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</row>
    <row r="334" spans="55:80" x14ac:dyDescent="0.2"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</row>
    <row r="335" spans="55:80" x14ac:dyDescent="0.2"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</row>
    <row r="336" spans="55:80" x14ac:dyDescent="0.2"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</row>
    <row r="337" spans="55:80" x14ac:dyDescent="0.2"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</row>
    <row r="338" spans="55:80" x14ac:dyDescent="0.2"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</row>
    <row r="339" spans="55:80" x14ac:dyDescent="0.2"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</row>
    <row r="340" spans="55:80" x14ac:dyDescent="0.2"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</row>
    <row r="341" spans="55:80" x14ac:dyDescent="0.2"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</row>
    <row r="342" spans="55:80" x14ac:dyDescent="0.2"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</row>
    <row r="343" spans="55:80" x14ac:dyDescent="0.2"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</row>
    <row r="344" spans="55:80" x14ac:dyDescent="0.2"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</row>
    <row r="345" spans="55:80" x14ac:dyDescent="0.2"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</row>
    <row r="346" spans="55:80" x14ac:dyDescent="0.2"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</row>
    <row r="347" spans="55:80" x14ac:dyDescent="0.2"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</row>
    <row r="348" spans="55:80" x14ac:dyDescent="0.2"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</row>
    <row r="349" spans="55:80" x14ac:dyDescent="0.2"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</row>
    <row r="350" spans="55:80" x14ac:dyDescent="0.2"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</row>
    <row r="351" spans="55:80" x14ac:dyDescent="0.2"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</row>
    <row r="352" spans="55:80" x14ac:dyDescent="0.2"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</row>
    <row r="353" spans="55:80" x14ac:dyDescent="0.2"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</row>
    <row r="354" spans="55:80" x14ac:dyDescent="0.2"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</row>
    <row r="355" spans="55:80" x14ac:dyDescent="0.2"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</row>
    <row r="356" spans="55:80" x14ac:dyDescent="0.2"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</row>
    <row r="357" spans="55:80" x14ac:dyDescent="0.2"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</row>
    <row r="358" spans="55:80" x14ac:dyDescent="0.2"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</row>
    <row r="359" spans="55:80" x14ac:dyDescent="0.2"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</row>
    <row r="360" spans="55:80" x14ac:dyDescent="0.2"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</row>
    <row r="361" spans="55:80" x14ac:dyDescent="0.2"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</row>
    <row r="362" spans="55:80" x14ac:dyDescent="0.2"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</row>
    <row r="363" spans="55:80" x14ac:dyDescent="0.2"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</row>
    <row r="364" spans="55:80" x14ac:dyDescent="0.2"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</row>
    <row r="365" spans="55:80" x14ac:dyDescent="0.2"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</row>
    <row r="366" spans="55:80" x14ac:dyDescent="0.2"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</row>
    <row r="367" spans="55:80" x14ac:dyDescent="0.2"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</row>
    <row r="368" spans="55:80" x14ac:dyDescent="0.2"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</row>
    <row r="369" spans="55:80" x14ac:dyDescent="0.2"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</row>
    <row r="370" spans="55:80" x14ac:dyDescent="0.2"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</row>
    <row r="371" spans="55:80" x14ac:dyDescent="0.2"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</row>
    <row r="372" spans="55:80" x14ac:dyDescent="0.2"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</row>
    <row r="373" spans="55:80" x14ac:dyDescent="0.2"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</row>
    <row r="374" spans="55:80" x14ac:dyDescent="0.2"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</row>
    <row r="375" spans="55:80" x14ac:dyDescent="0.2"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</row>
    <row r="376" spans="55:80" x14ac:dyDescent="0.2"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</row>
    <row r="377" spans="55:80" x14ac:dyDescent="0.2"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</row>
    <row r="378" spans="55:80" x14ac:dyDescent="0.2"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</row>
    <row r="379" spans="55:80" x14ac:dyDescent="0.2"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</row>
    <row r="380" spans="55:80" x14ac:dyDescent="0.2"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</row>
    <row r="381" spans="55:80" x14ac:dyDescent="0.2"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</row>
    <row r="382" spans="55:80" x14ac:dyDescent="0.2"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</row>
    <row r="383" spans="55:80" x14ac:dyDescent="0.2"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</row>
    <row r="384" spans="55:80" x14ac:dyDescent="0.2"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</row>
    <row r="385" spans="55:80" x14ac:dyDescent="0.2"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</row>
    <row r="386" spans="55:80" x14ac:dyDescent="0.2"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</row>
    <row r="387" spans="55:80" x14ac:dyDescent="0.2"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</row>
    <row r="388" spans="55:80" x14ac:dyDescent="0.2"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</row>
    <row r="389" spans="55:80" x14ac:dyDescent="0.2"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</row>
    <row r="390" spans="55:80" x14ac:dyDescent="0.2"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</row>
    <row r="391" spans="55:80" x14ac:dyDescent="0.2"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</row>
    <row r="392" spans="55:80" x14ac:dyDescent="0.2"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</row>
    <row r="393" spans="55:80" x14ac:dyDescent="0.2"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</row>
    <row r="394" spans="55:80" x14ac:dyDescent="0.2"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</row>
    <row r="395" spans="55:80" x14ac:dyDescent="0.2"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</row>
    <row r="396" spans="55:80" x14ac:dyDescent="0.2"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</row>
    <row r="397" spans="55:80" x14ac:dyDescent="0.2"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</row>
    <row r="398" spans="55:80" x14ac:dyDescent="0.2"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</row>
    <row r="399" spans="55:80" x14ac:dyDescent="0.2"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</row>
    <row r="400" spans="55:80" x14ac:dyDescent="0.2"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</row>
    <row r="401" spans="55:80" x14ac:dyDescent="0.2"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</row>
    <row r="402" spans="55:80" x14ac:dyDescent="0.2"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</row>
    <row r="403" spans="55:80" x14ac:dyDescent="0.2"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</row>
    <row r="404" spans="55:80" x14ac:dyDescent="0.2"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</row>
    <row r="405" spans="55:80" x14ac:dyDescent="0.2"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</row>
    <row r="406" spans="55:80" x14ac:dyDescent="0.2"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</row>
    <row r="407" spans="55:80" x14ac:dyDescent="0.2"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</row>
    <row r="408" spans="55:80" x14ac:dyDescent="0.2"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</row>
    <row r="409" spans="55:80" x14ac:dyDescent="0.2"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</row>
    <row r="410" spans="55:80" x14ac:dyDescent="0.2"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</row>
    <row r="411" spans="55:80" x14ac:dyDescent="0.2"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</row>
    <row r="412" spans="55:80" x14ac:dyDescent="0.2"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</row>
    <row r="413" spans="55:80" x14ac:dyDescent="0.2"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</row>
    <row r="414" spans="55:80" x14ac:dyDescent="0.2"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</row>
    <row r="415" spans="55:80" x14ac:dyDescent="0.2"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</row>
    <row r="416" spans="55:80" x14ac:dyDescent="0.2"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</row>
    <row r="417" spans="55:80" x14ac:dyDescent="0.2"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</row>
    <row r="418" spans="55:80" x14ac:dyDescent="0.2"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</row>
    <row r="419" spans="55:80" x14ac:dyDescent="0.2"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</row>
    <row r="420" spans="55:80" x14ac:dyDescent="0.2"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</row>
    <row r="421" spans="55:80" x14ac:dyDescent="0.2"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</row>
    <row r="422" spans="55:80" x14ac:dyDescent="0.2"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</row>
    <row r="423" spans="55:80" x14ac:dyDescent="0.2"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</row>
    <row r="424" spans="55:80" x14ac:dyDescent="0.2"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</row>
    <row r="425" spans="55:80" x14ac:dyDescent="0.2"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</row>
    <row r="426" spans="55:80" x14ac:dyDescent="0.2"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</row>
    <row r="427" spans="55:80" x14ac:dyDescent="0.2"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</row>
    <row r="428" spans="55:80" x14ac:dyDescent="0.2"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</row>
    <row r="429" spans="55:80" x14ac:dyDescent="0.2"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</row>
    <row r="430" spans="55:80" x14ac:dyDescent="0.2"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</row>
    <row r="431" spans="55:80" x14ac:dyDescent="0.2"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</row>
    <row r="432" spans="55:80" x14ac:dyDescent="0.2"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</row>
    <row r="433" spans="55:80" x14ac:dyDescent="0.2"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</row>
    <row r="434" spans="55:80" x14ac:dyDescent="0.2"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</row>
    <row r="435" spans="55:80" x14ac:dyDescent="0.2"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</row>
    <row r="436" spans="55:80" x14ac:dyDescent="0.2"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</row>
    <row r="437" spans="55:80" x14ac:dyDescent="0.2"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</row>
    <row r="438" spans="55:80" x14ac:dyDescent="0.2"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</row>
    <row r="439" spans="55:80" x14ac:dyDescent="0.2"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</row>
    <row r="440" spans="55:80" x14ac:dyDescent="0.2"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</row>
    <row r="441" spans="55:80" x14ac:dyDescent="0.2"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</row>
    <row r="442" spans="55:80" x14ac:dyDescent="0.2"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</row>
    <row r="443" spans="55:80" x14ac:dyDescent="0.2"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</row>
    <row r="444" spans="55:80" x14ac:dyDescent="0.2"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</row>
    <row r="445" spans="55:80" x14ac:dyDescent="0.2"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</row>
    <row r="446" spans="55:80" x14ac:dyDescent="0.2"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</row>
    <row r="447" spans="55:80" x14ac:dyDescent="0.2"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</row>
    <row r="448" spans="55:80" x14ac:dyDescent="0.2"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</row>
    <row r="449" spans="55:80" x14ac:dyDescent="0.2"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</row>
    <row r="450" spans="55:80" x14ac:dyDescent="0.2"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</row>
    <row r="451" spans="55:80" x14ac:dyDescent="0.2"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</row>
    <row r="452" spans="55:80" x14ac:dyDescent="0.2"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</row>
    <row r="453" spans="55:80" x14ac:dyDescent="0.2"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</row>
    <row r="454" spans="55:80" x14ac:dyDescent="0.2"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</row>
    <row r="455" spans="55:80" x14ac:dyDescent="0.2"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</row>
    <row r="456" spans="55:80" x14ac:dyDescent="0.2"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</row>
    <row r="457" spans="55:80" x14ac:dyDescent="0.2"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</row>
    <row r="458" spans="55:80" x14ac:dyDescent="0.2"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</row>
    <row r="459" spans="55:80" x14ac:dyDescent="0.2"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</row>
    <row r="460" spans="55:80" x14ac:dyDescent="0.2"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</row>
    <row r="461" spans="55:80" x14ac:dyDescent="0.2"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</row>
    <row r="462" spans="55:80" x14ac:dyDescent="0.2"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</row>
    <row r="463" spans="55:80" x14ac:dyDescent="0.2"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</row>
    <row r="464" spans="55:80" x14ac:dyDescent="0.2"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</row>
    <row r="465" spans="55:80" x14ac:dyDescent="0.2"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</row>
    <row r="466" spans="55:80" x14ac:dyDescent="0.2"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</row>
    <row r="467" spans="55:80" x14ac:dyDescent="0.2"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</row>
    <row r="468" spans="55:80" x14ac:dyDescent="0.2"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</row>
    <row r="469" spans="55:80" x14ac:dyDescent="0.2"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</row>
    <row r="470" spans="55:80" x14ac:dyDescent="0.2"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</row>
    <row r="471" spans="55:80" x14ac:dyDescent="0.2"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</row>
    <row r="472" spans="55:80" x14ac:dyDescent="0.2"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</row>
    <row r="473" spans="55:80" x14ac:dyDescent="0.2"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</row>
    <row r="474" spans="55:80" x14ac:dyDescent="0.2"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</row>
    <row r="475" spans="55:80" x14ac:dyDescent="0.2"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</row>
    <row r="476" spans="55:80" x14ac:dyDescent="0.2"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</row>
    <row r="477" spans="55:80" x14ac:dyDescent="0.2"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</row>
    <row r="478" spans="55:80" x14ac:dyDescent="0.2"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</row>
    <row r="479" spans="55:80" x14ac:dyDescent="0.2"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</row>
    <row r="480" spans="55:80" x14ac:dyDescent="0.2"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</row>
    <row r="481" spans="55:80" x14ac:dyDescent="0.2"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</row>
    <row r="482" spans="55:80" x14ac:dyDescent="0.2"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</row>
    <row r="483" spans="55:80" x14ac:dyDescent="0.2"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</row>
    <row r="484" spans="55:80" x14ac:dyDescent="0.2"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</row>
    <row r="485" spans="55:80" x14ac:dyDescent="0.2"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</row>
    <row r="486" spans="55:80" x14ac:dyDescent="0.2"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</row>
    <row r="487" spans="55:80" x14ac:dyDescent="0.2"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</row>
    <row r="488" spans="55:80" x14ac:dyDescent="0.2"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</row>
    <row r="489" spans="55:80" x14ac:dyDescent="0.2"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</row>
    <row r="490" spans="55:80" x14ac:dyDescent="0.2"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</row>
    <row r="491" spans="55:80" x14ac:dyDescent="0.2"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</row>
    <row r="492" spans="55:80" x14ac:dyDescent="0.2"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</row>
    <row r="493" spans="55:80" x14ac:dyDescent="0.2"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</row>
    <row r="494" spans="55:80" x14ac:dyDescent="0.2"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</row>
    <row r="495" spans="55:80" x14ac:dyDescent="0.2"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</row>
    <row r="496" spans="55:80" x14ac:dyDescent="0.2"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</row>
    <row r="497" spans="55:80" x14ac:dyDescent="0.2"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</row>
    <row r="498" spans="55:80" x14ac:dyDescent="0.2"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</row>
    <row r="499" spans="55:80" x14ac:dyDescent="0.2"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</row>
    <row r="500" spans="55:80" x14ac:dyDescent="0.2"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</row>
    <row r="501" spans="55:80" x14ac:dyDescent="0.2"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</row>
    <row r="502" spans="55:80" x14ac:dyDescent="0.2"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</row>
    <row r="503" spans="55:80" x14ac:dyDescent="0.2"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</row>
    <row r="504" spans="55:80" x14ac:dyDescent="0.2"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</row>
    <row r="505" spans="55:80" x14ac:dyDescent="0.2"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</row>
    <row r="506" spans="55:80" x14ac:dyDescent="0.2"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</row>
    <row r="507" spans="55:80" x14ac:dyDescent="0.2"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</row>
    <row r="508" spans="55:80" x14ac:dyDescent="0.2"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</row>
    <row r="509" spans="55:80" x14ac:dyDescent="0.2"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</row>
    <row r="510" spans="55:80" x14ac:dyDescent="0.2"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</row>
    <row r="511" spans="55:80" x14ac:dyDescent="0.2"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</row>
  </sheetData>
  <mergeCells count="4">
    <mergeCell ref="A4:Q4"/>
    <mergeCell ref="A5:R5"/>
    <mergeCell ref="A6:Q6"/>
    <mergeCell ref="A7:Q7"/>
  </mergeCells>
  <phoneticPr fontId="8" type="noConversion"/>
  <printOptions horizontalCentered="1"/>
  <pageMargins left="0.45" right="0.45" top="0.75" bottom="0.75" header="0.3" footer="0.3"/>
  <pageSetup scale="35" orientation="landscape" r:id="rId1"/>
  <headerFooter>
    <oddHeader>&amp;R&amp;14CASE NO. 2021-00214
ATTACHMENT 1
TO STAFF DR NO. 2-55</oddHeader>
  </headerFooter>
  <rowBreaks count="1" manualBreakCount="1">
    <brk id="5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RATES AS FILED With No PRP, CGA</vt:lpstr>
      <vt:lpstr>REVISED RATES With No PRP, CGA</vt:lpstr>
      <vt:lpstr>FR 16(8)(n) (Updated)</vt:lpstr>
      <vt:lpstr>Tariff-Level Calculations</vt:lpstr>
      <vt:lpstr>Test Year Monthly</vt:lpstr>
      <vt:lpstr>'Tariff-Level Calculations'!Print_Area</vt:lpstr>
      <vt:lpstr>'Test Year Monthly'!Print_Area</vt:lpstr>
      <vt:lpstr>'Tariff-Level Calculations'!Print_Titles</vt:lpstr>
      <vt:lpstr>'Test Year Monthly'!Print_Titles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 Troup</dc:creator>
  <cp:lastModifiedBy>Troup, Thomas L</cp:lastModifiedBy>
  <cp:lastPrinted>2021-08-16T15:24:46Z</cp:lastPrinted>
  <dcterms:created xsi:type="dcterms:W3CDTF">2021-07-01T18:32:06Z</dcterms:created>
  <dcterms:modified xsi:type="dcterms:W3CDTF">2021-08-19T15:45:40Z</dcterms:modified>
</cp:coreProperties>
</file>