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0" windowWidth="7410" windowHeight="7890" tabRatio="874" activeTab="0"/>
  </bookViews>
  <sheets>
    <sheet name="Avg Cost" sheetId="1" r:id="rId1"/>
    <sheet name="Cost per Min-Field" sheetId="2" r:id="rId2"/>
    <sheet name="Cost per Min-Office" sheetId="3" r:id="rId3"/>
    <sheet name="Cost per Min-Supervision" sheetId="4" r:id="rId4"/>
    <sheet name="Travel &amp; Completion Times" sheetId="5" r:id="rId5"/>
    <sheet name="Travel Cost between Orders" sheetId="6" r:id="rId6"/>
    <sheet name="Check Charge" sheetId="7" r:id="rId7"/>
    <sheet name="CSC Cost per Call" sheetId="8" r:id="rId8"/>
    <sheet name="SOs Billings by Month" sheetId="9" r:id="rId9"/>
  </sheets>
  <definedNames>
    <definedName name="_xlnm.Print_Area" localSheetId="8">'SOs Billings by Month'!$A$1:$H$94</definedName>
    <definedName name="_xlnm.Print_Area" localSheetId="4">'Travel &amp; Completion Times'!$A$1:$H$105</definedName>
    <definedName name="_xlnm.Print_Area" localSheetId="5">'Travel Cost between Orders'!$A$1:$D$32</definedName>
    <definedName name="_xlnm.Print_Titles" localSheetId="8">'SOs Billings by Month'!$1:$5</definedName>
  </definedNames>
  <calcPr fullCalcOnLoad="1"/>
</workbook>
</file>

<file path=xl/sharedStrings.xml><?xml version="1.0" encoding="utf-8"?>
<sst xmlns="http://schemas.openxmlformats.org/spreadsheetml/2006/main" count="524" uniqueCount="176">
  <si>
    <t>Line</t>
  </si>
  <si>
    <t>No.</t>
  </si>
  <si>
    <t>Description</t>
  </si>
  <si>
    <t>(1)</t>
  </si>
  <si>
    <t>(2)</t>
  </si>
  <si>
    <t>(3)</t>
  </si>
  <si>
    <t>Travel</t>
  </si>
  <si>
    <t>Current</t>
  </si>
  <si>
    <t>Proposed</t>
  </si>
  <si>
    <t>Increase In</t>
  </si>
  <si>
    <t>Technician</t>
  </si>
  <si>
    <t>Office</t>
  </si>
  <si>
    <t xml:space="preserve">Total </t>
  </si>
  <si>
    <t>Cost</t>
  </si>
  <si>
    <t>Preparation</t>
  </si>
  <si>
    <t>Revenue</t>
  </si>
  <si>
    <t xml:space="preserve">Average </t>
  </si>
  <si>
    <t>Salary &amp;</t>
  </si>
  <si>
    <t>Salary</t>
  </si>
  <si>
    <t>Between</t>
  </si>
  <si>
    <t>and</t>
  </si>
  <si>
    <t>Total</t>
  </si>
  <si>
    <t>Time To</t>
  </si>
  <si>
    <t>Load Per</t>
  </si>
  <si>
    <t>Orders</t>
  </si>
  <si>
    <t xml:space="preserve">Service </t>
  </si>
  <si>
    <t>Processing</t>
  </si>
  <si>
    <t>Rates</t>
  </si>
  <si>
    <t>Work</t>
  </si>
  <si>
    <t>Complete</t>
  </si>
  <si>
    <t>Minute</t>
  </si>
  <si>
    <t>Order</t>
  </si>
  <si>
    <t>Cost Per</t>
  </si>
  <si>
    <t>of</t>
  </si>
  <si>
    <t xml:space="preserve">To </t>
  </si>
  <si>
    <t>(Business</t>
  </si>
  <si>
    <t>Codes</t>
  </si>
  <si>
    <t>Perform</t>
  </si>
  <si>
    <t>Hours)</t>
  </si>
  <si>
    <t>Hours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</si>
  <si>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</si>
  <si>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</si>
  <si>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</si>
  <si>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</si>
  <si>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</si>
  <si>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</si>
  <si>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</si>
  <si>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</si>
  <si>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</si>
  <si>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</si>
  <si>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</si>
  <si>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</si>
  <si>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</si>
  <si>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Supervision</t>
  </si>
  <si>
    <t>[1]</t>
  </si>
  <si>
    <t>Turn On</t>
  </si>
  <si>
    <t xml:space="preserve">(After </t>
  </si>
  <si>
    <t>(Minutes)</t>
  </si>
  <si>
    <t>Special Service Charge Analysis</t>
  </si>
  <si>
    <t>The after hours rate is calculated using 1.5 times column (5), Service Technician Salary &amp; Load, plus the remaining charges.</t>
  </si>
  <si>
    <t>(17)</t>
  </si>
  <si>
    <t>(18)</t>
  </si>
  <si>
    <t>(19)</t>
  </si>
  <si>
    <t>(20)</t>
  </si>
  <si>
    <t>Meter Sets</t>
  </si>
  <si>
    <t>MSET/NEWC</t>
  </si>
  <si>
    <t>Atmos Energy- Kentucky</t>
  </si>
  <si>
    <t>Turn On from Non Pay</t>
  </si>
  <si>
    <t>RDEL</t>
  </si>
  <si>
    <t>RRUN</t>
  </si>
  <si>
    <t>Turn on from Seasonal off</t>
  </si>
  <si>
    <t>RSEA</t>
  </si>
  <si>
    <t>Read and Run</t>
  </si>
  <si>
    <t>Line No.</t>
  </si>
  <si>
    <t>Times Benefits and Payroll Tax Loading Factor</t>
  </si>
  <si>
    <t>Average Salary per Employee w\Benefits</t>
  </si>
  <si>
    <t>Divided by 60 Minutes per Hour</t>
  </si>
  <si>
    <t>Employee Cost per Minute</t>
  </si>
  <si>
    <t>All Field Service Personnel</t>
  </si>
  <si>
    <t>1</t>
  </si>
  <si>
    <t>Atmos Energy Kentucky Division</t>
  </si>
  <si>
    <t>KY Field</t>
  </si>
  <si>
    <t>Travel Cost</t>
  </si>
  <si>
    <t>Between Orders</t>
  </si>
  <si>
    <t>Estimated Average Speed (Miles per Hour)</t>
  </si>
  <si>
    <t>Total Number of Service Orders Worked</t>
  </si>
  <si>
    <t>Miles Between Orders</t>
  </si>
  <si>
    <t>Minutes Between Orders</t>
  </si>
  <si>
    <t>Loaded Salary per Minute</t>
  </si>
  <si>
    <t>Employee Travel Cost per Order</t>
  </si>
  <si>
    <r>
      <t>Vehicle Cost per Mile</t>
    </r>
    <r>
      <rPr>
        <vertAlign val="superscript"/>
        <sz val="10"/>
        <rFont val="Arial"/>
        <family val="2"/>
      </rPr>
      <t>2</t>
    </r>
  </si>
  <si>
    <r>
      <t>Minutes per Mile</t>
    </r>
    <r>
      <rPr>
        <vertAlign val="superscript"/>
        <sz val="10"/>
        <rFont val="Arial"/>
        <family val="2"/>
      </rPr>
      <t>1</t>
    </r>
  </si>
  <si>
    <t>Vehicle Cost per Order</t>
  </si>
  <si>
    <t>Total Cost to Arrive</t>
  </si>
  <si>
    <t>Minutes Divided by 25 Mph</t>
  </si>
  <si>
    <t>2</t>
  </si>
  <si>
    <t>BU</t>
  </si>
  <si>
    <t>State</t>
  </si>
  <si>
    <t>S/O</t>
  </si>
  <si>
    <t>Total Orders</t>
  </si>
  <si>
    <t>Avg. Travel time (mins)</t>
  </si>
  <si>
    <t>Avg. Worked time (mins)</t>
  </si>
  <si>
    <t>KY</t>
  </si>
  <si>
    <t>MSET</t>
  </si>
  <si>
    <t>MSET Total</t>
  </si>
  <si>
    <t>NEWC</t>
  </si>
  <si>
    <t>NEWC Total</t>
  </si>
  <si>
    <t>RCUS</t>
  </si>
  <si>
    <t>RCUS Total</t>
  </si>
  <si>
    <t>RDEL Total</t>
  </si>
  <si>
    <t>RRUN Total</t>
  </si>
  <si>
    <t>RSEA Total</t>
  </si>
  <si>
    <t>TOSI</t>
  </si>
  <si>
    <t>TOSI Total</t>
  </si>
  <si>
    <t>Grand Total</t>
  </si>
  <si>
    <t>TOSI/RCUS</t>
  </si>
  <si>
    <t>FY 2007 Mid-Point of Senior Service Tech pay grade 2</t>
  </si>
  <si>
    <t>Computation of Senior Service Tech Costs per Minute</t>
  </si>
  <si>
    <t>Cost Per Call FY 2006</t>
  </si>
  <si>
    <t>Cost Per Call</t>
  </si>
  <si>
    <t>All Field Office Assistants</t>
  </si>
  <si>
    <t>FY 2007 Mid-Point of Office Assistants (OA) pay grade 2</t>
  </si>
  <si>
    <t>Computation of Office Assistant (OA) Costs per Minute</t>
  </si>
  <si>
    <t>KY Office</t>
  </si>
  <si>
    <t>FY 2007 Mid-Point of Operations Supervisor pay grade 5</t>
  </si>
  <si>
    <t>Turn Off from Non Pay</t>
  </si>
  <si>
    <t>Times .10 of Supervisors Time spent on SOs</t>
  </si>
  <si>
    <t>Computation of Operations Supervisor Costs per Minute</t>
  </si>
  <si>
    <t>CSC</t>
  </si>
  <si>
    <t>DELQ</t>
  </si>
  <si>
    <t>DELQ Total</t>
  </si>
  <si>
    <t>Times .05 of OA's Time on DELQ or DTAG Service Orders</t>
  </si>
  <si>
    <t>Bank</t>
  </si>
  <si>
    <t>CHARGE</t>
  </si>
  <si>
    <t>Independence Bank</t>
  </si>
  <si>
    <t>Fifth Third Bank</t>
  </si>
  <si>
    <t>First Security Bank of Owensboro</t>
  </si>
  <si>
    <t>National City Bank</t>
  </si>
  <si>
    <t>Average Return Check Charge</t>
  </si>
  <si>
    <t>Atmos Energy - Kentucky Division</t>
  </si>
  <si>
    <t>Worked</t>
  </si>
  <si>
    <t>MONTH</t>
  </si>
  <si>
    <t>SO Type</t>
  </si>
  <si>
    <t>Orders Not Billed</t>
  </si>
  <si>
    <t>Billed Charges</t>
  </si>
  <si>
    <t>Unbilled</t>
  </si>
  <si>
    <t>Total Billed and Unbilled Charges</t>
  </si>
  <si>
    <t>Totals</t>
  </si>
  <si>
    <t xml:space="preserve">FY SO Totals </t>
  </si>
  <si>
    <t>FY 2006 Service Orders by Month &amp; Billings</t>
  </si>
  <si>
    <t>Chase Bank</t>
  </si>
  <si>
    <t>Branch Banking &amp;Trust (BB&amp;T)</t>
  </si>
  <si>
    <t>Bank of Ohio County</t>
  </si>
  <si>
    <t>Old National Bank</t>
  </si>
  <si>
    <t>IRS Rate for Expenses of Operating a Vehicle as of 01/01/2007</t>
  </si>
  <si>
    <t>Total Number of  Miles Driven for these SOs FY 2006</t>
  </si>
  <si>
    <t>Travel &amp; Completion Times</t>
  </si>
  <si>
    <t>Source:  Advantex reporting for October 1, 2005 - September 30, 2006.</t>
  </si>
  <si>
    <t>Line #</t>
  </si>
  <si>
    <t>Returned Check Charge</t>
  </si>
  <si>
    <t>Survey of Banks - November 27, 2006</t>
  </si>
  <si>
    <t>Customer Support Center</t>
  </si>
  <si>
    <r>
      <t>Total KY Calls (including IVR handled calls)</t>
    </r>
    <r>
      <rPr>
        <vertAlign val="superscript"/>
        <sz val="10"/>
        <rFont val="Arial"/>
        <family val="2"/>
      </rPr>
      <t>1</t>
    </r>
  </si>
  <si>
    <r>
      <t>Total Cost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</si>
  <si>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>Source:  Discoverer CMR Reports</t>
    </r>
  </si>
  <si>
    <r>
      <t>2</t>
    </r>
    <r>
      <rPr>
        <sz val="10"/>
        <rFont val="Arial"/>
        <family val="0"/>
      </rPr>
      <t>Source:  Avaya CMS Reports</t>
    </r>
  </si>
  <si>
    <t>Exhibit RRC 1</t>
  </si>
  <si>
    <t>3a</t>
  </si>
  <si>
    <t>3b</t>
  </si>
  <si>
    <t>Sr. Service</t>
  </si>
  <si>
    <t># Orders</t>
  </si>
  <si>
    <t>During Reg.</t>
  </si>
  <si>
    <t>Return Check Charges</t>
  </si>
  <si>
    <t>Billed After</t>
  </si>
  <si>
    <t>Billed</t>
  </si>
  <si>
    <r>
      <t xml:space="preserve">Hours) </t>
    </r>
    <r>
      <rPr>
        <b/>
        <vertAlign val="superscript"/>
        <sz val="10"/>
        <rFont val="Arial Narrow"/>
        <family val="2"/>
      </rPr>
      <t>[1]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</si>
</sst>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&quot;$&quot;#,##0.0000000_);[Red]\(&quot;$&quot;#,##0.0000000\)"/>
    <numFmt numFmtId="171" formatCode="0.0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0.0"/>
    <numFmt numFmtId="176" formatCode="0.0000"/>
    <numFmt numFmtId="177" formatCode="0.000"/>
    <numFmt numFmtId="178" formatCode="&quot;$&quot;#,##0.0000_);\(&quot;$&quot;#,##0.0000\)"/>
    <numFmt numFmtId="179" formatCode="&quot;$&quot;#,##0.00000_);\(&quot;$&quot;#,##0.00000\)"/>
    <numFmt numFmtId="180" formatCode="#,##0.00000_);\(#,##0.00000\)"/>
    <numFmt numFmtId="181" formatCode="0.00_);\(0.00\)"/>
    <numFmt numFmtId="182" formatCode="_(* #,##0_);_(* \(#,##0\);_(* &quot;-&quot;??_);_(@_)"/>
    <numFmt numFmtId="183" formatCode="#,##0.0_);\(#,##0.0\)"/>
    <numFmt numFmtId="184" formatCode="#,##0.000_);\(#,##0.000\)"/>
    <numFmt numFmtId="185" formatCode="#,##0.0000_);\(#,##0.0000\)"/>
    <numFmt numFmtId="186" formatCode="_(&quot;$&quot;* #,##0_);_(&quot;$&quot;* \(#,##0\);_(&quot;$&quot;* &quot;-&quot;??_);_(@_)"/>
    <numFmt numFmtId="187" formatCode="&quot;$&quot;#,##0.0_);\(&quot;$&quot;#,##0.0\)"/>
    <numFmt numFmtId="188" formatCode="_(* #,##0.000_);_(* \(#,##0.000\);_(* &quot;-&quot;??_);_(@_)"/>
    <numFmt numFmtId="189" formatCode="_(* #,##0.0_);_(* \(#,##0.0\);_(* &quot;-&quot;??_);_(@_)"/>
    <numFmt numFmtId="190" formatCode="&quot;$&quot;#,##0.00"/>
    <numFmt numFmtId="191" formatCode="#,##0.0_);[Red]\(#,##0.0\)"/>
    <numFmt numFmtId="192" formatCode="&quot;$&quot;#,##0"/>
    <numFmt numFmtId="193" formatCode="[$-409]dddd\,\ mmmm\ dd\,\ yyyy"/>
    <numFmt numFmtId="194" formatCode="[$-409]mmm\-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indexed="56"/>
      <name val="Arial Narrow"/>
      <family val="2"/>
    </font>
    <font>
      <vertAlign val="superscript"/>
      <sz val="10"/>
      <name val="Arial Narrow"/>
      <family val="2"/>
    </font>
    <font>
      <b/>
      <sz val="10"/>
      <color indexed="12"/>
      <name val="Arial Narrow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 quotePrefix="1">
      <alignment horizontal="center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 quotePrefix="1">
      <alignment horizontal="right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 wrapText="1"/>
    </xf>
    <xf numFmtId="175" fontId="0" fillId="0" borderId="11" xfId="0" applyNumberForma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182" fontId="0" fillId="0" borderId="0" xfId="42" applyNumberFormat="1" applyFont="1" applyAlignment="1">
      <alignment/>
    </xf>
    <xf numFmtId="186" fontId="0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44" fontId="1" fillId="0" borderId="0" xfId="44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8" fontId="0" fillId="0" borderId="16" xfId="0" applyNumberFormat="1" applyBorder="1" applyAlignment="1">
      <alignment horizontal="center"/>
    </xf>
    <xf numFmtId="6" fontId="0" fillId="0" borderId="0" xfId="0" applyNumberFormat="1" applyFont="1" applyAlignment="1">
      <alignment horizontal="center" wrapText="1"/>
    </xf>
    <xf numFmtId="6" fontId="0" fillId="0" borderId="10" xfId="0" applyNumberFormat="1" applyFont="1" applyBorder="1" applyAlignment="1">
      <alignment horizontal="center" wrapText="1"/>
    </xf>
    <xf numFmtId="6" fontId="0" fillId="0" borderId="16" xfId="0" applyNumberFormat="1" applyBorder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 wrapText="1"/>
    </xf>
    <xf numFmtId="6" fontId="0" fillId="0" borderId="18" xfId="42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23" xfId="0" applyFont="1" applyBorder="1" applyAlignment="1" quotePrefix="1">
      <alignment horizontal="center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/>
    </xf>
    <xf numFmtId="194" fontId="0" fillId="0" borderId="26" xfId="0" applyNumberFormat="1" applyFont="1" applyBorder="1" applyAlignment="1">
      <alignment horizontal="center" wrapText="1"/>
    </xf>
    <xf numFmtId="17" fontId="0" fillId="0" borderId="26" xfId="0" applyNumberFormat="1" applyFont="1" applyBorder="1" applyAlignment="1">
      <alignment horizontal="center" wrapText="1"/>
    </xf>
    <xf numFmtId="17" fontId="0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 quotePrefix="1">
      <alignment horizontal="center"/>
    </xf>
    <xf numFmtId="44" fontId="0" fillId="0" borderId="0" xfId="44" applyFont="1" applyFill="1" applyAlignment="1">
      <alignment/>
    </xf>
    <xf numFmtId="44" fontId="9" fillId="0" borderId="0" xfId="44" applyFont="1" applyFill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4" borderId="29" xfId="0" applyFont="1" applyFill="1" applyBorder="1" applyAlignment="1" quotePrefix="1">
      <alignment horizontal="center" vertical="center" wrapText="1"/>
    </xf>
    <xf numFmtId="0" fontId="0" fillId="0" borderId="30" xfId="0" applyFill="1" applyBorder="1" applyAlignment="1">
      <alignment/>
    </xf>
    <xf numFmtId="175" fontId="0" fillId="0" borderId="31" xfId="0" applyNumberFormat="1" applyBorder="1" applyAlignment="1">
      <alignment horizontal="right" wrapText="1"/>
    </xf>
    <xf numFmtId="0" fontId="1" fillId="0" borderId="32" xfId="0" applyFont="1" applyBorder="1" applyAlignment="1">
      <alignment horizontal="center"/>
    </xf>
    <xf numFmtId="0" fontId="0" fillId="0" borderId="12" xfId="0" applyBorder="1" applyAlignment="1">
      <alignment horizontal="right" wrapText="1"/>
    </xf>
    <xf numFmtId="175" fontId="0" fillId="0" borderId="33" xfId="0" applyNumberFormat="1" applyBorder="1" applyAlignment="1">
      <alignment horizontal="right" wrapText="1"/>
    </xf>
    <xf numFmtId="0" fontId="0" fillId="0" borderId="34" xfId="0" applyBorder="1" applyAlignment="1">
      <alignment wrapText="1"/>
    </xf>
    <xf numFmtId="175" fontId="0" fillId="0" borderId="17" xfId="0" applyNumberFormat="1" applyBorder="1" applyAlignment="1">
      <alignment horizontal="right" wrapText="1"/>
    </xf>
    <xf numFmtId="175" fontId="0" fillId="0" borderId="35" xfId="0" applyNumberFormat="1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6" xfId="0" applyBorder="1" applyAlignment="1">
      <alignment wrapText="1"/>
    </xf>
    <xf numFmtId="0" fontId="1" fillId="0" borderId="22" xfId="0" applyFont="1" applyBorder="1" applyAlignment="1">
      <alignment horizontal="center"/>
    </xf>
    <xf numFmtId="175" fontId="1" fillId="0" borderId="16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175" fontId="1" fillId="0" borderId="2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34" borderId="37" xfId="0" applyFont="1" applyFill="1" applyBorder="1" applyAlignment="1">
      <alignment horizontal="center" vertical="center" wrapText="1"/>
    </xf>
    <xf numFmtId="175" fontId="6" fillId="34" borderId="37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0" fontId="11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Continuous"/>
    </xf>
    <xf numFmtId="2" fontId="11" fillId="0" borderId="39" xfId="0" applyNumberFormat="1" applyFont="1" applyBorder="1" applyAlignment="1" quotePrefix="1">
      <alignment horizontal="center"/>
    </xf>
    <xf numFmtId="4" fontId="11" fillId="0" borderId="39" xfId="0" applyNumberFormat="1" applyFont="1" applyBorder="1" applyAlignment="1" quotePrefix="1">
      <alignment horizontal="center"/>
    </xf>
    <xf numFmtId="8" fontId="11" fillId="0" borderId="39" xfId="0" applyNumberFormat="1" applyFont="1" applyBorder="1" applyAlignment="1" quotePrefix="1">
      <alignment horizontal="center"/>
    </xf>
    <xf numFmtId="8" fontId="11" fillId="0" borderId="3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 quotePrefix="1">
      <alignment horizontal="centerContinuous"/>
    </xf>
    <xf numFmtId="0" fontId="11" fillId="0" borderId="0" xfId="0" applyFont="1" applyFill="1" applyBorder="1" applyAlignment="1" quotePrefix="1">
      <alignment horizontal="center"/>
    </xf>
    <xf numFmtId="44" fontId="10" fillId="0" borderId="0" xfId="0" applyNumberFormat="1" applyFont="1" applyAlignment="1">
      <alignment/>
    </xf>
    <xf numFmtId="182" fontId="10" fillId="0" borderId="0" xfId="42" applyNumberFormat="1" applyFont="1" applyAlignment="1">
      <alignment horizontal="center"/>
    </xf>
    <xf numFmtId="182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8" fontId="10" fillId="0" borderId="0" xfId="44" applyNumberFormat="1" applyFont="1" applyAlignment="1">
      <alignment horizontal="center"/>
    </xf>
    <xf numFmtId="44" fontId="10" fillId="0" borderId="0" xfId="44" applyFont="1" applyAlignment="1">
      <alignment horizontal="center"/>
    </xf>
    <xf numFmtId="190" fontId="10" fillId="0" borderId="0" xfId="44" applyNumberFormat="1" applyFont="1" applyAlignment="1">
      <alignment horizontal="center"/>
    </xf>
    <xf numFmtId="8" fontId="10" fillId="0" borderId="0" xfId="44" applyNumberFormat="1" applyFont="1" applyAlignment="1">
      <alignment/>
    </xf>
    <xf numFmtId="7" fontId="10" fillId="0" borderId="0" xfId="44" applyNumberFormat="1" applyFont="1" applyAlignment="1">
      <alignment horizontal="center"/>
    </xf>
    <xf numFmtId="8" fontId="11" fillId="0" borderId="0" xfId="0" applyNumberFormat="1" applyFont="1" applyAlignment="1">
      <alignment/>
    </xf>
    <xf numFmtId="6" fontId="10" fillId="0" borderId="0" xfId="44" applyNumberFormat="1" applyFont="1" applyAlignment="1">
      <alignment/>
    </xf>
    <xf numFmtId="7" fontId="10" fillId="0" borderId="0" xfId="0" applyNumberFormat="1" applyFont="1" applyAlignment="1">
      <alignment/>
    </xf>
    <xf numFmtId="6" fontId="10" fillId="0" borderId="0" xfId="44" applyNumberFormat="1" applyFont="1" applyBorder="1" applyAlignment="1">
      <alignment/>
    </xf>
    <xf numFmtId="5" fontId="10" fillId="0" borderId="0" xfId="0" applyNumberFormat="1" applyFont="1" applyAlignment="1">
      <alignment/>
    </xf>
    <xf numFmtId="8" fontId="10" fillId="0" borderId="0" xfId="44" applyNumberFormat="1" applyFont="1" applyAlignment="1">
      <alignment/>
    </xf>
    <xf numFmtId="44" fontId="11" fillId="0" borderId="0" xfId="0" applyNumberFormat="1" applyFont="1" applyAlignment="1">
      <alignment/>
    </xf>
    <xf numFmtId="44" fontId="10" fillId="0" borderId="0" xfId="44" applyFont="1" applyAlignment="1">
      <alignment/>
    </xf>
    <xf numFmtId="44" fontId="10" fillId="0" borderId="0" xfId="44" applyFont="1" applyBorder="1" applyAlignment="1">
      <alignment/>
    </xf>
    <xf numFmtId="182" fontId="10" fillId="0" borderId="0" xfId="42" applyNumberFormat="1" applyFont="1" applyAlignment="1">
      <alignment/>
    </xf>
    <xf numFmtId="0" fontId="10" fillId="0" borderId="0" xfId="0" applyFont="1" applyFill="1" applyAlignment="1">
      <alignment horizontal="center"/>
    </xf>
    <xf numFmtId="182" fontId="10" fillId="0" borderId="0" xfId="42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8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5" fontId="10" fillId="0" borderId="0" xfId="0" applyNumberFormat="1" applyFont="1" applyBorder="1" applyAlignment="1">
      <alignment/>
    </xf>
    <xf numFmtId="6" fontId="10" fillId="0" borderId="14" xfId="44" applyNumberFormat="1" applyFont="1" applyBorder="1" applyAlignment="1">
      <alignment/>
    </xf>
    <xf numFmtId="5" fontId="10" fillId="0" borderId="14" xfId="0" applyNumberFormat="1" applyFont="1" applyBorder="1" applyAlignment="1">
      <alignment/>
    </xf>
    <xf numFmtId="7" fontId="13" fillId="0" borderId="0" xfId="0" applyNumberFormat="1" applyFont="1" applyAlignment="1">
      <alignment/>
    </xf>
    <xf numFmtId="8" fontId="10" fillId="0" borderId="0" xfId="0" applyNumberFormat="1" applyFont="1" applyAlignment="1">
      <alignment horizontal="center"/>
    </xf>
    <xf numFmtId="44" fontId="11" fillId="0" borderId="0" xfId="44" applyFont="1" applyBorder="1" applyAlignment="1">
      <alignment/>
    </xf>
    <xf numFmtId="6" fontId="10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43" fontId="10" fillId="0" borderId="0" xfId="42" applyFont="1" applyBorder="1" applyAlignment="1">
      <alignment/>
    </xf>
    <xf numFmtId="182" fontId="10" fillId="0" borderId="0" xfId="0" applyNumberFormat="1" applyFont="1" applyAlignment="1">
      <alignment horizontal="center"/>
    </xf>
    <xf numFmtId="191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43" fontId="15" fillId="0" borderId="0" xfId="42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4.28125" style="105" bestFit="1" customWidth="1"/>
    <col min="2" max="2" width="22.28125" style="105" customWidth="1"/>
    <col min="3" max="3" width="10.28125" style="105" bestFit="1" customWidth="1"/>
    <col min="4" max="4" width="6.8515625" style="109" bestFit="1" customWidth="1"/>
    <col min="5" max="5" width="10.00390625" style="105" bestFit="1" customWidth="1"/>
    <col min="6" max="6" width="9.28125" style="105" bestFit="1" customWidth="1"/>
    <col min="7" max="7" width="8.140625" style="105" bestFit="1" customWidth="1"/>
    <col min="8" max="8" width="9.140625" style="105" bestFit="1" customWidth="1"/>
    <col min="9" max="9" width="7.7109375" style="105" bestFit="1" customWidth="1"/>
    <col min="10" max="10" width="10.57421875" style="105" customWidth="1"/>
    <col min="11" max="11" width="7.7109375" style="105" bestFit="1" customWidth="1"/>
    <col min="12" max="13" width="7.421875" style="105" bestFit="1" customWidth="1"/>
    <col min="14" max="14" width="9.7109375" style="105" bestFit="1" customWidth="1"/>
    <col min="15" max="15" width="6.8515625" style="105" bestFit="1" customWidth="1"/>
    <col min="16" max="16" width="8.57421875" style="105" bestFit="1" customWidth="1"/>
    <col min="17" max="17" width="8.00390625" style="105" bestFit="1" customWidth="1"/>
    <col min="18" max="18" width="8.57421875" style="105" bestFit="1" customWidth="1"/>
    <col min="19" max="20" width="8.28125" style="105" bestFit="1" customWidth="1"/>
    <col min="21" max="21" width="9.421875" style="105" bestFit="1" customWidth="1"/>
    <col min="22" max="16384" width="9.140625" style="105" customWidth="1"/>
  </cols>
  <sheetData>
    <row r="2" spans="2:21" ht="12.75">
      <c r="B2" s="106" t="s">
        <v>166</v>
      </c>
      <c r="C2" s="107"/>
      <c r="D2" s="108"/>
      <c r="E2" s="107"/>
      <c r="F2" s="107"/>
      <c r="H2" s="107"/>
      <c r="I2" s="107"/>
      <c r="J2" s="108" t="s">
        <v>66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12.75">
      <c r="B3" s="107"/>
      <c r="C3" s="107"/>
      <c r="D3" s="108"/>
      <c r="E3" s="107"/>
      <c r="F3" s="107"/>
      <c r="H3" s="107"/>
      <c r="I3" s="107"/>
      <c r="J3" s="108" t="s">
        <v>58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2:21" ht="12.75">
      <c r="B4" s="107"/>
      <c r="C4" s="107"/>
      <c r="D4" s="108"/>
      <c r="E4" s="107"/>
      <c r="F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2.75">
      <c r="A5" s="106"/>
      <c r="H5" s="108" t="s">
        <v>169</v>
      </c>
      <c r="I5" s="108"/>
      <c r="J5" s="108"/>
      <c r="L5" s="108" t="s">
        <v>6</v>
      </c>
      <c r="N5" s="108" t="s">
        <v>128</v>
      </c>
      <c r="T5" s="108"/>
      <c r="U5" s="108"/>
    </row>
    <row r="6" spans="1:21" ht="12.75">
      <c r="A6" s="106"/>
      <c r="H6" s="108" t="s">
        <v>10</v>
      </c>
      <c r="I6" s="108" t="s">
        <v>11</v>
      </c>
      <c r="J6" s="108" t="s">
        <v>53</v>
      </c>
      <c r="K6" s="108" t="s">
        <v>12</v>
      </c>
      <c r="L6" s="108" t="s">
        <v>13</v>
      </c>
      <c r="N6" s="108" t="s">
        <v>14</v>
      </c>
      <c r="T6" s="108"/>
      <c r="U6" s="108"/>
    </row>
    <row r="7" spans="1:21" ht="12.75">
      <c r="A7" s="106"/>
      <c r="B7" s="106"/>
      <c r="C7" s="106"/>
      <c r="D7" s="108"/>
      <c r="E7" s="108" t="s">
        <v>170</v>
      </c>
      <c r="F7" s="106"/>
      <c r="G7" s="108" t="s">
        <v>16</v>
      </c>
      <c r="H7" s="108" t="s">
        <v>17</v>
      </c>
      <c r="I7" s="108" t="s">
        <v>17</v>
      </c>
      <c r="J7" s="108" t="s">
        <v>17</v>
      </c>
      <c r="K7" s="108" t="s">
        <v>18</v>
      </c>
      <c r="L7" s="108" t="s">
        <v>19</v>
      </c>
      <c r="M7" s="106"/>
      <c r="N7" s="108" t="s">
        <v>20</v>
      </c>
      <c r="O7" s="108" t="s">
        <v>21</v>
      </c>
      <c r="P7" s="108" t="s">
        <v>7</v>
      </c>
      <c r="Q7" s="108"/>
      <c r="R7" s="108" t="s">
        <v>8</v>
      </c>
      <c r="S7" s="108" t="s">
        <v>8</v>
      </c>
      <c r="T7" s="108"/>
      <c r="U7" s="108"/>
    </row>
    <row r="8" spans="1:21" ht="12.75">
      <c r="A8" s="108"/>
      <c r="B8" s="106"/>
      <c r="C8" s="106"/>
      <c r="D8" s="108" t="s">
        <v>21</v>
      </c>
      <c r="E8" s="108" t="s">
        <v>174</v>
      </c>
      <c r="F8" s="108" t="s">
        <v>170</v>
      </c>
      <c r="G8" s="108" t="s">
        <v>22</v>
      </c>
      <c r="H8" s="108" t="s">
        <v>23</v>
      </c>
      <c r="I8" s="108" t="s">
        <v>23</v>
      </c>
      <c r="J8" s="108" t="s">
        <v>23</v>
      </c>
      <c r="K8" s="108" t="s">
        <v>23</v>
      </c>
      <c r="L8" s="108" t="s">
        <v>24</v>
      </c>
      <c r="M8" s="108" t="s">
        <v>25</v>
      </c>
      <c r="N8" s="108" t="s">
        <v>26</v>
      </c>
      <c r="O8" s="108" t="s">
        <v>13</v>
      </c>
      <c r="P8" s="108" t="s">
        <v>27</v>
      </c>
      <c r="Q8" s="108"/>
      <c r="R8" s="108" t="s">
        <v>27</v>
      </c>
      <c r="S8" s="108" t="s">
        <v>27</v>
      </c>
      <c r="T8" s="108"/>
      <c r="U8" s="108"/>
    </row>
    <row r="9" spans="1:21" ht="12.75">
      <c r="A9" s="108" t="s">
        <v>0</v>
      </c>
      <c r="B9" s="110"/>
      <c r="C9" s="110" t="s">
        <v>28</v>
      </c>
      <c r="D9" s="108" t="s">
        <v>24</v>
      </c>
      <c r="E9" s="108" t="s">
        <v>171</v>
      </c>
      <c r="F9" s="108" t="s">
        <v>173</v>
      </c>
      <c r="G9" s="108" t="s">
        <v>29</v>
      </c>
      <c r="H9" s="108" t="s">
        <v>30</v>
      </c>
      <c r="I9" s="108" t="s">
        <v>30</v>
      </c>
      <c r="J9" s="108" t="s">
        <v>30</v>
      </c>
      <c r="K9" s="108" t="s">
        <v>31</v>
      </c>
      <c r="L9" s="111"/>
      <c r="M9" s="108" t="s">
        <v>32</v>
      </c>
      <c r="N9" s="108" t="s">
        <v>33</v>
      </c>
      <c r="O9" s="108" t="s">
        <v>34</v>
      </c>
      <c r="P9" s="108" t="s">
        <v>35</v>
      </c>
      <c r="Q9" s="108" t="s">
        <v>7</v>
      </c>
      <c r="R9" s="108" t="s">
        <v>35</v>
      </c>
      <c r="S9" s="108" t="s">
        <v>56</v>
      </c>
      <c r="T9" s="108" t="s">
        <v>8</v>
      </c>
      <c r="U9" s="108" t="s">
        <v>9</v>
      </c>
    </row>
    <row r="10" spans="1:21" ht="15.75" thickBot="1">
      <c r="A10" s="112" t="s">
        <v>1</v>
      </c>
      <c r="B10" s="113" t="s">
        <v>2</v>
      </c>
      <c r="C10" s="112" t="s">
        <v>36</v>
      </c>
      <c r="D10" s="112" t="s">
        <v>140</v>
      </c>
      <c r="E10" s="112" t="s">
        <v>39</v>
      </c>
      <c r="F10" s="112" t="s">
        <v>39</v>
      </c>
      <c r="G10" s="112" t="s">
        <v>57</v>
      </c>
      <c r="H10" s="114">
        <f>'Cost per Min-Field'!C16</f>
        <v>0.45198076923076924</v>
      </c>
      <c r="I10" s="115">
        <f>'Cost per Min-Office'!$C$18</f>
        <v>0.022599038461538462</v>
      </c>
      <c r="J10" s="114">
        <f>'Cost per Min-Supervision'!$C$18</f>
        <v>0.08800897435897437</v>
      </c>
      <c r="K10" s="116"/>
      <c r="L10" s="117"/>
      <c r="M10" s="112" t="s">
        <v>31</v>
      </c>
      <c r="N10" s="112" t="s">
        <v>31</v>
      </c>
      <c r="O10" s="112" t="s">
        <v>37</v>
      </c>
      <c r="P10" s="112" t="s">
        <v>38</v>
      </c>
      <c r="Q10" s="118" t="s">
        <v>15</v>
      </c>
      <c r="R10" s="112" t="s">
        <v>38</v>
      </c>
      <c r="S10" s="112" t="s">
        <v>175</v>
      </c>
      <c r="T10" s="112" t="s">
        <v>15</v>
      </c>
      <c r="U10" s="112" t="s">
        <v>15</v>
      </c>
    </row>
    <row r="11" spans="2:21" ht="12.75">
      <c r="B11" s="119" t="s">
        <v>3</v>
      </c>
      <c r="C11" s="111" t="s">
        <v>4</v>
      </c>
      <c r="D11" s="111" t="s">
        <v>41</v>
      </c>
      <c r="E11" s="111" t="s">
        <v>5</v>
      </c>
      <c r="F11" s="111" t="s">
        <v>40</v>
      </c>
      <c r="G11" s="111" t="s">
        <v>42</v>
      </c>
      <c r="H11" s="111" t="s">
        <v>43</v>
      </c>
      <c r="I11" s="111" t="s">
        <v>44</v>
      </c>
      <c r="J11" s="111" t="s">
        <v>45</v>
      </c>
      <c r="K11" s="111" t="s">
        <v>46</v>
      </c>
      <c r="L11" s="111" t="s">
        <v>47</v>
      </c>
      <c r="M11" s="111" t="s">
        <v>48</v>
      </c>
      <c r="N11" s="111" t="s">
        <v>49</v>
      </c>
      <c r="O11" s="111" t="s">
        <v>50</v>
      </c>
      <c r="P11" s="111" t="s">
        <v>51</v>
      </c>
      <c r="Q11" s="111" t="s">
        <v>52</v>
      </c>
      <c r="R11" s="111" t="s">
        <v>60</v>
      </c>
      <c r="S11" s="111" t="s">
        <v>61</v>
      </c>
      <c r="T11" s="120" t="s">
        <v>62</v>
      </c>
      <c r="U11" s="120" t="s">
        <v>63</v>
      </c>
    </row>
    <row r="12" spans="3:14" ht="12.75">
      <c r="C12" s="109"/>
      <c r="E12" s="109"/>
      <c r="F12" s="109"/>
      <c r="M12" s="121"/>
      <c r="N12" s="121"/>
    </row>
    <row r="13" spans="1:21" ht="12.75">
      <c r="A13" s="109">
        <v>1</v>
      </c>
      <c r="B13" s="105" t="s">
        <v>64</v>
      </c>
      <c r="C13" s="109" t="s">
        <v>65</v>
      </c>
      <c r="D13" s="122">
        <f>'SOs Billings by Month'!$H$30</f>
        <v>5354</v>
      </c>
      <c r="E13" s="123">
        <v>3864</v>
      </c>
      <c r="F13" s="109">
        <v>1</v>
      </c>
      <c r="G13" s="124">
        <f>+('Travel &amp; Completion Times'!G18+'Travel &amp; Completion Times'!G30)/2</f>
        <v>45.68636363636364</v>
      </c>
      <c r="H13" s="125">
        <f>+H10*G13</f>
        <v>20.64935777972028</v>
      </c>
      <c r="I13" s="126"/>
      <c r="J13" s="127">
        <f>J10*G13</f>
        <v>4.0208100058275065</v>
      </c>
      <c r="K13" s="125">
        <f>SUM(H13:J13)</f>
        <v>24.670167785547786</v>
      </c>
      <c r="L13" s="125">
        <f>+'Travel Cost between Orders'!C28</f>
        <v>4.562592618492618</v>
      </c>
      <c r="M13" s="128">
        <f>SUM(K13:L13)</f>
        <v>29.232760404040405</v>
      </c>
      <c r="N13" s="129">
        <f>'CSC Cost per Call'!$C$11</f>
        <v>3.906052648987638</v>
      </c>
      <c r="O13" s="130">
        <f>+M13+N13</f>
        <v>33.138813053028045</v>
      </c>
      <c r="P13" s="128">
        <v>28</v>
      </c>
      <c r="Q13" s="131">
        <f>(E13*P13)+(F13*35)</f>
        <v>108227</v>
      </c>
      <c r="R13" s="132">
        <f>ROUNDUP(O13,0)</f>
        <v>34</v>
      </c>
      <c r="S13" s="132">
        <f>ROUNDUP(((H13*1.5)+I13+J13+L13+N13),0)</f>
        <v>44</v>
      </c>
      <c r="T13" s="133">
        <f>(E13*R13)+(F13*S13)</f>
        <v>131420</v>
      </c>
      <c r="U13" s="134">
        <f>+T13-Q13</f>
        <v>23193</v>
      </c>
    </row>
    <row r="14" spans="3:21" ht="12.75">
      <c r="C14" s="109"/>
      <c r="D14" s="122"/>
      <c r="E14" s="109"/>
      <c r="F14" s="109"/>
      <c r="G14" s="109"/>
      <c r="H14" s="126"/>
      <c r="I14" s="126"/>
      <c r="J14" s="127"/>
      <c r="K14" s="126"/>
      <c r="L14" s="126"/>
      <c r="N14" s="135"/>
      <c r="O14" s="136"/>
      <c r="P14" s="137"/>
      <c r="Q14" s="137"/>
      <c r="R14" s="132"/>
      <c r="S14" s="132"/>
      <c r="T14" s="138"/>
      <c r="U14" s="132"/>
    </row>
    <row r="15" spans="1:21" ht="12.75">
      <c r="A15" s="109">
        <v>2</v>
      </c>
      <c r="B15" s="105" t="s">
        <v>55</v>
      </c>
      <c r="C15" s="109" t="s">
        <v>115</v>
      </c>
      <c r="D15" s="139">
        <f>'SOs Billings by Month'!$H$90</f>
        <v>11751</v>
      </c>
      <c r="E15" s="123">
        <v>11025</v>
      </c>
      <c r="F15" s="109">
        <v>3</v>
      </c>
      <c r="G15" s="124">
        <f>+('Travel &amp; Completion Times'!G42+'Travel &amp; Completion Times'!G90)/2</f>
        <v>25.095454545454547</v>
      </c>
      <c r="H15" s="125">
        <f>+H10*G15</f>
        <v>11.34266284965035</v>
      </c>
      <c r="I15" s="126"/>
      <c r="J15" s="127">
        <f>G15*J10</f>
        <v>2.208625215617716</v>
      </c>
      <c r="K15" s="125">
        <f>SUM(H15:J15)</f>
        <v>13.551288065268068</v>
      </c>
      <c r="L15" s="125">
        <f>+'Travel Cost between Orders'!C28</f>
        <v>4.562592618492618</v>
      </c>
      <c r="M15" s="128">
        <f>SUM(K15:L15)</f>
        <v>18.113880683760687</v>
      </c>
      <c r="N15" s="127">
        <f>'CSC Cost per Call'!$C$11</f>
        <v>3.906052648987638</v>
      </c>
      <c r="O15" s="130">
        <f>+M15+N15</f>
        <v>22.019933332748327</v>
      </c>
      <c r="P15" s="128">
        <v>20</v>
      </c>
      <c r="Q15" s="131">
        <f>(E15*P15)+(F15*25)</f>
        <v>220575</v>
      </c>
      <c r="R15" s="132">
        <f>ROUNDUP(O15,0)</f>
        <v>23</v>
      </c>
      <c r="S15" s="132">
        <f>ROUNDUP(((H15*1.5)+I15+J15+L15+N15),0)</f>
        <v>28</v>
      </c>
      <c r="T15" s="133">
        <f>(E15*R15)+(F15*S15)</f>
        <v>253659</v>
      </c>
      <c r="U15" s="134">
        <f>+T15-Q15</f>
        <v>33084</v>
      </c>
    </row>
    <row r="16" spans="3:21" ht="12.75">
      <c r="C16" s="109"/>
      <c r="D16" s="122"/>
      <c r="E16" s="109"/>
      <c r="F16" s="109"/>
      <c r="G16" s="109"/>
      <c r="H16" s="126"/>
      <c r="I16" s="126"/>
      <c r="J16" s="127"/>
      <c r="K16" s="126"/>
      <c r="L16" s="126"/>
      <c r="N16" s="127"/>
      <c r="O16" s="136"/>
      <c r="P16" s="137"/>
      <c r="Q16" s="137"/>
      <c r="R16" s="132"/>
      <c r="S16" s="132"/>
      <c r="T16" s="138"/>
      <c r="U16" s="132"/>
    </row>
    <row r="17" spans="1:21" ht="12.75">
      <c r="A17" s="109" t="s">
        <v>167</v>
      </c>
      <c r="B17" s="105" t="s">
        <v>67</v>
      </c>
      <c r="C17" s="109" t="s">
        <v>68</v>
      </c>
      <c r="D17" s="139">
        <f>'SOs Billings by Month'!$H$42</f>
        <v>7104</v>
      </c>
      <c r="E17" s="123">
        <v>6463</v>
      </c>
      <c r="F17" s="109">
        <v>19</v>
      </c>
      <c r="G17" s="124">
        <f>+'Travel &amp; Completion Times'!G54</f>
        <v>21.772727272727277</v>
      </c>
      <c r="H17" s="125">
        <f>+H10*G17</f>
        <v>9.840854020979023</v>
      </c>
      <c r="I17" s="126"/>
      <c r="J17" s="127">
        <f>G17*J10</f>
        <v>1.9161953962703968</v>
      </c>
      <c r="K17" s="125">
        <f>SUM(H17:J17)</f>
        <v>11.75704941724942</v>
      </c>
      <c r="L17" s="125">
        <f>+'Travel Cost between Orders'!C28</f>
        <v>4.562592618492618</v>
      </c>
      <c r="M17" s="128">
        <f>SUM(K17:L17)</f>
        <v>16.31964203574204</v>
      </c>
      <c r="N17" s="127">
        <f>'CSC Cost per Call'!$C$11</f>
        <v>3.906052648987638</v>
      </c>
      <c r="O17" s="130">
        <f>+M17+N17</f>
        <v>20.225694684729678</v>
      </c>
      <c r="P17" s="128">
        <v>34</v>
      </c>
      <c r="Q17" s="131">
        <f>(E17*P17)+(F17*40)</f>
        <v>220502</v>
      </c>
      <c r="R17" s="132">
        <f>ROUNDUP(O17+O18,0)</f>
        <v>39</v>
      </c>
      <c r="S17" s="132">
        <f>ROUNDUP(((H17+H18)*(1.5)+I17+I18+J17+J18+L17+L18+N17+N18),0)</f>
        <v>47</v>
      </c>
      <c r="T17" s="133">
        <f>(E17*R17)+(F17*S17)</f>
        <v>252950</v>
      </c>
      <c r="U17" s="134">
        <f>+T17-Q17</f>
        <v>32448</v>
      </c>
    </row>
    <row r="18" spans="1:21" ht="12.75">
      <c r="A18" s="109" t="s">
        <v>168</v>
      </c>
      <c r="B18" s="105" t="s">
        <v>125</v>
      </c>
      <c r="C18" s="140" t="s">
        <v>129</v>
      </c>
      <c r="D18" s="141">
        <f>'Travel &amp; Completion Times'!$E$102</f>
        <v>13636</v>
      </c>
      <c r="E18" s="123"/>
      <c r="F18" s="140"/>
      <c r="G18" s="142">
        <f>'Travel &amp; Completion Times'!$G$102</f>
        <v>16.763636363636365</v>
      </c>
      <c r="H18" s="125">
        <f>G18*H10</f>
        <v>7.5768412587412595</v>
      </c>
      <c r="I18" s="129">
        <f>G18*I10</f>
        <v>0.37884206293706296</v>
      </c>
      <c r="J18" s="127">
        <f>G18*J10</f>
        <v>1.4753504428904431</v>
      </c>
      <c r="K18" s="125">
        <f>SUM(H18:J18)</f>
        <v>9.431033764568767</v>
      </c>
      <c r="L18" s="125">
        <f>'Travel Cost between Orders'!$C$28</f>
        <v>4.562592618492618</v>
      </c>
      <c r="M18" s="128">
        <f>SUM(K18:L18)</f>
        <v>13.993626383061386</v>
      </c>
      <c r="N18" s="127">
        <f>'CSC Cost per Call'!$C$11</f>
        <v>3.906052648987638</v>
      </c>
      <c r="O18" s="130">
        <f>+M18+N18</f>
        <v>17.899679032049026</v>
      </c>
      <c r="P18" s="128"/>
      <c r="Q18" s="131"/>
      <c r="R18" s="132"/>
      <c r="S18" s="132"/>
      <c r="T18" s="133"/>
      <c r="U18" s="134"/>
    </row>
    <row r="19" spans="1:21" ht="12.75">
      <c r="A19" s="109"/>
      <c r="C19" s="109"/>
      <c r="D19" s="122"/>
      <c r="E19" s="109"/>
      <c r="F19" s="109"/>
      <c r="G19" s="109"/>
      <c r="H19" s="126"/>
      <c r="I19" s="126"/>
      <c r="J19" s="127"/>
      <c r="K19" s="126"/>
      <c r="L19" s="126"/>
      <c r="M19" s="143"/>
      <c r="N19" s="127"/>
      <c r="O19" s="136"/>
      <c r="P19" s="137"/>
      <c r="Q19" s="137"/>
      <c r="R19" s="132"/>
      <c r="S19" s="132"/>
      <c r="T19" s="138"/>
      <c r="U19" s="132"/>
    </row>
    <row r="20" spans="1:21" ht="12.75">
      <c r="A20" s="109">
        <v>4</v>
      </c>
      <c r="B20" s="105" t="s">
        <v>70</v>
      </c>
      <c r="C20" s="109" t="s">
        <v>71</v>
      </c>
      <c r="D20" s="122">
        <f>'SOs Billings by Month'!$H$66</f>
        <v>238</v>
      </c>
      <c r="E20" s="123">
        <v>214</v>
      </c>
      <c r="F20" s="109">
        <v>0</v>
      </c>
      <c r="G20" s="124">
        <f>+'Travel &amp; Completion Times'!G78</f>
        <v>24.572727272727274</v>
      </c>
      <c r="H20" s="125">
        <f>+H10*G20</f>
        <v>11.106400174825175</v>
      </c>
      <c r="I20" s="126"/>
      <c r="J20" s="127">
        <f>H20*J10</f>
        <v>0.9774628882066974</v>
      </c>
      <c r="K20" s="125">
        <f>SUM(H20:J20)</f>
        <v>12.083863063031872</v>
      </c>
      <c r="L20" s="125">
        <f>+'Travel Cost between Orders'!C28</f>
        <v>4.562592618492618</v>
      </c>
      <c r="M20" s="128">
        <f>SUM(K20:L20)</f>
        <v>16.64645568152449</v>
      </c>
      <c r="N20" s="127">
        <f>'CSC Cost per Call'!$C$11</f>
        <v>3.906052648987638</v>
      </c>
      <c r="O20" s="130">
        <f>+M20+N20</f>
        <v>20.55250833051213</v>
      </c>
      <c r="P20" s="128">
        <v>65</v>
      </c>
      <c r="Q20" s="131">
        <f>(E20*P20)+(F20*73)</f>
        <v>13910</v>
      </c>
      <c r="R20" s="132">
        <v>65</v>
      </c>
      <c r="S20" s="132">
        <v>73</v>
      </c>
      <c r="T20" s="133">
        <f>(E20*R20)+(F20*S20)</f>
        <v>13910</v>
      </c>
      <c r="U20" s="134">
        <f>+T20-Q20</f>
        <v>0</v>
      </c>
    </row>
    <row r="21" spans="1:21" ht="12.75">
      <c r="A21" s="109"/>
      <c r="C21" s="109"/>
      <c r="E21" s="109"/>
      <c r="F21" s="109"/>
      <c r="G21" s="109"/>
      <c r="H21" s="126"/>
      <c r="I21" s="126"/>
      <c r="J21" s="127"/>
      <c r="K21" s="126"/>
      <c r="L21" s="126"/>
      <c r="N21" s="127"/>
      <c r="O21" s="136"/>
      <c r="P21" s="137"/>
      <c r="Q21" s="137"/>
      <c r="R21" s="132"/>
      <c r="S21" s="132"/>
      <c r="T21" s="138"/>
      <c r="U21" s="132"/>
    </row>
    <row r="22" spans="1:21" ht="12.75">
      <c r="A22" s="109">
        <v>5</v>
      </c>
      <c r="B22" s="105" t="s">
        <v>72</v>
      </c>
      <c r="C22" s="109" t="s">
        <v>69</v>
      </c>
      <c r="D22" s="144">
        <f>'SOs Billings by Month'!$H$54</f>
        <v>19556</v>
      </c>
      <c r="E22" s="123">
        <v>18282</v>
      </c>
      <c r="F22" s="109">
        <v>0</v>
      </c>
      <c r="G22" s="124">
        <f>+'Travel &amp; Completion Times'!G66</f>
        <v>6.981818181818183</v>
      </c>
      <c r="H22" s="125">
        <f>+H10*G22</f>
        <v>3.155647552447553</v>
      </c>
      <c r="I22" s="126"/>
      <c r="J22" s="127">
        <f>H22*J10</f>
        <v>0.27772530452931693</v>
      </c>
      <c r="K22" s="125">
        <f>SUM(H22:J22)</f>
        <v>3.4333728569768702</v>
      </c>
      <c r="L22" s="125">
        <f>+'Travel Cost between Orders'!C28</f>
        <v>4.562592618492618</v>
      </c>
      <c r="M22" s="128">
        <f>SUM(K22:L22)</f>
        <v>7.995965475469489</v>
      </c>
      <c r="N22" s="127">
        <f>'CSC Cost per Call'!$C$11</f>
        <v>3.906052648987638</v>
      </c>
      <c r="O22" s="130">
        <f>+M22+N22</f>
        <v>11.902018124457127</v>
      </c>
      <c r="P22" s="128">
        <v>12</v>
      </c>
      <c r="Q22" s="133">
        <f>(E22*P22)+(F22*14)</f>
        <v>219384</v>
      </c>
      <c r="R22" s="132">
        <f>ROUNDUP(O22,0)</f>
        <v>12</v>
      </c>
      <c r="S22" s="132">
        <f>ROUNDUP(((H22*1.5)+I22+J22+L22+N22),0)</f>
        <v>14</v>
      </c>
      <c r="T22" s="133">
        <f>(E22*R22)+(F22*S22)</f>
        <v>219384</v>
      </c>
      <c r="U22" s="145">
        <f>+T22-Q22</f>
        <v>0</v>
      </c>
    </row>
    <row r="23" spans="1:21" ht="12.75">
      <c r="A23" s="109"/>
      <c r="C23" s="109"/>
      <c r="D23" s="144"/>
      <c r="E23" s="109"/>
      <c r="F23" s="109"/>
      <c r="G23" s="124"/>
      <c r="H23" s="125"/>
      <c r="I23" s="126"/>
      <c r="J23" s="127"/>
      <c r="K23" s="125"/>
      <c r="L23" s="125"/>
      <c r="M23" s="128"/>
      <c r="N23" s="127"/>
      <c r="O23" s="130"/>
      <c r="P23" s="128"/>
      <c r="Q23" s="133"/>
      <c r="R23" s="132"/>
      <c r="S23" s="132"/>
      <c r="T23" s="133"/>
      <c r="U23" s="145"/>
    </row>
    <row r="24" spans="1:21" ht="13.5" thickBot="1">
      <c r="A24" s="109">
        <v>6</v>
      </c>
      <c r="B24" s="105" t="s">
        <v>172</v>
      </c>
      <c r="C24" s="109"/>
      <c r="D24" s="144">
        <v>3593</v>
      </c>
      <c r="E24" s="109"/>
      <c r="F24" s="109"/>
      <c r="G24" s="124"/>
      <c r="H24" s="125"/>
      <c r="I24" s="126"/>
      <c r="J24" s="127"/>
      <c r="K24" s="125"/>
      <c r="L24" s="125"/>
      <c r="M24" s="128"/>
      <c r="N24" s="127"/>
      <c r="O24" s="130"/>
      <c r="P24" s="128">
        <v>23</v>
      </c>
      <c r="Q24" s="146">
        <f>D24*P24</f>
        <v>82639</v>
      </c>
      <c r="R24" s="121">
        <f>ROUNDUP('Check Charge'!F23,0)</f>
        <v>25</v>
      </c>
      <c r="S24" s="132"/>
      <c r="T24" s="146">
        <f>+R24*D24</f>
        <v>89825</v>
      </c>
      <c r="U24" s="147">
        <f>+T24-Q24</f>
        <v>7186</v>
      </c>
    </row>
    <row r="25" spans="1:21" ht="13.5" thickTop="1">
      <c r="A25" s="109"/>
      <c r="C25" s="109"/>
      <c r="E25" s="109"/>
      <c r="F25" s="109"/>
      <c r="G25" s="124"/>
      <c r="H25" s="126"/>
      <c r="I25" s="126"/>
      <c r="J25" s="127"/>
      <c r="K25" s="126"/>
      <c r="L25" s="126"/>
      <c r="M25" s="137"/>
      <c r="N25" s="127"/>
      <c r="O25" s="136"/>
      <c r="P25" s="137"/>
      <c r="Q25" s="137"/>
      <c r="R25" s="148"/>
      <c r="S25" s="148"/>
      <c r="T25" s="138"/>
      <c r="U25" s="132"/>
    </row>
    <row r="26" spans="1:21" ht="12.75">
      <c r="A26" s="109">
        <v>7</v>
      </c>
      <c r="B26" s="105" t="s">
        <v>147</v>
      </c>
      <c r="C26" s="109"/>
      <c r="E26" s="109"/>
      <c r="F26" s="109"/>
      <c r="G26" s="109"/>
      <c r="H26" s="149"/>
      <c r="I26" s="149"/>
      <c r="J26" s="149"/>
      <c r="K26" s="109"/>
      <c r="L26" s="109"/>
      <c r="M26" s="150"/>
      <c r="N26" s="150"/>
      <c r="O26" s="136"/>
      <c r="Q26" s="151">
        <f>SUM(Q13:Q24)</f>
        <v>865237</v>
      </c>
      <c r="R26" s="132"/>
      <c r="S26" s="132"/>
      <c r="T26" s="151">
        <f>SUM(T13:T24)</f>
        <v>961148</v>
      </c>
      <c r="U26" s="151">
        <f>SUM(U13:U24)</f>
        <v>95911</v>
      </c>
    </row>
    <row r="27" spans="1:15" ht="15">
      <c r="A27" s="152" t="s">
        <v>54</v>
      </c>
      <c r="B27" s="105" t="s">
        <v>59</v>
      </c>
      <c r="C27" s="109"/>
      <c r="E27" s="109"/>
      <c r="F27" s="109"/>
      <c r="G27" s="109"/>
      <c r="H27" s="149"/>
      <c r="I27" s="149"/>
      <c r="J27" s="149"/>
      <c r="K27" s="109"/>
      <c r="L27" s="109"/>
      <c r="M27" s="150"/>
      <c r="N27" s="150"/>
      <c r="O27" s="136"/>
    </row>
    <row r="28" spans="1:21" ht="12.75">
      <c r="A28" s="109"/>
      <c r="C28" s="109"/>
      <c r="E28" s="109"/>
      <c r="F28" s="109"/>
      <c r="G28" s="109"/>
      <c r="H28" s="149"/>
      <c r="I28" s="149"/>
      <c r="J28" s="149"/>
      <c r="K28" s="109"/>
      <c r="L28" s="109"/>
      <c r="M28" s="150"/>
      <c r="N28" s="150"/>
      <c r="O28" s="136"/>
      <c r="Q28" s="153"/>
      <c r="R28" s="132"/>
      <c r="S28" s="132"/>
      <c r="T28" s="132"/>
      <c r="U28" s="132"/>
    </row>
    <row r="29" spans="3:21" ht="12.75">
      <c r="C29" s="109"/>
      <c r="D29" s="154"/>
      <c r="E29" s="109"/>
      <c r="F29" s="109"/>
      <c r="G29" s="154"/>
      <c r="H29" s="155"/>
      <c r="I29" s="149"/>
      <c r="J29" s="149"/>
      <c r="K29" s="109"/>
      <c r="L29" s="109"/>
      <c r="M29" s="150"/>
      <c r="N29" s="150"/>
      <c r="O29" s="136"/>
      <c r="Q29" s="137"/>
      <c r="R29" s="132"/>
      <c r="S29" s="132"/>
      <c r="T29" s="132"/>
      <c r="U29" s="132"/>
    </row>
    <row r="30" spans="3:17" ht="12.75">
      <c r="C30" s="109"/>
      <c r="D30" s="154"/>
      <c r="E30" s="109"/>
      <c r="F30" s="109"/>
      <c r="G30" s="109"/>
      <c r="H30" s="149"/>
      <c r="I30" s="149"/>
      <c r="J30" s="149"/>
      <c r="K30" s="109"/>
      <c r="L30" s="109"/>
      <c r="M30" s="150"/>
      <c r="N30" s="150"/>
      <c r="O30" s="136"/>
      <c r="Q30" s="138"/>
    </row>
    <row r="31" spans="2:18" ht="12.75">
      <c r="B31" s="156"/>
      <c r="C31" s="109"/>
      <c r="E31" s="109"/>
      <c r="F31" s="109"/>
      <c r="G31" s="109"/>
      <c r="H31" s="149"/>
      <c r="I31" s="149"/>
      <c r="J31" s="149"/>
      <c r="K31" s="109"/>
      <c r="L31" s="109"/>
      <c r="M31" s="150"/>
      <c r="N31" s="150"/>
      <c r="O31" s="136"/>
      <c r="Q31" s="157"/>
      <c r="R31" s="132"/>
    </row>
    <row r="32" spans="1:17" ht="12.75">
      <c r="A32" s="109"/>
      <c r="C32" s="109"/>
      <c r="E32" s="109"/>
      <c r="F32" s="109"/>
      <c r="G32" s="109"/>
      <c r="H32" s="149"/>
      <c r="I32" s="149"/>
      <c r="J32" s="149"/>
      <c r="K32" s="109"/>
      <c r="L32" s="109"/>
      <c r="M32" s="150"/>
      <c r="N32" s="150"/>
      <c r="O32" s="136"/>
      <c r="Q32" s="137"/>
    </row>
    <row r="33" spans="3:17" ht="12.75">
      <c r="C33" s="109"/>
      <c r="E33" s="109"/>
      <c r="F33" s="109"/>
      <c r="G33" s="109"/>
      <c r="H33" s="149"/>
      <c r="I33" s="149"/>
      <c r="J33" s="149"/>
      <c r="K33" s="109"/>
      <c r="L33" s="109"/>
      <c r="M33" s="150"/>
      <c r="N33" s="150"/>
      <c r="O33" s="136"/>
      <c r="Q33" s="137"/>
    </row>
    <row r="34" spans="3:17" ht="12.75">
      <c r="C34" s="109"/>
      <c r="E34" s="109"/>
      <c r="F34" s="109"/>
      <c r="G34" s="109"/>
      <c r="H34" s="149"/>
      <c r="I34" s="149"/>
      <c r="J34" s="149"/>
      <c r="K34" s="109"/>
      <c r="L34" s="109"/>
      <c r="M34" s="150"/>
      <c r="N34" s="150"/>
      <c r="O34" s="136"/>
      <c r="Q34" s="137"/>
    </row>
    <row r="35" spans="3:17" ht="12.75">
      <c r="C35" s="109"/>
      <c r="E35" s="109"/>
      <c r="F35" s="109"/>
      <c r="G35" s="109"/>
      <c r="H35" s="149"/>
      <c r="I35" s="149"/>
      <c r="J35" s="149"/>
      <c r="K35" s="109"/>
      <c r="L35" s="109"/>
      <c r="M35" s="150"/>
      <c r="N35" s="150"/>
      <c r="O35" s="136"/>
      <c r="Q35" s="137"/>
    </row>
    <row r="36" spans="1:17" ht="12.75">
      <c r="A36" s="109"/>
      <c r="C36" s="109"/>
      <c r="E36" s="109"/>
      <c r="F36" s="109"/>
      <c r="G36" s="109"/>
      <c r="H36" s="149"/>
      <c r="I36" s="149"/>
      <c r="J36" s="149"/>
      <c r="K36" s="109"/>
      <c r="L36" s="109"/>
      <c r="M36" s="150"/>
      <c r="N36" s="150"/>
      <c r="O36" s="136"/>
      <c r="Q36" s="137"/>
    </row>
    <row r="37" spans="3:17" ht="12.75">
      <c r="C37" s="109"/>
      <c r="E37" s="109"/>
      <c r="F37" s="109"/>
      <c r="G37" s="109"/>
      <c r="H37" s="149"/>
      <c r="I37" s="149"/>
      <c r="J37" s="149"/>
      <c r="K37" s="109"/>
      <c r="L37" s="109"/>
      <c r="M37" s="150"/>
      <c r="N37" s="150"/>
      <c r="O37" s="136"/>
      <c r="Q37" s="137"/>
    </row>
    <row r="38" spans="1:17" ht="12.75">
      <c r="A38" s="109"/>
      <c r="C38" s="109"/>
      <c r="E38" s="109"/>
      <c r="F38" s="109"/>
      <c r="G38" s="109"/>
      <c r="H38" s="149"/>
      <c r="I38" s="149"/>
      <c r="J38" s="149"/>
      <c r="K38" s="109"/>
      <c r="L38" s="109"/>
      <c r="M38" s="150"/>
      <c r="N38" s="150"/>
      <c r="O38" s="136"/>
      <c r="Q38" s="137"/>
    </row>
    <row r="39" spans="1:12" ht="12.75">
      <c r="A39" s="109"/>
      <c r="C39" s="109"/>
      <c r="E39" s="109"/>
      <c r="F39" s="109"/>
      <c r="G39" s="109"/>
      <c r="H39" s="149"/>
      <c r="I39" s="149"/>
      <c r="J39" s="149"/>
      <c r="K39" s="109"/>
      <c r="L39" s="109"/>
    </row>
  </sheetData>
  <sheetProtection/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3.7109375" style="0" customWidth="1"/>
    <col min="2" max="2" width="56.8515625" style="0" bestFit="1" customWidth="1"/>
    <col min="3" max="3" width="13.8515625" style="0" customWidth="1"/>
  </cols>
  <sheetData>
    <row r="1" spans="1:2" ht="12.75">
      <c r="A1" s="6" t="s">
        <v>166</v>
      </c>
      <c r="B1" s="11" t="s">
        <v>80</v>
      </c>
    </row>
    <row r="2" spans="1:2" ht="12.75">
      <c r="A2" s="6"/>
      <c r="B2" s="11" t="s">
        <v>117</v>
      </c>
    </row>
    <row r="3" ht="12.75">
      <c r="B3" s="11" t="s">
        <v>81</v>
      </c>
    </row>
    <row r="5" spans="1:3" ht="38.25">
      <c r="A5" s="12" t="s">
        <v>73</v>
      </c>
      <c r="B5" s="12" t="s">
        <v>2</v>
      </c>
      <c r="C5" s="13" t="s">
        <v>78</v>
      </c>
    </row>
    <row r="6" spans="1:3" ht="12.75">
      <c r="A6" s="6"/>
      <c r="B6" s="7" t="s">
        <v>3</v>
      </c>
      <c r="C6" s="4" t="s">
        <v>4</v>
      </c>
    </row>
    <row r="8" spans="1:3" ht="12.75">
      <c r="A8" s="2">
        <v>1</v>
      </c>
      <c r="B8" t="s">
        <v>116</v>
      </c>
      <c r="C8" s="27">
        <f>(29690+44530)/(2)/2080</f>
        <v>17.841346153846153</v>
      </c>
    </row>
    <row r="9" ht="12.75">
      <c r="A9" s="2"/>
    </row>
    <row r="10" spans="1:3" ht="12.75">
      <c r="A10" s="2">
        <v>2</v>
      </c>
      <c r="B10" t="s">
        <v>74</v>
      </c>
      <c r="C10" s="14">
        <v>1.52</v>
      </c>
    </row>
    <row r="11" ht="12.75">
      <c r="A11" s="2"/>
    </row>
    <row r="12" spans="1:3" ht="12.75">
      <c r="A12" s="2">
        <v>3</v>
      </c>
      <c r="B12" t="s">
        <v>75</v>
      </c>
      <c r="C12" s="27">
        <f>+C8*C10</f>
        <v>27.118846153846153</v>
      </c>
    </row>
    <row r="13" ht="12.75">
      <c r="A13" s="2"/>
    </row>
    <row r="14" spans="1:3" ht="12.75">
      <c r="A14" s="2">
        <v>4</v>
      </c>
      <c r="B14" t="s">
        <v>76</v>
      </c>
      <c r="C14">
        <v>60</v>
      </c>
    </row>
    <row r="15" ht="12.75">
      <c r="A15" s="2"/>
    </row>
    <row r="16" spans="1:3" ht="13.5" thickBot="1">
      <c r="A16" s="2">
        <v>5</v>
      </c>
      <c r="B16" t="s">
        <v>77</v>
      </c>
      <c r="C16" s="28">
        <f>+C12/C14</f>
        <v>0.45198076923076924</v>
      </c>
    </row>
    <row r="17" ht="13.5" thickTop="1"/>
    <row r="19" spans="1:2" ht="14.25">
      <c r="A19" s="10"/>
      <c r="B19" s="9"/>
    </row>
  </sheetData>
  <sheetProtection/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3.28125" style="0" customWidth="1"/>
    <col min="2" max="2" width="56.8515625" style="0" bestFit="1" customWidth="1"/>
    <col min="3" max="3" width="13.8515625" style="0" customWidth="1"/>
  </cols>
  <sheetData>
    <row r="1" spans="1:2" ht="12.75">
      <c r="A1" s="6" t="s">
        <v>166</v>
      </c>
      <c r="B1" s="11" t="s">
        <v>80</v>
      </c>
    </row>
    <row r="2" spans="1:2" ht="12.75">
      <c r="A2" s="6"/>
      <c r="B2" s="11" t="s">
        <v>122</v>
      </c>
    </row>
    <row r="3" ht="12.75">
      <c r="B3" s="11" t="s">
        <v>123</v>
      </c>
    </row>
    <row r="5" spans="1:3" ht="38.25">
      <c r="A5" s="12" t="s">
        <v>73</v>
      </c>
      <c r="B5" s="12" t="s">
        <v>2</v>
      </c>
      <c r="C5" s="13" t="s">
        <v>120</v>
      </c>
    </row>
    <row r="6" spans="1:3" ht="12.75">
      <c r="A6" s="6"/>
      <c r="B6" s="7" t="s">
        <v>3</v>
      </c>
      <c r="C6" s="4" t="s">
        <v>4</v>
      </c>
    </row>
    <row r="8" spans="1:3" ht="12.75">
      <c r="A8" s="2">
        <v>1</v>
      </c>
      <c r="B8" t="s">
        <v>121</v>
      </c>
      <c r="C8" s="27">
        <f>(29690+44530)/(2)/2080</f>
        <v>17.841346153846153</v>
      </c>
    </row>
    <row r="9" ht="12.75">
      <c r="A9" s="2"/>
    </row>
    <row r="10" spans="1:3" ht="12.75">
      <c r="A10" s="2">
        <v>2</v>
      </c>
      <c r="B10" t="s">
        <v>74</v>
      </c>
      <c r="C10" s="14">
        <v>1.52</v>
      </c>
    </row>
    <row r="11" ht="12.75">
      <c r="A11" s="2"/>
    </row>
    <row r="12" spans="1:3" ht="12.75">
      <c r="A12" s="2">
        <v>3</v>
      </c>
      <c r="B12" t="s">
        <v>75</v>
      </c>
      <c r="C12" s="27">
        <f>+C8*C10</f>
        <v>27.118846153846153</v>
      </c>
    </row>
    <row r="13" ht="12.75">
      <c r="A13" s="2"/>
    </row>
    <row r="14" spans="1:3" ht="12.75">
      <c r="A14" s="2">
        <v>4</v>
      </c>
      <c r="B14" t="s">
        <v>76</v>
      </c>
      <c r="C14">
        <v>60</v>
      </c>
    </row>
    <row r="15" ht="12.75">
      <c r="A15" s="2"/>
    </row>
    <row r="16" spans="1:3" ht="13.5" thickBot="1">
      <c r="A16" s="2">
        <v>5</v>
      </c>
      <c r="B16" t="s">
        <v>77</v>
      </c>
      <c r="C16" s="28">
        <f>+C12/C14</f>
        <v>0.45198076923076924</v>
      </c>
    </row>
    <row r="17" ht="13.5" thickTop="1">
      <c r="A17" s="2"/>
    </row>
    <row r="18" spans="1:3" ht="12.75">
      <c r="A18" s="2">
        <v>6</v>
      </c>
      <c r="B18" t="s">
        <v>131</v>
      </c>
      <c r="C18" s="16">
        <f>C16*0.05</f>
        <v>0.022599038461538462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3" ht="12.75">
      <c r="A24" s="2"/>
      <c r="C24" s="15"/>
    </row>
    <row r="27" spans="1:2" ht="14.25">
      <c r="A27" s="10"/>
      <c r="B27" s="9"/>
    </row>
  </sheetData>
  <sheetProtection/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2.8515625" style="0" customWidth="1"/>
    <col min="2" max="2" width="56.8515625" style="0" bestFit="1" customWidth="1"/>
    <col min="3" max="3" width="13.8515625" style="0" customWidth="1"/>
    <col min="5" max="5" width="2.00390625" style="0" bestFit="1" customWidth="1"/>
    <col min="6" max="6" width="47.00390625" style="0" bestFit="1" customWidth="1"/>
    <col min="7" max="7" width="5.57421875" style="0" bestFit="1" customWidth="1"/>
  </cols>
  <sheetData>
    <row r="1" spans="1:2" ht="12.75">
      <c r="A1" s="6" t="s">
        <v>166</v>
      </c>
      <c r="B1" s="11" t="s">
        <v>80</v>
      </c>
    </row>
    <row r="2" spans="1:2" ht="12.75">
      <c r="A2" s="6"/>
      <c r="B2" s="11" t="s">
        <v>127</v>
      </c>
    </row>
    <row r="3" ht="12.75">
      <c r="B3" s="11" t="s">
        <v>123</v>
      </c>
    </row>
    <row r="5" spans="1:3" ht="38.25">
      <c r="A5" s="12" t="s">
        <v>73</v>
      </c>
      <c r="B5" s="12" t="s">
        <v>2</v>
      </c>
      <c r="C5" s="13" t="s">
        <v>78</v>
      </c>
    </row>
    <row r="6" spans="1:3" ht="12.75">
      <c r="A6" s="6"/>
      <c r="B6" s="7" t="s">
        <v>3</v>
      </c>
      <c r="C6" s="4" t="s">
        <v>4</v>
      </c>
    </row>
    <row r="8" spans="1:3" ht="12.75">
      <c r="A8" s="2">
        <v>1</v>
      </c>
      <c r="B8" t="s">
        <v>124</v>
      </c>
      <c r="C8" s="27">
        <f>(57810+86710)/2/2080</f>
        <v>34.74038461538461</v>
      </c>
    </row>
    <row r="9" ht="12.75">
      <c r="A9" s="2"/>
    </row>
    <row r="10" spans="1:3" ht="12.75">
      <c r="A10" s="2">
        <v>2</v>
      </c>
      <c r="B10" t="s">
        <v>74</v>
      </c>
      <c r="C10" s="14">
        <v>1.52</v>
      </c>
    </row>
    <row r="11" ht="12.75">
      <c r="A11" s="2"/>
    </row>
    <row r="12" spans="1:3" ht="12.75">
      <c r="A12" s="2">
        <v>3</v>
      </c>
      <c r="B12" t="s">
        <v>75</v>
      </c>
      <c r="C12" s="27">
        <f>+C8*C10</f>
        <v>52.80538461538461</v>
      </c>
    </row>
    <row r="13" ht="12.75">
      <c r="A13" s="2"/>
    </row>
    <row r="14" spans="1:3" ht="12.75">
      <c r="A14" s="2">
        <v>4</v>
      </c>
      <c r="B14" t="s">
        <v>76</v>
      </c>
      <c r="C14">
        <v>60</v>
      </c>
    </row>
    <row r="15" ht="12.75">
      <c r="A15" s="2"/>
    </row>
    <row r="16" spans="1:3" ht="13.5" thickBot="1">
      <c r="A16" s="2">
        <v>5</v>
      </c>
      <c r="B16" t="s">
        <v>77</v>
      </c>
      <c r="C16" s="28">
        <f>+C12/C14</f>
        <v>0.8800897435897436</v>
      </c>
    </row>
    <row r="17" ht="13.5" thickTop="1"/>
    <row r="18" spans="1:3" ht="12.75">
      <c r="A18" s="2">
        <v>6</v>
      </c>
      <c r="B18" t="s">
        <v>126</v>
      </c>
      <c r="C18" s="27">
        <f>C16*0.1</f>
        <v>0.08800897435897437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3" ht="12.75">
      <c r="A24" s="2"/>
      <c r="C24" s="15"/>
    </row>
    <row r="27" spans="1:2" ht="14.25">
      <c r="A27" s="10"/>
      <c r="B27" s="9"/>
    </row>
  </sheetData>
  <sheetProtection/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H10" sqref="H10"/>
      <selection pane="bottomLeft" activeCell="H10" sqref="H10"/>
    </sheetView>
  </sheetViews>
  <sheetFormatPr defaultColWidth="9.140625" defaultRowHeight="12.75" outlineLevelRow="2"/>
  <cols>
    <col min="2" max="2" width="3.57421875" style="0" customWidth="1"/>
    <col min="3" max="3" width="10.28125" style="0" customWidth="1"/>
    <col min="4" max="4" width="11.140625" style="0" customWidth="1"/>
    <col min="5" max="5" width="8.00390625" style="0" customWidth="1"/>
    <col min="6" max="6" width="13.140625" style="26" customWidth="1"/>
    <col min="7" max="7" width="13.00390625" style="26" customWidth="1"/>
    <col min="9" max="9" width="8.28125" style="0" customWidth="1"/>
    <col min="10" max="10" width="22.57421875" style="0" customWidth="1"/>
  </cols>
  <sheetData>
    <row r="1" spans="1:7" ht="12.75">
      <c r="A1" s="159" t="s">
        <v>166</v>
      </c>
      <c r="B1" s="159"/>
      <c r="C1" s="158" t="s">
        <v>80</v>
      </c>
      <c r="D1" s="158"/>
      <c r="E1" s="158"/>
      <c r="F1" s="158"/>
      <c r="G1" s="158"/>
    </row>
    <row r="2" spans="1:7" ht="12.75">
      <c r="A2" s="159"/>
      <c r="B2" s="159"/>
      <c r="C2" s="158" t="s">
        <v>156</v>
      </c>
      <c r="D2" s="158"/>
      <c r="E2" s="158"/>
      <c r="F2" s="158"/>
      <c r="G2" s="158"/>
    </row>
    <row r="3" spans="4:7" ht="12.75">
      <c r="D3" s="158"/>
      <c r="E3" s="158"/>
      <c r="F3" s="158"/>
      <c r="G3" s="158"/>
    </row>
    <row r="5" spans="1:7" ht="27" customHeight="1">
      <c r="A5" s="102" t="s">
        <v>158</v>
      </c>
      <c r="B5" s="101" t="s">
        <v>96</v>
      </c>
      <c r="C5" s="99" t="s">
        <v>97</v>
      </c>
      <c r="D5" s="99" t="s">
        <v>98</v>
      </c>
      <c r="E5" s="99" t="s">
        <v>99</v>
      </c>
      <c r="F5" s="100" t="s">
        <v>100</v>
      </c>
      <c r="G5" s="100" t="s">
        <v>101</v>
      </c>
    </row>
    <row r="6" spans="1:7" ht="27" customHeight="1">
      <c r="A6" s="2"/>
      <c r="B6" s="81" t="s">
        <v>3</v>
      </c>
      <c r="C6" s="81" t="s">
        <v>4</v>
      </c>
      <c r="D6" s="81" t="s">
        <v>5</v>
      </c>
      <c r="E6" s="81" t="s">
        <v>40</v>
      </c>
      <c r="F6" s="81" t="s">
        <v>41</v>
      </c>
      <c r="G6" s="81" t="s">
        <v>42</v>
      </c>
    </row>
    <row r="7" spans="1:7" ht="12.75" hidden="1" outlineLevel="2">
      <c r="A7" s="2">
        <v>1</v>
      </c>
      <c r="B7" s="18">
        <v>50</v>
      </c>
      <c r="C7" s="19" t="s">
        <v>102</v>
      </c>
      <c r="D7" s="20" t="s">
        <v>103</v>
      </c>
      <c r="E7" s="21">
        <v>190</v>
      </c>
      <c r="F7" s="22">
        <v>11.2</v>
      </c>
      <c r="G7" s="22">
        <v>24.6</v>
      </c>
    </row>
    <row r="8" spans="1:7" ht="12.75" hidden="1" outlineLevel="2">
      <c r="A8" s="2">
        <f>A7+1</f>
        <v>2</v>
      </c>
      <c r="B8" s="18">
        <v>50</v>
      </c>
      <c r="C8" s="19" t="s">
        <v>102</v>
      </c>
      <c r="D8" s="20" t="s">
        <v>103</v>
      </c>
      <c r="E8" s="21">
        <v>266</v>
      </c>
      <c r="F8" s="22">
        <v>6.5</v>
      </c>
      <c r="G8" s="22">
        <v>38.4</v>
      </c>
    </row>
    <row r="9" spans="1:7" ht="12.75" hidden="1" outlineLevel="2">
      <c r="A9" s="2">
        <f aca="true" t="shared" si="0" ref="A9:A72">A8+1</f>
        <v>3</v>
      </c>
      <c r="B9" s="18">
        <v>50</v>
      </c>
      <c r="C9" s="19" t="s">
        <v>102</v>
      </c>
      <c r="D9" s="20" t="s">
        <v>103</v>
      </c>
      <c r="E9" s="21">
        <v>190</v>
      </c>
      <c r="F9" s="22">
        <v>11.5</v>
      </c>
      <c r="G9" s="22">
        <v>35.1</v>
      </c>
    </row>
    <row r="10" spans="1:7" ht="12.75" hidden="1" outlineLevel="2">
      <c r="A10" s="2">
        <f t="shared" si="0"/>
        <v>4</v>
      </c>
      <c r="B10" s="18">
        <v>50</v>
      </c>
      <c r="C10" s="19" t="s">
        <v>102</v>
      </c>
      <c r="D10" s="20" t="s">
        <v>103</v>
      </c>
      <c r="E10" s="21">
        <v>236</v>
      </c>
      <c r="F10" s="22">
        <v>8.9</v>
      </c>
      <c r="G10" s="22">
        <v>87.5</v>
      </c>
    </row>
    <row r="11" spans="1:7" ht="12.75" hidden="1" outlineLevel="2">
      <c r="A11" s="2">
        <f t="shared" si="0"/>
        <v>5</v>
      </c>
      <c r="B11" s="18">
        <v>50</v>
      </c>
      <c r="C11" s="19" t="s">
        <v>102</v>
      </c>
      <c r="D11" s="20" t="s">
        <v>103</v>
      </c>
      <c r="E11" s="21">
        <v>734</v>
      </c>
      <c r="F11" s="22">
        <v>8.5</v>
      </c>
      <c r="G11" s="22">
        <v>78.4</v>
      </c>
    </row>
    <row r="12" spans="1:7" ht="12.75" hidden="1" outlineLevel="2">
      <c r="A12" s="2">
        <f t="shared" si="0"/>
        <v>6</v>
      </c>
      <c r="B12" s="18">
        <v>50</v>
      </c>
      <c r="C12" s="19" t="s">
        <v>102</v>
      </c>
      <c r="D12" s="20" t="s">
        <v>103</v>
      </c>
      <c r="E12" s="21">
        <v>234</v>
      </c>
      <c r="F12" s="22">
        <v>7.1</v>
      </c>
      <c r="G12" s="22">
        <v>31.5</v>
      </c>
    </row>
    <row r="13" spans="1:7" ht="12.75" hidden="1" outlineLevel="2">
      <c r="A13" s="2">
        <f t="shared" si="0"/>
        <v>7</v>
      </c>
      <c r="B13" s="18">
        <v>50</v>
      </c>
      <c r="C13" s="19" t="s">
        <v>102</v>
      </c>
      <c r="D13" s="20" t="s">
        <v>103</v>
      </c>
      <c r="E13" s="21">
        <v>431</v>
      </c>
      <c r="F13" s="22">
        <v>9.1</v>
      </c>
      <c r="G13" s="22">
        <v>36.1</v>
      </c>
    </row>
    <row r="14" spans="1:7" ht="12.75" hidden="1" outlineLevel="2">
      <c r="A14" s="2">
        <f t="shared" si="0"/>
        <v>8</v>
      </c>
      <c r="B14" s="18">
        <v>50</v>
      </c>
      <c r="C14" s="19" t="s">
        <v>102</v>
      </c>
      <c r="D14" s="20" t="s">
        <v>103</v>
      </c>
      <c r="E14" s="21">
        <v>137</v>
      </c>
      <c r="F14" s="22">
        <v>9</v>
      </c>
      <c r="G14" s="22">
        <v>29.8</v>
      </c>
    </row>
    <row r="15" spans="1:7" ht="12.75" hidden="1" outlineLevel="2">
      <c r="A15" s="2">
        <f t="shared" si="0"/>
        <v>9</v>
      </c>
      <c r="B15" s="18">
        <v>50</v>
      </c>
      <c r="C15" s="19" t="s">
        <v>102</v>
      </c>
      <c r="D15" s="20" t="s">
        <v>103</v>
      </c>
      <c r="E15" s="21">
        <v>374</v>
      </c>
      <c r="F15" s="22">
        <v>9.8</v>
      </c>
      <c r="G15" s="22">
        <v>48.8</v>
      </c>
    </row>
    <row r="16" spans="1:7" ht="12.75" hidden="1" outlineLevel="2">
      <c r="A16" s="2">
        <f t="shared" si="0"/>
        <v>10</v>
      </c>
      <c r="B16" s="18">
        <v>50</v>
      </c>
      <c r="C16" s="19" t="s">
        <v>102</v>
      </c>
      <c r="D16" s="20" t="s">
        <v>103</v>
      </c>
      <c r="E16" s="21">
        <v>618</v>
      </c>
      <c r="F16" s="22">
        <v>11.1</v>
      </c>
      <c r="G16" s="22">
        <v>60.4</v>
      </c>
    </row>
    <row r="17" spans="1:7" ht="12.75" hidden="1" outlineLevel="2">
      <c r="A17" s="2">
        <f t="shared" si="0"/>
        <v>11</v>
      </c>
      <c r="B17" s="18">
        <v>50</v>
      </c>
      <c r="C17" s="19" t="s">
        <v>102</v>
      </c>
      <c r="D17" s="20" t="s">
        <v>103</v>
      </c>
      <c r="E17" s="21">
        <v>149</v>
      </c>
      <c r="F17" s="22">
        <v>10.9</v>
      </c>
      <c r="G17" s="22">
        <v>31.8</v>
      </c>
    </row>
    <row r="18" spans="1:7" ht="12.75" outlineLevel="1" collapsed="1">
      <c r="A18" s="2">
        <f t="shared" si="0"/>
        <v>12</v>
      </c>
      <c r="B18" s="18">
        <v>50</v>
      </c>
      <c r="C18" s="19" t="s">
        <v>102</v>
      </c>
      <c r="D18" s="23" t="s">
        <v>104</v>
      </c>
      <c r="E18" s="21">
        <f>SUBTOTAL(9,E7:E17)</f>
        <v>3559</v>
      </c>
      <c r="F18" s="22">
        <f>SUBTOTAL(9,F7:F17)/11</f>
        <v>9.41818181818182</v>
      </c>
      <c r="G18" s="22">
        <f>SUBTOTAL(9,G7:G17)/11</f>
        <v>45.67272727272728</v>
      </c>
    </row>
    <row r="19" spans="1:7" ht="12.75" hidden="1" outlineLevel="2">
      <c r="A19" s="2">
        <f t="shared" si="0"/>
        <v>13</v>
      </c>
      <c r="B19" s="18">
        <v>50</v>
      </c>
      <c r="C19" s="19" t="s">
        <v>102</v>
      </c>
      <c r="D19" s="20" t="s">
        <v>105</v>
      </c>
      <c r="E19" s="21">
        <v>75</v>
      </c>
      <c r="F19" s="22">
        <v>13</v>
      </c>
      <c r="G19" s="22">
        <v>32.6</v>
      </c>
    </row>
    <row r="20" spans="1:7" ht="12.75" hidden="1" outlineLevel="2">
      <c r="A20" s="2">
        <f t="shared" si="0"/>
        <v>14</v>
      </c>
      <c r="B20" s="18">
        <v>50</v>
      </c>
      <c r="C20" s="19" t="s">
        <v>102</v>
      </c>
      <c r="D20" s="20" t="s">
        <v>105</v>
      </c>
      <c r="E20" s="21">
        <v>30</v>
      </c>
      <c r="F20" s="22">
        <v>6.5</v>
      </c>
      <c r="G20" s="22">
        <v>37.3</v>
      </c>
    </row>
    <row r="21" spans="1:7" ht="12.75" hidden="1" outlineLevel="2">
      <c r="A21" s="2">
        <f t="shared" si="0"/>
        <v>15</v>
      </c>
      <c r="B21" s="18">
        <v>50</v>
      </c>
      <c r="C21" s="19" t="s">
        <v>102</v>
      </c>
      <c r="D21" s="20" t="s">
        <v>105</v>
      </c>
      <c r="E21" s="21">
        <v>47</v>
      </c>
      <c r="F21" s="22">
        <v>13.2</v>
      </c>
      <c r="G21" s="22">
        <v>41.8</v>
      </c>
    </row>
    <row r="22" spans="1:7" ht="12.75" hidden="1" outlineLevel="2">
      <c r="A22" s="2">
        <f t="shared" si="0"/>
        <v>16</v>
      </c>
      <c r="B22" s="18">
        <v>50</v>
      </c>
      <c r="C22" s="19" t="s">
        <v>102</v>
      </c>
      <c r="D22" s="20" t="s">
        <v>105</v>
      </c>
      <c r="E22" s="21">
        <v>23</v>
      </c>
      <c r="F22" s="22">
        <v>11.2</v>
      </c>
      <c r="G22" s="22">
        <v>29.1</v>
      </c>
    </row>
    <row r="23" spans="1:7" ht="12.75" hidden="1" outlineLevel="2">
      <c r="A23" s="2">
        <f t="shared" si="0"/>
        <v>17</v>
      </c>
      <c r="B23" s="18">
        <v>50</v>
      </c>
      <c r="C23" s="19" t="s">
        <v>102</v>
      </c>
      <c r="D23" s="20" t="s">
        <v>105</v>
      </c>
      <c r="E23" s="21">
        <v>628</v>
      </c>
      <c r="F23" s="22">
        <v>8</v>
      </c>
      <c r="G23" s="22">
        <v>45.1</v>
      </c>
    </row>
    <row r="24" spans="1:7" ht="12.75" hidden="1" outlineLevel="2">
      <c r="A24" s="2">
        <f t="shared" si="0"/>
        <v>18</v>
      </c>
      <c r="B24" s="18">
        <v>50</v>
      </c>
      <c r="C24" s="19" t="s">
        <v>102</v>
      </c>
      <c r="D24" s="20" t="s">
        <v>105</v>
      </c>
      <c r="E24" s="21">
        <v>33</v>
      </c>
      <c r="F24" s="22">
        <v>9.4</v>
      </c>
      <c r="G24" s="22">
        <v>73</v>
      </c>
    </row>
    <row r="25" spans="1:7" ht="12.75" hidden="1" outlineLevel="2">
      <c r="A25" s="2">
        <f t="shared" si="0"/>
        <v>19</v>
      </c>
      <c r="B25" s="18">
        <v>50</v>
      </c>
      <c r="C25" s="19" t="s">
        <v>102</v>
      </c>
      <c r="D25" s="20" t="s">
        <v>105</v>
      </c>
      <c r="E25" s="21">
        <v>228</v>
      </c>
      <c r="F25" s="22">
        <v>13.1</v>
      </c>
      <c r="G25" s="22">
        <v>60</v>
      </c>
    </row>
    <row r="26" spans="1:7" ht="12.75" hidden="1" outlineLevel="2">
      <c r="A26" s="2">
        <f t="shared" si="0"/>
        <v>20</v>
      </c>
      <c r="B26" s="18">
        <v>50</v>
      </c>
      <c r="C26" s="19" t="s">
        <v>102</v>
      </c>
      <c r="D26" s="20" t="s">
        <v>105</v>
      </c>
      <c r="E26" s="21">
        <v>336</v>
      </c>
      <c r="F26" s="22">
        <v>8.5</v>
      </c>
      <c r="G26" s="22">
        <v>23.8</v>
      </c>
    </row>
    <row r="27" spans="1:7" ht="12.75" hidden="1" outlineLevel="2">
      <c r="A27" s="2">
        <f t="shared" si="0"/>
        <v>21</v>
      </c>
      <c r="B27" s="18">
        <v>50</v>
      </c>
      <c r="C27" s="19" t="s">
        <v>102</v>
      </c>
      <c r="D27" s="20" t="s">
        <v>105</v>
      </c>
      <c r="E27" s="21">
        <v>53</v>
      </c>
      <c r="F27" s="22">
        <v>13.1</v>
      </c>
      <c r="G27" s="22">
        <v>216</v>
      </c>
    </row>
    <row r="28" spans="1:7" ht="12.75" hidden="1" outlineLevel="2">
      <c r="A28" s="2">
        <f t="shared" si="0"/>
        <v>22</v>
      </c>
      <c r="B28" s="18">
        <v>50</v>
      </c>
      <c r="C28" s="19" t="s">
        <v>102</v>
      </c>
      <c r="D28" s="20" t="s">
        <v>105</v>
      </c>
      <c r="E28" s="21">
        <v>322</v>
      </c>
      <c r="F28" s="22">
        <v>7.8</v>
      </c>
      <c r="G28" s="22">
        <v>216.2</v>
      </c>
    </row>
    <row r="29" spans="1:7" ht="12.75" hidden="1" outlineLevel="2">
      <c r="A29" s="2">
        <f t="shared" si="0"/>
        <v>23</v>
      </c>
      <c r="B29" s="18">
        <v>50</v>
      </c>
      <c r="C29" s="19" t="s">
        <v>102</v>
      </c>
      <c r="D29" s="20" t="s">
        <v>105</v>
      </c>
      <c r="E29" s="21">
        <v>20</v>
      </c>
      <c r="F29" s="22">
        <v>12.1</v>
      </c>
      <c r="G29" s="22">
        <v>613.5</v>
      </c>
    </row>
    <row r="30" spans="1:10" ht="12.75" outlineLevel="1" collapsed="1">
      <c r="A30" s="2">
        <f t="shared" si="0"/>
        <v>24</v>
      </c>
      <c r="B30" s="18">
        <v>50</v>
      </c>
      <c r="C30" s="19" t="s">
        <v>102</v>
      </c>
      <c r="D30" s="23" t="s">
        <v>106</v>
      </c>
      <c r="E30" s="21">
        <f>SUBTOTAL(9,E19:E29)</f>
        <v>1795</v>
      </c>
      <c r="F30" s="22">
        <f>SUBTOTAL(9,F19:F29)/11</f>
        <v>10.536363636363635</v>
      </c>
      <c r="G30" s="22">
        <v>45.7</v>
      </c>
      <c r="I30" s="40"/>
      <c r="J30" s="104"/>
    </row>
    <row r="31" spans="1:10" ht="12.75" hidden="1" outlineLevel="2">
      <c r="A31" s="2">
        <f t="shared" si="0"/>
        <v>25</v>
      </c>
      <c r="B31" s="18">
        <v>50</v>
      </c>
      <c r="C31" s="19" t="s">
        <v>102</v>
      </c>
      <c r="D31" s="20" t="s">
        <v>107</v>
      </c>
      <c r="E31" s="21">
        <v>26</v>
      </c>
      <c r="F31" s="22">
        <v>14.3</v>
      </c>
      <c r="G31" s="22">
        <v>23</v>
      </c>
      <c r="I31" s="40"/>
      <c r="J31" s="40"/>
    </row>
    <row r="32" spans="1:10" ht="12.75" hidden="1" outlineLevel="2">
      <c r="A32" s="2">
        <f t="shared" si="0"/>
        <v>26</v>
      </c>
      <c r="B32" s="18">
        <v>50</v>
      </c>
      <c r="C32" s="19" t="s">
        <v>102</v>
      </c>
      <c r="D32" s="20" t="s">
        <v>107</v>
      </c>
      <c r="E32" s="21">
        <v>9</v>
      </c>
      <c r="F32" s="22">
        <v>5.8</v>
      </c>
      <c r="G32" s="22">
        <v>9.6</v>
      </c>
      <c r="I32" s="40"/>
      <c r="J32" s="40"/>
    </row>
    <row r="33" spans="1:10" ht="12.75" hidden="1" outlineLevel="2">
      <c r="A33" s="2">
        <f t="shared" si="0"/>
        <v>27</v>
      </c>
      <c r="B33" s="18">
        <v>50</v>
      </c>
      <c r="C33" s="19" t="s">
        <v>102</v>
      </c>
      <c r="D33" s="20" t="s">
        <v>107</v>
      </c>
      <c r="E33" s="21">
        <v>45</v>
      </c>
      <c r="F33" s="22">
        <v>11.5</v>
      </c>
      <c r="G33" s="22">
        <v>25.8</v>
      </c>
      <c r="I33" s="40"/>
      <c r="J33" s="40"/>
    </row>
    <row r="34" spans="1:10" ht="12.75" hidden="1" outlineLevel="2">
      <c r="A34" s="2">
        <f t="shared" si="0"/>
        <v>28</v>
      </c>
      <c r="B34" s="18">
        <v>50</v>
      </c>
      <c r="C34" s="19" t="s">
        <v>102</v>
      </c>
      <c r="D34" s="20" t="s">
        <v>107</v>
      </c>
      <c r="E34" s="21">
        <v>10</v>
      </c>
      <c r="F34" s="22">
        <v>13</v>
      </c>
      <c r="G34" s="22">
        <v>15.3</v>
      </c>
      <c r="I34" s="40"/>
      <c r="J34" s="40"/>
    </row>
    <row r="35" spans="1:10" ht="12.75" hidden="1" outlineLevel="2">
      <c r="A35" s="2">
        <f t="shared" si="0"/>
        <v>29</v>
      </c>
      <c r="B35" s="18">
        <v>50</v>
      </c>
      <c r="C35" s="19" t="s">
        <v>102</v>
      </c>
      <c r="D35" s="20" t="s">
        <v>107</v>
      </c>
      <c r="E35" s="21">
        <v>51</v>
      </c>
      <c r="F35" s="22">
        <v>8.2</v>
      </c>
      <c r="G35" s="22">
        <v>35.8</v>
      </c>
      <c r="I35" s="40"/>
      <c r="J35" s="40"/>
    </row>
    <row r="36" spans="1:10" ht="12.75" hidden="1" outlineLevel="2">
      <c r="A36" s="2">
        <f t="shared" si="0"/>
        <v>30</v>
      </c>
      <c r="B36" s="18">
        <v>50</v>
      </c>
      <c r="C36" s="19" t="s">
        <v>102</v>
      </c>
      <c r="D36" s="20" t="s">
        <v>107</v>
      </c>
      <c r="E36" s="21">
        <v>2</v>
      </c>
      <c r="F36" s="22">
        <v>5</v>
      </c>
      <c r="G36" s="22">
        <v>15</v>
      </c>
      <c r="I36" s="40"/>
      <c r="J36" s="40"/>
    </row>
    <row r="37" spans="1:10" ht="12.75" hidden="1" outlineLevel="2">
      <c r="A37" s="2">
        <f t="shared" si="0"/>
        <v>31</v>
      </c>
      <c r="B37" s="18">
        <v>50</v>
      </c>
      <c r="C37" s="19" t="s">
        <v>102</v>
      </c>
      <c r="D37" s="20" t="s">
        <v>107</v>
      </c>
      <c r="E37" s="21">
        <v>42</v>
      </c>
      <c r="F37" s="22">
        <v>10.1</v>
      </c>
      <c r="G37" s="22">
        <v>34.7</v>
      </c>
      <c r="I37" s="40"/>
      <c r="J37" s="40"/>
    </row>
    <row r="38" spans="1:10" ht="12.75" hidden="1" outlineLevel="2">
      <c r="A38" s="2">
        <f t="shared" si="0"/>
        <v>32</v>
      </c>
      <c r="B38" s="18">
        <v>50</v>
      </c>
      <c r="C38" s="19" t="s">
        <v>102</v>
      </c>
      <c r="D38" s="20" t="s">
        <v>107</v>
      </c>
      <c r="E38" s="21">
        <v>12</v>
      </c>
      <c r="F38" s="22">
        <v>3.6</v>
      </c>
      <c r="G38" s="22">
        <v>25.6</v>
      </c>
      <c r="I38" s="40"/>
      <c r="J38" s="40"/>
    </row>
    <row r="39" spans="1:10" ht="12.75" hidden="1" outlineLevel="2">
      <c r="A39" s="2">
        <f t="shared" si="0"/>
        <v>33</v>
      </c>
      <c r="B39" s="18">
        <v>50</v>
      </c>
      <c r="C39" s="19" t="s">
        <v>102</v>
      </c>
      <c r="D39" s="20" t="s">
        <v>107</v>
      </c>
      <c r="E39" s="21">
        <v>9</v>
      </c>
      <c r="F39" s="22">
        <v>10</v>
      </c>
      <c r="G39" s="22">
        <v>20</v>
      </c>
      <c r="I39" s="40"/>
      <c r="J39" s="40"/>
    </row>
    <row r="40" spans="1:10" ht="12.75" hidden="1" outlineLevel="2">
      <c r="A40" s="2">
        <f t="shared" si="0"/>
        <v>34</v>
      </c>
      <c r="B40" s="18">
        <v>50</v>
      </c>
      <c r="C40" s="19" t="s">
        <v>102</v>
      </c>
      <c r="D40" s="20" t="s">
        <v>107</v>
      </c>
      <c r="E40" s="21">
        <v>151</v>
      </c>
      <c r="F40" s="22">
        <v>11.7</v>
      </c>
      <c r="G40" s="22">
        <v>35.7</v>
      </c>
      <c r="I40" s="40"/>
      <c r="J40" s="40"/>
    </row>
    <row r="41" spans="1:10" ht="12.75" hidden="1" outlineLevel="2">
      <c r="A41" s="2">
        <f t="shared" si="0"/>
        <v>35</v>
      </c>
      <c r="B41" s="18">
        <v>50</v>
      </c>
      <c r="C41" s="19" t="s">
        <v>102</v>
      </c>
      <c r="D41" s="20" t="s">
        <v>107</v>
      </c>
      <c r="E41" s="21">
        <v>2</v>
      </c>
      <c r="F41" s="22">
        <v>12</v>
      </c>
      <c r="G41" s="22">
        <v>10</v>
      </c>
      <c r="I41" s="40"/>
      <c r="J41" s="40"/>
    </row>
    <row r="42" spans="1:10" ht="12.75" outlineLevel="1" collapsed="1">
      <c r="A42" s="2">
        <f t="shared" si="0"/>
        <v>36</v>
      </c>
      <c r="B42" s="18">
        <v>50</v>
      </c>
      <c r="C42" s="19" t="s">
        <v>102</v>
      </c>
      <c r="D42" s="23" t="s">
        <v>108</v>
      </c>
      <c r="E42" s="21">
        <f>SUBTOTAL(9,E31:E41)</f>
        <v>359</v>
      </c>
      <c r="F42" s="22">
        <f>SUBTOTAL(9,F31:F41)/11</f>
        <v>9.563636363636363</v>
      </c>
      <c r="G42" s="22">
        <f>SUBTOTAL(9,G31:G41)/11</f>
        <v>22.772727272727273</v>
      </c>
      <c r="I42" s="40"/>
      <c r="J42" s="40"/>
    </row>
    <row r="43" spans="1:10" ht="12.75" hidden="1" outlineLevel="2">
      <c r="A43" s="2">
        <f t="shared" si="0"/>
        <v>37</v>
      </c>
      <c r="B43" s="18">
        <v>50</v>
      </c>
      <c r="C43" s="19" t="s">
        <v>102</v>
      </c>
      <c r="D43" s="20" t="s">
        <v>68</v>
      </c>
      <c r="E43" s="21">
        <v>374</v>
      </c>
      <c r="F43" s="22">
        <v>10.4</v>
      </c>
      <c r="G43" s="22">
        <v>13.3</v>
      </c>
      <c r="I43" s="40"/>
      <c r="J43" s="40"/>
    </row>
    <row r="44" spans="1:10" ht="12.75" hidden="1" outlineLevel="2">
      <c r="A44" s="2">
        <f t="shared" si="0"/>
        <v>38</v>
      </c>
      <c r="B44" s="18">
        <v>50</v>
      </c>
      <c r="C44" s="19" t="s">
        <v>102</v>
      </c>
      <c r="D44" s="20" t="s">
        <v>68</v>
      </c>
      <c r="E44" s="21">
        <v>399</v>
      </c>
      <c r="F44" s="22">
        <v>5.4</v>
      </c>
      <c r="G44" s="22">
        <v>21.3</v>
      </c>
      <c r="I44" s="40"/>
      <c r="J44" s="40"/>
    </row>
    <row r="45" spans="1:10" ht="12.75" hidden="1" outlineLevel="2">
      <c r="A45" s="2">
        <f t="shared" si="0"/>
        <v>39</v>
      </c>
      <c r="B45" s="18">
        <v>50</v>
      </c>
      <c r="C45" s="19" t="s">
        <v>102</v>
      </c>
      <c r="D45" s="20" t="s">
        <v>68</v>
      </c>
      <c r="E45" s="21">
        <v>301</v>
      </c>
      <c r="F45" s="22">
        <v>10.3</v>
      </c>
      <c r="G45" s="22">
        <v>28.1</v>
      </c>
      <c r="I45" s="40"/>
      <c r="J45" s="40"/>
    </row>
    <row r="46" spans="1:10" ht="12.75" hidden="1" outlineLevel="2">
      <c r="A46" s="2">
        <f t="shared" si="0"/>
        <v>40</v>
      </c>
      <c r="B46" s="18">
        <v>50</v>
      </c>
      <c r="C46" s="19" t="s">
        <v>102</v>
      </c>
      <c r="D46" s="20" t="s">
        <v>68</v>
      </c>
      <c r="E46" s="21">
        <v>503</v>
      </c>
      <c r="F46" s="22">
        <v>6.9</v>
      </c>
      <c r="G46" s="22">
        <v>20.2</v>
      </c>
      <c r="I46" s="40"/>
      <c r="J46" s="40"/>
    </row>
    <row r="47" spans="1:10" ht="12.75" hidden="1" outlineLevel="2">
      <c r="A47" s="2">
        <f t="shared" si="0"/>
        <v>41</v>
      </c>
      <c r="B47" s="18">
        <v>50</v>
      </c>
      <c r="C47" s="19" t="s">
        <v>102</v>
      </c>
      <c r="D47" s="20" t="s">
        <v>68</v>
      </c>
      <c r="E47" s="21">
        <v>1569</v>
      </c>
      <c r="F47" s="22">
        <v>7</v>
      </c>
      <c r="G47" s="22">
        <v>23.5</v>
      </c>
      <c r="I47" s="40"/>
      <c r="J47" s="40"/>
    </row>
    <row r="48" spans="1:10" ht="12.75" hidden="1" outlineLevel="2">
      <c r="A48" s="2">
        <f t="shared" si="0"/>
        <v>42</v>
      </c>
      <c r="B48" s="18">
        <v>50</v>
      </c>
      <c r="C48" s="19" t="s">
        <v>102</v>
      </c>
      <c r="D48" s="20" t="s">
        <v>68</v>
      </c>
      <c r="E48" s="21">
        <v>335</v>
      </c>
      <c r="F48" s="22">
        <v>6.1</v>
      </c>
      <c r="G48" s="22">
        <v>21.8</v>
      </c>
      <c r="I48" s="40"/>
      <c r="J48" s="40"/>
    </row>
    <row r="49" spans="1:10" ht="12.75" hidden="1" outlineLevel="2">
      <c r="A49" s="2">
        <f t="shared" si="0"/>
        <v>43</v>
      </c>
      <c r="B49" s="18">
        <v>50</v>
      </c>
      <c r="C49" s="19" t="s">
        <v>102</v>
      </c>
      <c r="D49" s="20" t="s">
        <v>68</v>
      </c>
      <c r="E49" s="21">
        <v>880</v>
      </c>
      <c r="F49" s="22">
        <v>7.9</v>
      </c>
      <c r="G49" s="22">
        <v>22.4</v>
      </c>
      <c r="I49" s="40"/>
      <c r="J49" s="40"/>
    </row>
    <row r="50" spans="1:10" ht="12.75" hidden="1" outlineLevel="2">
      <c r="A50" s="2">
        <f t="shared" si="0"/>
        <v>44</v>
      </c>
      <c r="B50" s="18">
        <v>50</v>
      </c>
      <c r="C50" s="19" t="s">
        <v>102</v>
      </c>
      <c r="D50" s="20" t="s">
        <v>68</v>
      </c>
      <c r="E50" s="21">
        <v>519</v>
      </c>
      <c r="F50" s="22">
        <v>7.4</v>
      </c>
      <c r="G50" s="22">
        <v>17.5</v>
      </c>
      <c r="I50" s="40"/>
      <c r="J50" s="40"/>
    </row>
    <row r="51" spans="1:10" ht="12.75" hidden="1" outlineLevel="2">
      <c r="A51" s="2">
        <f t="shared" si="0"/>
        <v>45</v>
      </c>
      <c r="B51" s="18">
        <v>50</v>
      </c>
      <c r="C51" s="19" t="s">
        <v>102</v>
      </c>
      <c r="D51" s="20" t="s">
        <v>68</v>
      </c>
      <c r="E51" s="21">
        <v>820</v>
      </c>
      <c r="F51" s="22">
        <v>8.8</v>
      </c>
      <c r="G51" s="22">
        <v>20.3</v>
      </c>
      <c r="I51" s="40"/>
      <c r="J51" s="40"/>
    </row>
    <row r="52" spans="1:10" ht="12.75" hidden="1" outlineLevel="2">
      <c r="A52" s="2">
        <f t="shared" si="0"/>
        <v>46</v>
      </c>
      <c r="B52" s="18">
        <v>50</v>
      </c>
      <c r="C52" s="19" t="s">
        <v>102</v>
      </c>
      <c r="D52" s="20" t="s">
        <v>68</v>
      </c>
      <c r="E52" s="21">
        <v>1259</v>
      </c>
      <c r="F52" s="22">
        <v>9.9</v>
      </c>
      <c r="G52" s="22">
        <v>29.1</v>
      </c>
      <c r="I52" s="40"/>
      <c r="J52" s="40"/>
    </row>
    <row r="53" spans="1:10" ht="12.75" hidden="1" outlineLevel="2">
      <c r="A53" s="2">
        <f t="shared" si="0"/>
        <v>47</v>
      </c>
      <c r="B53" s="18">
        <v>50</v>
      </c>
      <c r="C53" s="19" t="s">
        <v>102</v>
      </c>
      <c r="D53" s="20" t="s">
        <v>68</v>
      </c>
      <c r="E53" s="21">
        <v>145</v>
      </c>
      <c r="F53" s="22">
        <v>8.9</v>
      </c>
      <c r="G53" s="22">
        <v>22</v>
      </c>
      <c r="I53" s="40"/>
      <c r="J53" s="40"/>
    </row>
    <row r="54" spans="1:10" ht="12.75" outlineLevel="1" collapsed="1">
      <c r="A54" s="2">
        <f t="shared" si="0"/>
        <v>48</v>
      </c>
      <c r="B54" s="18">
        <v>50</v>
      </c>
      <c r="C54" s="19" t="s">
        <v>102</v>
      </c>
      <c r="D54" s="23" t="s">
        <v>109</v>
      </c>
      <c r="E54" s="21">
        <f>SUBTOTAL(9,E43:E53)</f>
        <v>7104</v>
      </c>
      <c r="F54" s="22">
        <f>SUBTOTAL(9,F43:F53)/11</f>
        <v>8.090909090909092</v>
      </c>
      <c r="G54" s="22">
        <f>SUBTOTAL(9,G43:G53)/11</f>
        <v>21.772727272727277</v>
      </c>
      <c r="I54" s="40"/>
      <c r="J54" s="40"/>
    </row>
    <row r="55" spans="1:10" ht="12.75" hidden="1" outlineLevel="2">
      <c r="A55" s="2">
        <f t="shared" si="0"/>
        <v>49</v>
      </c>
      <c r="B55" s="18">
        <v>50</v>
      </c>
      <c r="C55" s="19" t="s">
        <v>102</v>
      </c>
      <c r="D55" s="20" t="s">
        <v>69</v>
      </c>
      <c r="E55" s="21">
        <v>724</v>
      </c>
      <c r="F55" s="22">
        <v>14.7</v>
      </c>
      <c r="G55" s="22">
        <v>15.3</v>
      </c>
      <c r="I55" s="40"/>
      <c r="J55" s="40"/>
    </row>
    <row r="56" spans="1:10" ht="12.75" hidden="1" outlineLevel="2">
      <c r="A56" s="2">
        <f t="shared" si="0"/>
        <v>50</v>
      </c>
      <c r="B56" s="18">
        <v>50</v>
      </c>
      <c r="C56" s="19" t="s">
        <v>102</v>
      </c>
      <c r="D56" s="20" t="s">
        <v>69</v>
      </c>
      <c r="E56" s="21">
        <v>988</v>
      </c>
      <c r="F56" s="22">
        <v>4.6</v>
      </c>
      <c r="G56" s="22">
        <v>5</v>
      </c>
      <c r="I56" s="40"/>
      <c r="J56" s="40"/>
    </row>
    <row r="57" spans="1:10" ht="12.75" hidden="1" outlineLevel="2">
      <c r="A57" s="2">
        <f t="shared" si="0"/>
        <v>51</v>
      </c>
      <c r="B57" s="18">
        <v>50</v>
      </c>
      <c r="C57" s="19" t="s">
        <v>102</v>
      </c>
      <c r="D57" s="20" t="s">
        <v>69</v>
      </c>
      <c r="E57" s="21">
        <v>1090</v>
      </c>
      <c r="F57" s="22">
        <v>8.2</v>
      </c>
      <c r="G57" s="22">
        <v>5.4</v>
      </c>
      <c r="I57" s="40"/>
      <c r="J57" s="40"/>
    </row>
    <row r="58" spans="1:10" ht="12.75" hidden="1" outlineLevel="2">
      <c r="A58" s="2">
        <f t="shared" si="0"/>
        <v>52</v>
      </c>
      <c r="B58" s="18">
        <v>50</v>
      </c>
      <c r="C58" s="19" t="s">
        <v>102</v>
      </c>
      <c r="D58" s="20" t="s">
        <v>69</v>
      </c>
      <c r="E58" s="21">
        <v>1195</v>
      </c>
      <c r="F58" s="22">
        <v>7.3</v>
      </c>
      <c r="G58" s="22">
        <v>7.2</v>
      </c>
      <c r="I58" s="40"/>
      <c r="J58" s="40"/>
    </row>
    <row r="59" spans="1:10" ht="12.75" hidden="1" outlineLevel="2">
      <c r="A59" s="2">
        <f t="shared" si="0"/>
        <v>53</v>
      </c>
      <c r="B59" s="18">
        <v>50</v>
      </c>
      <c r="C59" s="19" t="s">
        <v>102</v>
      </c>
      <c r="D59" s="20" t="s">
        <v>69</v>
      </c>
      <c r="E59" s="21">
        <v>4572</v>
      </c>
      <c r="F59" s="22">
        <v>6.6</v>
      </c>
      <c r="G59" s="22">
        <v>9.6</v>
      </c>
      <c r="I59" s="40"/>
      <c r="J59" s="40"/>
    </row>
    <row r="60" spans="1:10" ht="12.75" hidden="1" outlineLevel="2">
      <c r="A60" s="2">
        <f t="shared" si="0"/>
        <v>54</v>
      </c>
      <c r="B60" s="18">
        <v>50</v>
      </c>
      <c r="C60" s="19" t="s">
        <v>102</v>
      </c>
      <c r="D60" s="20" t="s">
        <v>69</v>
      </c>
      <c r="E60" s="21">
        <v>491</v>
      </c>
      <c r="F60" s="22">
        <v>7.4</v>
      </c>
      <c r="G60" s="22">
        <v>5.2</v>
      </c>
      <c r="I60" s="40"/>
      <c r="J60" s="40"/>
    </row>
    <row r="61" spans="1:10" ht="12.75" hidden="1" outlineLevel="2">
      <c r="A61" s="2">
        <f t="shared" si="0"/>
        <v>55</v>
      </c>
      <c r="B61" s="18">
        <v>50</v>
      </c>
      <c r="C61" s="19" t="s">
        <v>102</v>
      </c>
      <c r="D61" s="20" t="s">
        <v>69</v>
      </c>
      <c r="E61" s="21">
        <v>2242</v>
      </c>
      <c r="F61" s="22">
        <v>6.8</v>
      </c>
      <c r="G61" s="22">
        <v>5.6</v>
      </c>
      <c r="I61" s="40"/>
      <c r="J61" s="40"/>
    </row>
    <row r="62" spans="1:10" ht="12.75" hidden="1" outlineLevel="2">
      <c r="A62" s="2">
        <f t="shared" si="0"/>
        <v>56</v>
      </c>
      <c r="B62" s="18">
        <v>50</v>
      </c>
      <c r="C62" s="19" t="s">
        <v>102</v>
      </c>
      <c r="D62" s="20" t="s">
        <v>69</v>
      </c>
      <c r="E62" s="21">
        <v>1277</v>
      </c>
      <c r="F62" s="22">
        <v>6.3</v>
      </c>
      <c r="G62" s="22">
        <v>6</v>
      </c>
      <c r="I62" s="40"/>
      <c r="J62" s="40"/>
    </row>
    <row r="63" spans="1:10" ht="12.75" hidden="1" outlineLevel="2">
      <c r="A63" s="2">
        <f t="shared" si="0"/>
        <v>57</v>
      </c>
      <c r="B63" s="18">
        <v>50</v>
      </c>
      <c r="C63" s="19" t="s">
        <v>102</v>
      </c>
      <c r="D63" s="20" t="s">
        <v>69</v>
      </c>
      <c r="E63" s="21">
        <v>1458</v>
      </c>
      <c r="F63" s="22">
        <v>7</v>
      </c>
      <c r="G63" s="22">
        <v>5.5</v>
      </c>
      <c r="I63" s="40"/>
      <c r="J63" s="40"/>
    </row>
    <row r="64" spans="1:10" ht="12.75" hidden="1" outlineLevel="2">
      <c r="A64" s="2">
        <f t="shared" si="0"/>
        <v>58</v>
      </c>
      <c r="B64" s="18">
        <v>50</v>
      </c>
      <c r="C64" s="19" t="s">
        <v>102</v>
      </c>
      <c r="D64" s="20" t="s">
        <v>69</v>
      </c>
      <c r="E64" s="21">
        <v>4980</v>
      </c>
      <c r="F64" s="22">
        <v>6.5</v>
      </c>
      <c r="G64" s="22">
        <v>6.8</v>
      </c>
      <c r="I64" s="40"/>
      <c r="J64" s="40"/>
    </row>
    <row r="65" spans="1:10" ht="12.75" hidden="1" outlineLevel="2">
      <c r="A65" s="2">
        <f t="shared" si="0"/>
        <v>59</v>
      </c>
      <c r="B65" s="18">
        <v>50</v>
      </c>
      <c r="C65" s="19" t="s">
        <v>102</v>
      </c>
      <c r="D65" s="20" t="s">
        <v>69</v>
      </c>
      <c r="E65" s="21">
        <v>539</v>
      </c>
      <c r="F65" s="22">
        <v>15</v>
      </c>
      <c r="G65" s="22">
        <v>5.2</v>
      </c>
      <c r="I65" s="40"/>
      <c r="J65" s="40"/>
    </row>
    <row r="66" spans="1:10" ht="12.75" outlineLevel="1" collapsed="1">
      <c r="A66" s="2">
        <f t="shared" si="0"/>
        <v>60</v>
      </c>
      <c r="B66" s="18">
        <v>50</v>
      </c>
      <c r="C66" s="19" t="s">
        <v>102</v>
      </c>
      <c r="D66" s="23" t="s">
        <v>110</v>
      </c>
      <c r="E66" s="21">
        <f>SUBTOTAL(9,E55:E65)</f>
        <v>19556</v>
      </c>
      <c r="F66" s="22">
        <f>SUBTOTAL(9,F55:F65)/11</f>
        <v>8.218181818181817</v>
      </c>
      <c r="G66" s="22">
        <f>SUBTOTAL(9,G55:G65)/11</f>
        <v>6.981818181818183</v>
      </c>
      <c r="I66" s="40"/>
      <c r="J66" s="40"/>
    </row>
    <row r="67" spans="1:10" ht="12.75" hidden="1" outlineLevel="2">
      <c r="A67" s="2">
        <f t="shared" si="0"/>
        <v>61</v>
      </c>
      <c r="B67" s="18">
        <v>50</v>
      </c>
      <c r="C67" s="19" t="s">
        <v>102</v>
      </c>
      <c r="D67" s="20" t="s">
        <v>71</v>
      </c>
      <c r="E67" s="21">
        <v>18</v>
      </c>
      <c r="F67" s="22">
        <v>11.9</v>
      </c>
      <c r="G67" s="22">
        <v>16.9</v>
      </c>
      <c r="I67" s="40"/>
      <c r="J67" s="40"/>
    </row>
    <row r="68" spans="1:10" ht="12.75" hidden="1" outlineLevel="2">
      <c r="A68" s="2">
        <f t="shared" si="0"/>
        <v>62</v>
      </c>
      <c r="B68" s="18">
        <v>50</v>
      </c>
      <c r="C68" s="19" t="s">
        <v>102</v>
      </c>
      <c r="D68" s="20" t="s">
        <v>71</v>
      </c>
      <c r="E68" s="21">
        <v>12</v>
      </c>
      <c r="F68" s="22">
        <v>4.5</v>
      </c>
      <c r="G68" s="22">
        <v>29.4</v>
      </c>
      <c r="I68" s="40"/>
      <c r="J68" s="40"/>
    </row>
    <row r="69" spans="1:10" ht="12.75" hidden="1" outlineLevel="2">
      <c r="A69" s="2">
        <f t="shared" si="0"/>
        <v>63</v>
      </c>
      <c r="B69" s="18">
        <v>50</v>
      </c>
      <c r="C69" s="19" t="s">
        <v>102</v>
      </c>
      <c r="D69" s="20" t="s">
        <v>71</v>
      </c>
      <c r="E69" s="21">
        <v>12</v>
      </c>
      <c r="F69" s="22">
        <v>11.1</v>
      </c>
      <c r="G69" s="22">
        <v>24.1</v>
      </c>
      <c r="I69" s="40"/>
      <c r="J69" s="40"/>
    </row>
    <row r="70" spans="1:10" ht="12.75" hidden="1" outlineLevel="2">
      <c r="A70" s="2">
        <f t="shared" si="0"/>
        <v>64</v>
      </c>
      <c r="B70" s="18">
        <v>50</v>
      </c>
      <c r="C70" s="19" t="s">
        <v>102</v>
      </c>
      <c r="D70" s="20" t="s">
        <v>71</v>
      </c>
      <c r="E70" s="21">
        <v>28</v>
      </c>
      <c r="F70" s="22">
        <v>6.9</v>
      </c>
      <c r="G70" s="22">
        <v>17.1</v>
      </c>
      <c r="I70" s="40"/>
      <c r="J70" s="40"/>
    </row>
    <row r="71" spans="1:10" ht="12.75" hidden="1" outlineLevel="2">
      <c r="A71" s="2">
        <f t="shared" si="0"/>
        <v>65</v>
      </c>
      <c r="B71" s="18">
        <v>50</v>
      </c>
      <c r="C71" s="19" t="s">
        <v>102</v>
      </c>
      <c r="D71" s="20" t="s">
        <v>71</v>
      </c>
      <c r="E71" s="21">
        <v>38</v>
      </c>
      <c r="F71" s="22">
        <v>6.1</v>
      </c>
      <c r="G71" s="22">
        <v>23.9</v>
      </c>
      <c r="I71" s="40"/>
      <c r="J71" s="40"/>
    </row>
    <row r="72" spans="1:10" ht="12.75" hidden="1" outlineLevel="2">
      <c r="A72" s="2">
        <f t="shared" si="0"/>
        <v>66</v>
      </c>
      <c r="B72" s="18">
        <v>50</v>
      </c>
      <c r="C72" s="19" t="s">
        <v>102</v>
      </c>
      <c r="D72" s="20" t="s">
        <v>71</v>
      </c>
      <c r="E72" s="21">
        <v>19</v>
      </c>
      <c r="F72" s="22">
        <v>3.5</v>
      </c>
      <c r="G72" s="22">
        <v>23.7</v>
      </c>
      <c r="I72" s="40"/>
      <c r="J72" s="40"/>
    </row>
    <row r="73" spans="1:10" ht="12.75" hidden="1" outlineLevel="2">
      <c r="A73" s="2">
        <f aca="true" t="shared" si="1" ref="A73:A105">A72+1</f>
        <v>67</v>
      </c>
      <c r="B73" s="18">
        <v>50</v>
      </c>
      <c r="C73" s="19" t="s">
        <v>102</v>
      </c>
      <c r="D73" s="20" t="s">
        <v>71</v>
      </c>
      <c r="E73" s="21">
        <v>28</v>
      </c>
      <c r="F73" s="22">
        <v>6.4</v>
      </c>
      <c r="G73" s="22">
        <v>19.3</v>
      </c>
      <c r="I73" s="40"/>
      <c r="J73" s="40"/>
    </row>
    <row r="74" spans="1:10" ht="12.75" hidden="1" outlineLevel="2">
      <c r="A74" s="2">
        <f t="shared" si="1"/>
        <v>68</v>
      </c>
      <c r="B74" s="18">
        <v>50</v>
      </c>
      <c r="C74" s="19" t="s">
        <v>102</v>
      </c>
      <c r="D74" s="20" t="s">
        <v>71</v>
      </c>
      <c r="E74" s="21">
        <v>8</v>
      </c>
      <c r="F74" s="22">
        <v>8.4</v>
      </c>
      <c r="G74" s="22">
        <v>33.4</v>
      </c>
      <c r="I74" s="40"/>
      <c r="J74" s="40"/>
    </row>
    <row r="75" spans="1:10" ht="12.75" hidden="1" outlineLevel="2">
      <c r="A75" s="2">
        <f t="shared" si="1"/>
        <v>69</v>
      </c>
      <c r="B75" s="18">
        <v>50</v>
      </c>
      <c r="C75" s="19" t="s">
        <v>102</v>
      </c>
      <c r="D75" s="20" t="s">
        <v>71</v>
      </c>
      <c r="E75" s="21">
        <v>22</v>
      </c>
      <c r="F75" s="22">
        <v>8.5</v>
      </c>
      <c r="G75" s="22">
        <v>22.8</v>
      </c>
      <c r="I75" s="40"/>
      <c r="J75" s="40"/>
    </row>
    <row r="76" spans="1:10" ht="12.75" hidden="1" outlineLevel="2">
      <c r="A76" s="2">
        <f t="shared" si="1"/>
        <v>70</v>
      </c>
      <c r="B76" s="18">
        <v>50</v>
      </c>
      <c r="C76" s="19" t="s">
        <v>102</v>
      </c>
      <c r="D76" s="20" t="s">
        <v>71</v>
      </c>
      <c r="E76" s="21">
        <v>32</v>
      </c>
      <c r="F76" s="22">
        <v>10</v>
      </c>
      <c r="G76" s="22">
        <v>36.4</v>
      </c>
      <c r="I76" s="40"/>
      <c r="J76" s="40"/>
    </row>
    <row r="77" spans="1:10" ht="12.75" hidden="1" outlineLevel="2">
      <c r="A77" s="2">
        <f t="shared" si="1"/>
        <v>71</v>
      </c>
      <c r="B77" s="18">
        <v>50</v>
      </c>
      <c r="C77" s="19" t="s">
        <v>102</v>
      </c>
      <c r="D77" s="20" t="s">
        <v>71</v>
      </c>
      <c r="E77" s="21">
        <v>21</v>
      </c>
      <c r="F77" s="22">
        <v>22.8</v>
      </c>
      <c r="G77" s="22">
        <v>23.3</v>
      </c>
      <c r="I77" s="40"/>
      <c r="J77" s="40"/>
    </row>
    <row r="78" spans="1:10" ht="12.75" outlineLevel="1" collapsed="1">
      <c r="A78" s="2">
        <f t="shared" si="1"/>
        <v>72</v>
      </c>
      <c r="B78" s="18">
        <v>50</v>
      </c>
      <c r="C78" s="19" t="s">
        <v>102</v>
      </c>
      <c r="D78" s="23" t="s">
        <v>111</v>
      </c>
      <c r="E78" s="21">
        <f>SUBTOTAL(9,E67:E77)</f>
        <v>238</v>
      </c>
      <c r="F78" s="22">
        <f>SUBTOTAL(9,F67:F77)/11</f>
        <v>9.1</v>
      </c>
      <c r="G78" s="22">
        <f>SUBTOTAL(9,G67:G77)/11</f>
        <v>24.572727272727274</v>
      </c>
      <c r="I78" s="40"/>
      <c r="J78" s="40"/>
    </row>
    <row r="79" spans="1:10" ht="12.75" hidden="1" outlineLevel="2">
      <c r="A79" s="2">
        <f t="shared" si="1"/>
        <v>73</v>
      </c>
      <c r="B79" s="18">
        <v>50</v>
      </c>
      <c r="C79" s="19" t="s">
        <v>102</v>
      </c>
      <c r="D79" s="20" t="s">
        <v>112</v>
      </c>
      <c r="E79" s="21">
        <v>701</v>
      </c>
      <c r="F79" s="22">
        <v>9.4</v>
      </c>
      <c r="G79" s="22">
        <v>17.3</v>
      </c>
      <c r="I79" s="40"/>
      <c r="J79" s="40"/>
    </row>
    <row r="80" spans="1:10" ht="12.75" hidden="1" outlineLevel="2">
      <c r="A80" s="2">
        <f t="shared" si="1"/>
        <v>74</v>
      </c>
      <c r="B80" s="18">
        <v>50</v>
      </c>
      <c r="C80" s="19" t="s">
        <v>102</v>
      </c>
      <c r="D80" s="20" t="s">
        <v>112</v>
      </c>
      <c r="E80" s="21">
        <v>867</v>
      </c>
      <c r="F80" s="22">
        <v>5.1</v>
      </c>
      <c r="G80" s="22">
        <v>22.3</v>
      </c>
      <c r="I80" s="40"/>
      <c r="J80" s="40"/>
    </row>
    <row r="81" spans="1:10" ht="12.75" hidden="1" outlineLevel="2">
      <c r="A81" s="2">
        <f t="shared" si="1"/>
        <v>75</v>
      </c>
      <c r="B81" s="18">
        <v>50</v>
      </c>
      <c r="C81" s="19" t="s">
        <v>102</v>
      </c>
      <c r="D81" s="20" t="s">
        <v>112</v>
      </c>
      <c r="E81" s="21">
        <v>612</v>
      </c>
      <c r="F81" s="22">
        <v>10.1</v>
      </c>
      <c r="G81" s="22">
        <v>22.3</v>
      </c>
      <c r="I81" s="40"/>
      <c r="J81" s="40"/>
    </row>
    <row r="82" spans="1:10" ht="12.75" hidden="1" outlineLevel="2">
      <c r="A82" s="2">
        <f t="shared" si="1"/>
        <v>76</v>
      </c>
      <c r="B82" s="18">
        <v>50</v>
      </c>
      <c r="C82" s="19" t="s">
        <v>102</v>
      </c>
      <c r="D82" s="20" t="s">
        <v>112</v>
      </c>
      <c r="E82" s="21">
        <v>940</v>
      </c>
      <c r="F82" s="22">
        <v>8</v>
      </c>
      <c r="G82" s="22">
        <v>24.2</v>
      </c>
      <c r="I82" s="40"/>
      <c r="J82" s="40"/>
    </row>
    <row r="83" spans="1:10" ht="12.75" hidden="1" outlineLevel="2">
      <c r="A83" s="2">
        <f t="shared" si="1"/>
        <v>77</v>
      </c>
      <c r="B83" s="18">
        <v>50</v>
      </c>
      <c r="C83" s="19" t="s">
        <v>102</v>
      </c>
      <c r="D83" s="20" t="s">
        <v>112</v>
      </c>
      <c r="E83" s="21">
        <v>2265</v>
      </c>
      <c r="F83" s="22">
        <v>6.5</v>
      </c>
      <c r="G83" s="22">
        <v>29.9</v>
      </c>
      <c r="I83" s="40"/>
      <c r="J83" s="40"/>
    </row>
    <row r="84" spans="1:10" ht="12.75" hidden="1" outlineLevel="2">
      <c r="A84" s="2">
        <f t="shared" si="1"/>
        <v>78</v>
      </c>
      <c r="B84" s="18">
        <v>50</v>
      </c>
      <c r="C84" s="19" t="s">
        <v>102</v>
      </c>
      <c r="D84" s="20" t="s">
        <v>112</v>
      </c>
      <c r="E84" s="21">
        <v>513</v>
      </c>
      <c r="F84" s="22">
        <v>5.9</v>
      </c>
      <c r="G84" s="22">
        <v>32</v>
      </c>
      <c r="I84" s="40"/>
      <c r="J84" s="40"/>
    </row>
    <row r="85" spans="1:10" ht="12.75" hidden="1" outlineLevel="2">
      <c r="A85" s="2">
        <f t="shared" si="1"/>
        <v>79</v>
      </c>
      <c r="B85" s="18">
        <v>50</v>
      </c>
      <c r="C85" s="19" t="s">
        <v>102</v>
      </c>
      <c r="D85" s="20" t="s">
        <v>112</v>
      </c>
      <c r="E85" s="21">
        <v>1134</v>
      </c>
      <c r="F85" s="22">
        <v>7.9</v>
      </c>
      <c r="G85" s="22">
        <v>23.6</v>
      </c>
      <c r="I85" s="40"/>
      <c r="J85" s="40"/>
    </row>
    <row r="86" spans="1:10" ht="12.75" hidden="1" outlineLevel="2">
      <c r="A86" s="2">
        <f t="shared" si="1"/>
        <v>80</v>
      </c>
      <c r="B86" s="18">
        <v>50</v>
      </c>
      <c r="C86" s="19" t="s">
        <v>102</v>
      </c>
      <c r="D86" s="20" t="s">
        <v>112</v>
      </c>
      <c r="E86" s="21">
        <v>719</v>
      </c>
      <c r="F86" s="22">
        <v>6.5</v>
      </c>
      <c r="G86" s="22">
        <v>33.2</v>
      </c>
      <c r="I86" s="40"/>
      <c r="J86" s="40"/>
    </row>
    <row r="87" spans="1:10" ht="12.75" hidden="1" outlineLevel="2">
      <c r="A87" s="2">
        <f t="shared" si="1"/>
        <v>81</v>
      </c>
      <c r="B87" s="18">
        <v>50</v>
      </c>
      <c r="C87" s="19" t="s">
        <v>102</v>
      </c>
      <c r="D87" s="20" t="s">
        <v>112</v>
      </c>
      <c r="E87" s="21">
        <v>1223</v>
      </c>
      <c r="F87" s="22">
        <v>8.4</v>
      </c>
      <c r="G87" s="22">
        <v>26</v>
      </c>
      <c r="I87" s="40"/>
      <c r="J87" s="40"/>
    </row>
    <row r="88" spans="1:10" ht="12.75" hidden="1" outlineLevel="2">
      <c r="A88" s="2">
        <f t="shared" si="1"/>
        <v>82</v>
      </c>
      <c r="B88" s="18">
        <v>50</v>
      </c>
      <c r="C88" s="19" t="s">
        <v>102</v>
      </c>
      <c r="D88" s="20" t="s">
        <v>112</v>
      </c>
      <c r="E88" s="21">
        <v>1991</v>
      </c>
      <c r="F88" s="22">
        <v>9</v>
      </c>
      <c r="G88" s="22">
        <v>39.3</v>
      </c>
      <c r="I88" s="40"/>
      <c r="J88" s="40"/>
    </row>
    <row r="89" spans="1:10" ht="12.75" hidden="1" outlineLevel="2">
      <c r="A89" s="2">
        <f t="shared" si="1"/>
        <v>83</v>
      </c>
      <c r="B89" s="18">
        <v>50</v>
      </c>
      <c r="C89" s="19" t="s">
        <v>102</v>
      </c>
      <c r="D89" s="20" t="s">
        <v>112</v>
      </c>
      <c r="E89" s="21">
        <v>427</v>
      </c>
      <c r="F89" s="22">
        <v>9.6</v>
      </c>
      <c r="G89" s="22">
        <v>31.5</v>
      </c>
      <c r="I89" s="40"/>
      <c r="J89" s="40"/>
    </row>
    <row r="90" spans="1:10" ht="12.75" outlineLevel="1" collapsed="1">
      <c r="A90" s="2">
        <f t="shared" si="1"/>
        <v>84</v>
      </c>
      <c r="B90" s="39">
        <v>50</v>
      </c>
      <c r="C90" s="91" t="s">
        <v>102</v>
      </c>
      <c r="D90" s="84" t="s">
        <v>113</v>
      </c>
      <c r="E90" s="90">
        <f>SUBTOTAL(9,E79:E89)</f>
        <v>11392</v>
      </c>
      <c r="F90" s="89">
        <f>SUBTOTAL(9,F79:F89)/11</f>
        <v>7.854545454545454</v>
      </c>
      <c r="G90" s="88">
        <f>SUBTOTAL(9,G79:G89)/11</f>
        <v>27.41818181818182</v>
      </c>
      <c r="I90" s="40"/>
      <c r="J90" s="40"/>
    </row>
    <row r="91" spans="1:10" ht="12.75" hidden="1" outlineLevel="2">
      <c r="A91" s="2">
        <f t="shared" si="1"/>
        <v>85</v>
      </c>
      <c r="B91" s="18">
        <v>50</v>
      </c>
      <c r="C91" s="19" t="s">
        <v>102</v>
      </c>
      <c r="D91" s="20" t="s">
        <v>129</v>
      </c>
      <c r="E91" s="37">
        <v>735</v>
      </c>
      <c r="F91" s="21">
        <v>5</v>
      </c>
      <c r="G91" s="38">
        <v>12</v>
      </c>
      <c r="I91" s="40"/>
      <c r="J91" s="40"/>
    </row>
    <row r="92" spans="1:10" ht="12.75" hidden="1" outlineLevel="2">
      <c r="A92" s="2">
        <f t="shared" si="1"/>
        <v>86</v>
      </c>
      <c r="B92" s="18">
        <v>50</v>
      </c>
      <c r="C92" s="19" t="s">
        <v>102</v>
      </c>
      <c r="D92" s="20" t="s">
        <v>129</v>
      </c>
      <c r="E92" s="37">
        <v>912</v>
      </c>
      <c r="F92" s="21">
        <v>1.8</v>
      </c>
      <c r="G92" s="38">
        <v>5.6</v>
      </c>
      <c r="I92" s="40"/>
      <c r="J92" s="40"/>
    </row>
    <row r="93" spans="1:10" ht="12.75" hidden="1" outlineLevel="2">
      <c r="A93" s="2">
        <f t="shared" si="1"/>
        <v>87</v>
      </c>
      <c r="B93" s="18">
        <v>50</v>
      </c>
      <c r="C93" s="19" t="s">
        <v>102</v>
      </c>
      <c r="D93" s="20" t="s">
        <v>129</v>
      </c>
      <c r="E93" s="37">
        <v>674</v>
      </c>
      <c r="F93" s="21">
        <v>5.4</v>
      </c>
      <c r="G93" s="38">
        <v>76.2</v>
      </c>
      <c r="I93" s="40"/>
      <c r="J93" s="40"/>
    </row>
    <row r="94" spans="1:10" ht="12.75" hidden="1" outlineLevel="2">
      <c r="A94" s="2">
        <f t="shared" si="1"/>
        <v>88</v>
      </c>
      <c r="B94" s="18">
        <v>50</v>
      </c>
      <c r="C94" s="19" t="s">
        <v>102</v>
      </c>
      <c r="D94" s="20" t="s">
        <v>129</v>
      </c>
      <c r="E94" s="37">
        <v>1111</v>
      </c>
      <c r="F94" s="21">
        <v>4.3</v>
      </c>
      <c r="G94" s="38">
        <v>5.8</v>
      </c>
      <c r="I94" s="40"/>
      <c r="J94" s="40"/>
    </row>
    <row r="95" spans="1:10" ht="12.75" hidden="1" outlineLevel="2">
      <c r="A95" s="2">
        <f t="shared" si="1"/>
        <v>89</v>
      </c>
      <c r="B95" s="18">
        <v>50</v>
      </c>
      <c r="C95" s="19" t="s">
        <v>102</v>
      </c>
      <c r="D95" s="20" t="s">
        <v>129</v>
      </c>
      <c r="E95" s="37">
        <v>2771</v>
      </c>
      <c r="F95" s="21">
        <v>4.4</v>
      </c>
      <c r="G95" s="38">
        <v>15.4</v>
      </c>
      <c r="I95" s="40"/>
      <c r="J95" s="40"/>
    </row>
    <row r="96" spans="1:10" ht="12.75" hidden="1" outlineLevel="2">
      <c r="A96" s="2">
        <f t="shared" si="1"/>
        <v>90</v>
      </c>
      <c r="B96" s="18">
        <v>50</v>
      </c>
      <c r="C96" s="19" t="s">
        <v>102</v>
      </c>
      <c r="D96" s="20" t="s">
        <v>129</v>
      </c>
      <c r="E96" s="37">
        <v>682</v>
      </c>
      <c r="F96" s="21">
        <v>4.5</v>
      </c>
      <c r="G96" s="38">
        <v>5</v>
      </c>
      <c r="I96" s="40"/>
      <c r="J96" s="40"/>
    </row>
    <row r="97" spans="1:10" ht="12.75" hidden="1" outlineLevel="2">
      <c r="A97" s="2">
        <f t="shared" si="1"/>
        <v>91</v>
      </c>
      <c r="B97" s="18">
        <v>50</v>
      </c>
      <c r="C97" s="19" t="s">
        <v>102</v>
      </c>
      <c r="D97" s="20" t="s">
        <v>129</v>
      </c>
      <c r="E97" s="37">
        <v>1587</v>
      </c>
      <c r="F97" s="21">
        <v>5.4</v>
      </c>
      <c r="G97" s="38">
        <v>13.1</v>
      </c>
      <c r="I97" s="40"/>
      <c r="J97" s="40"/>
    </row>
    <row r="98" spans="1:10" ht="12.75" hidden="1" outlineLevel="2">
      <c r="A98" s="2">
        <f t="shared" si="1"/>
        <v>92</v>
      </c>
      <c r="B98" s="18">
        <v>50</v>
      </c>
      <c r="C98" s="19" t="s">
        <v>102</v>
      </c>
      <c r="D98" s="20" t="s">
        <v>129</v>
      </c>
      <c r="E98" s="37">
        <v>943</v>
      </c>
      <c r="F98" s="21">
        <v>5.4</v>
      </c>
      <c r="G98" s="38">
        <v>16.2</v>
      </c>
      <c r="I98" s="40"/>
      <c r="J98" s="40"/>
    </row>
    <row r="99" spans="1:10" ht="12.75" hidden="1" outlineLevel="2">
      <c r="A99" s="2">
        <f t="shared" si="1"/>
        <v>93</v>
      </c>
      <c r="B99" s="18">
        <v>50</v>
      </c>
      <c r="C99" s="19" t="s">
        <v>102</v>
      </c>
      <c r="D99" s="20" t="s">
        <v>129</v>
      </c>
      <c r="E99" s="37">
        <v>1531</v>
      </c>
      <c r="F99" s="21">
        <v>6.4</v>
      </c>
      <c r="G99" s="38">
        <v>13.5</v>
      </c>
      <c r="I99" s="40"/>
      <c r="J99" s="40"/>
    </row>
    <row r="100" spans="1:10" ht="12.75" hidden="1" outlineLevel="2">
      <c r="A100" s="2">
        <f t="shared" si="1"/>
        <v>94</v>
      </c>
      <c r="B100" s="18">
        <v>50</v>
      </c>
      <c r="C100" s="19" t="s">
        <v>102</v>
      </c>
      <c r="D100" s="20" t="s">
        <v>129</v>
      </c>
      <c r="E100" s="37">
        <v>2306</v>
      </c>
      <c r="F100" s="21">
        <v>5.7</v>
      </c>
      <c r="G100" s="38">
        <v>15.3</v>
      </c>
      <c r="I100" s="40"/>
      <c r="J100" s="40"/>
    </row>
    <row r="101" spans="1:10" ht="12.75" hidden="1" outlineLevel="2">
      <c r="A101" s="2">
        <f t="shared" si="1"/>
        <v>95</v>
      </c>
      <c r="B101" s="18">
        <v>50</v>
      </c>
      <c r="C101" s="19" t="s">
        <v>102</v>
      </c>
      <c r="D101" s="20" t="s">
        <v>129</v>
      </c>
      <c r="E101" s="37">
        <v>384</v>
      </c>
      <c r="F101" s="21">
        <v>6.9</v>
      </c>
      <c r="G101" s="38">
        <v>6.3</v>
      </c>
      <c r="I101" s="40"/>
      <c r="J101" s="40"/>
    </row>
    <row r="102" spans="1:10" ht="12.75" outlineLevel="1" collapsed="1">
      <c r="A102" s="2">
        <f t="shared" si="1"/>
        <v>96</v>
      </c>
      <c r="B102" s="82">
        <v>50</v>
      </c>
      <c r="C102" s="87" t="s">
        <v>102</v>
      </c>
      <c r="D102" s="84" t="s">
        <v>130</v>
      </c>
      <c r="E102" s="85">
        <f>SUBTOTAL(9,E91:E101)</f>
        <v>13636</v>
      </c>
      <c r="F102" s="86">
        <f>SUBTOTAL(9,F91:F101)/11</f>
        <v>5.018181818181818</v>
      </c>
      <c r="G102" s="83">
        <f>SUBTOTAL(9,G91:G101)/11</f>
        <v>16.763636363636365</v>
      </c>
      <c r="I102" s="40"/>
      <c r="J102" s="40"/>
    </row>
    <row r="103" spans="1:16" ht="13.5" thickBot="1">
      <c r="A103" s="2">
        <f t="shared" si="1"/>
        <v>97</v>
      </c>
      <c r="B103" s="15"/>
      <c r="C103" s="24"/>
      <c r="D103" s="92" t="s">
        <v>114</v>
      </c>
      <c r="E103" s="94">
        <f>SUBTOTAL(9,E7:E102)</f>
        <v>57639</v>
      </c>
      <c r="F103" s="93">
        <f>(+F18+F30+F42+F54+F66+F78+F90)/9</f>
        <v>6.975757575757576</v>
      </c>
      <c r="G103" s="96">
        <f>(+G18+G30+G42+G54+G66+G78+G90+G102)/9</f>
        <v>23.517171717171713</v>
      </c>
      <c r="I103" s="40"/>
      <c r="J103" s="40"/>
      <c r="K103" s="24"/>
      <c r="L103" s="15"/>
      <c r="M103" s="41"/>
      <c r="N103" s="15"/>
      <c r="O103" s="25"/>
      <c r="P103" s="25"/>
    </row>
    <row r="104" spans="1:16" ht="13.5" thickTop="1">
      <c r="A104" s="2">
        <f t="shared" si="1"/>
        <v>98</v>
      </c>
      <c r="C104" s="24"/>
      <c r="K104" s="24"/>
      <c r="L104" s="15"/>
      <c r="M104" s="41"/>
      <c r="N104" s="15"/>
      <c r="O104" s="25"/>
      <c r="P104" s="25"/>
    </row>
    <row r="105" spans="1:16" ht="12.75">
      <c r="A105" s="2">
        <f t="shared" si="1"/>
        <v>99</v>
      </c>
      <c r="B105" t="s">
        <v>157</v>
      </c>
      <c r="K105" s="24"/>
      <c r="L105" s="15"/>
      <c r="M105" s="41"/>
      <c r="N105" s="15"/>
      <c r="O105" s="25"/>
      <c r="P105" s="25"/>
    </row>
    <row r="106" spans="11:16" ht="12.75">
      <c r="K106" s="24"/>
      <c r="L106" s="15"/>
      <c r="M106" s="41"/>
      <c r="N106" s="15"/>
      <c r="O106" s="25"/>
      <c r="P106" s="25"/>
    </row>
    <row r="107" spans="11:16" ht="12.75">
      <c r="K107" s="24"/>
      <c r="L107" s="15"/>
      <c r="M107" s="41"/>
      <c r="N107" s="15"/>
      <c r="O107" s="25"/>
      <c r="P107" s="25"/>
    </row>
    <row r="108" spans="11:16" ht="12.75">
      <c r="K108" s="24"/>
      <c r="L108" s="15"/>
      <c r="M108" s="41"/>
      <c r="N108" s="15"/>
      <c r="O108" s="25"/>
      <c r="P108" s="25"/>
    </row>
    <row r="109" spans="11:16" ht="12.75">
      <c r="K109" s="24"/>
      <c r="L109" s="15"/>
      <c r="M109" s="41"/>
      <c r="N109" s="15"/>
      <c r="O109" s="25"/>
      <c r="P109" s="25"/>
    </row>
    <row r="110" spans="11:16" ht="12.75">
      <c r="K110" s="24"/>
      <c r="L110" s="15"/>
      <c r="M110" s="41"/>
      <c r="N110" s="15"/>
      <c r="O110" s="25"/>
      <c r="P110" s="25"/>
    </row>
    <row r="111" spans="11:16" ht="12.75">
      <c r="K111" s="24"/>
      <c r="L111" s="15"/>
      <c r="M111" s="41"/>
      <c r="N111" s="15"/>
      <c r="O111" s="25"/>
      <c r="P111" s="25"/>
    </row>
    <row r="112" spans="11:16" ht="12.75">
      <c r="K112" s="24"/>
      <c r="L112" s="15"/>
      <c r="M112" s="41"/>
      <c r="N112" s="15"/>
      <c r="O112" s="25"/>
      <c r="P112" s="25"/>
    </row>
    <row r="113" spans="11:16" ht="12.75">
      <c r="K113" s="24"/>
      <c r="L113" s="15"/>
      <c r="M113" s="41"/>
      <c r="N113" s="15"/>
      <c r="O113" s="25"/>
      <c r="P113" s="25"/>
    </row>
  </sheetData>
  <sheetProtection/>
  <mergeCells count="5">
    <mergeCell ref="D3:G3"/>
    <mergeCell ref="A1:B1"/>
    <mergeCell ref="A2:B2"/>
    <mergeCell ref="C1:G1"/>
    <mergeCell ref="C2:G2"/>
  </mergeCells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2.8515625" style="0" customWidth="1"/>
    <col min="2" max="2" width="56.8515625" style="0" bestFit="1" customWidth="1"/>
    <col min="3" max="3" width="13.8515625" style="0" customWidth="1"/>
  </cols>
  <sheetData>
    <row r="1" spans="1:2" ht="12.75">
      <c r="A1" s="6" t="s">
        <v>166</v>
      </c>
      <c r="B1" s="11" t="s">
        <v>80</v>
      </c>
    </row>
    <row r="2" spans="1:2" ht="12.75">
      <c r="A2" s="6"/>
      <c r="B2" s="11" t="s">
        <v>82</v>
      </c>
    </row>
    <row r="3" ht="12.75">
      <c r="B3" s="11" t="s">
        <v>83</v>
      </c>
    </row>
    <row r="5" spans="1:3" ht="38.25">
      <c r="A5" s="12" t="s">
        <v>73</v>
      </c>
      <c r="B5" s="12" t="s">
        <v>2</v>
      </c>
      <c r="C5" s="13" t="s">
        <v>78</v>
      </c>
    </row>
    <row r="6" spans="1:16" ht="12.75">
      <c r="A6" s="6"/>
      <c r="B6" s="7" t="s">
        <v>3</v>
      </c>
      <c r="C6" s="4" t="s">
        <v>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3:17" ht="12.75">
      <c r="C7" s="3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3" ht="12.75">
      <c r="A8" s="2">
        <v>1</v>
      </c>
      <c r="B8" t="s">
        <v>84</v>
      </c>
      <c r="C8" s="31">
        <v>25</v>
      </c>
    </row>
    <row r="9" spans="1:3" ht="12.75">
      <c r="A9" s="2"/>
      <c r="C9" s="31"/>
    </row>
    <row r="10" spans="1:3" ht="14.25">
      <c r="A10" s="2">
        <v>2</v>
      </c>
      <c r="B10" t="s">
        <v>91</v>
      </c>
      <c r="C10" s="16">
        <f>60/C8</f>
        <v>2.4</v>
      </c>
    </row>
    <row r="11" spans="1:3" ht="12.75">
      <c r="A11" s="2"/>
      <c r="C11" s="31"/>
    </row>
    <row r="12" spans="1:3" ht="12.75">
      <c r="A12" s="2">
        <v>3</v>
      </c>
      <c r="B12" t="s">
        <v>155</v>
      </c>
      <c r="C12" s="31">
        <f>+C14*C16</f>
        <v>167531.53787878787</v>
      </c>
    </row>
    <row r="13" spans="1:3" ht="12.75">
      <c r="A13" s="2"/>
      <c r="C13" s="31"/>
    </row>
    <row r="14" spans="1:3" ht="12.75">
      <c r="A14" s="2">
        <v>4</v>
      </c>
      <c r="B14" t="s">
        <v>85</v>
      </c>
      <c r="C14" s="30">
        <f>+'Travel &amp; Completion Times'!E103</f>
        <v>57639</v>
      </c>
    </row>
    <row r="15" spans="1:3" ht="12.75">
      <c r="A15" s="2"/>
      <c r="C15" s="31"/>
    </row>
    <row r="16" spans="1:3" ht="12.75">
      <c r="A16" s="2">
        <v>5</v>
      </c>
      <c r="B16" t="s">
        <v>86</v>
      </c>
      <c r="C16" s="31">
        <f>+C18/C10</f>
        <v>2.9065656565656566</v>
      </c>
    </row>
    <row r="17" spans="1:3" ht="12.75">
      <c r="A17" s="2"/>
      <c r="C17" s="31"/>
    </row>
    <row r="18" spans="1:3" ht="12.75">
      <c r="A18" s="2">
        <v>6</v>
      </c>
      <c r="B18" t="s">
        <v>87</v>
      </c>
      <c r="C18" s="16">
        <f>+'Travel &amp; Completion Times'!F103</f>
        <v>6.975757575757576</v>
      </c>
    </row>
    <row r="19" spans="1:3" ht="12.75">
      <c r="A19" s="2"/>
      <c r="C19" s="31"/>
    </row>
    <row r="20" spans="1:3" ht="12.75">
      <c r="A20" s="2">
        <v>7</v>
      </c>
      <c r="B20" t="s">
        <v>88</v>
      </c>
      <c r="C20" s="31">
        <f>+'Cost per Min-Field'!C16</f>
        <v>0.45198076923076924</v>
      </c>
    </row>
    <row r="21" spans="1:3" ht="12.75">
      <c r="A21" s="2"/>
      <c r="C21" s="31"/>
    </row>
    <row r="22" spans="1:3" ht="12.75">
      <c r="A22" s="2">
        <v>8</v>
      </c>
      <c r="B22" t="s">
        <v>89</v>
      </c>
      <c r="C22" s="31">
        <f>C18*C20</f>
        <v>3.152908275058275</v>
      </c>
    </row>
    <row r="23" spans="1:3" ht="12.75">
      <c r="A23" s="2"/>
      <c r="C23" s="31"/>
    </row>
    <row r="24" spans="1:3" ht="14.25">
      <c r="A24" s="2">
        <v>9</v>
      </c>
      <c r="B24" t="s">
        <v>90</v>
      </c>
      <c r="C24" s="16">
        <v>0.485</v>
      </c>
    </row>
    <row r="25" spans="1:3" ht="12.75">
      <c r="A25" s="2"/>
      <c r="C25" s="16"/>
    </row>
    <row r="26" spans="1:3" ht="12.75">
      <c r="A26" s="2">
        <v>10</v>
      </c>
      <c r="B26" t="s">
        <v>92</v>
      </c>
      <c r="C26" s="16">
        <f>+C16*C24</f>
        <v>1.4096843434343433</v>
      </c>
    </row>
    <row r="27" spans="1:3" ht="12.75">
      <c r="A27" s="2"/>
      <c r="C27" s="16"/>
    </row>
    <row r="28" spans="1:3" ht="13.5" thickBot="1">
      <c r="A28" s="2">
        <v>11</v>
      </c>
      <c r="B28" t="s">
        <v>93</v>
      </c>
      <c r="C28" s="32">
        <f>+C22+C26</f>
        <v>4.562592618492618</v>
      </c>
    </row>
    <row r="29" ht="13.5" thickTop="1">
      <c r="C29" s="31"/>
    </row>
    <row r="31" spans="1:2" ht="14.25">
      <c r="A31" s="10" t="s">
        <v>79</v>
      </c>
      <c r="B31" s="9" t="s">
        <v>94</v>
      </c>
    </row>
    <row r="32" spans="1:2" ht="14.25">
      <c r="A32" s="8" t="s">
        <v>95</v>
      </c>
      <c r="B32" s="17" t="s">
        <v>154</v>
      </c>
    </row>
  </sheetData>
  <sheetProtection/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3.28125" style="0" customWidth="1"/>
    <col min="6" max="6" width="11.140625" style="0" bestFit="1" customWidth="1"/>
  </cols>
  <sheetData>
    <row r="1" spans="1:6" ht="12.75">
      <c r="A1" s="6" t="s">
        <v>166</v>
      </c>
      <c r="B1" s="158" t="s">
        <v>139</v>
      </c>
      <c r="C1" s="158"/>
      <c r="D1" s="158"/>
      <c r="E1" s="158"/>
      <c r="F1" s="158"/>
    </row>
    <row r="2" spans="1:6" ht="12.75">
      <c r="A2" s="6"/>
      <c r="B2" s="158" t="s">
        <v>159</v>
      </c>
      <c r="C2" s="158"/>
      <c r="D2" s="158"/>
      <c r="E2" s="158"/>
      <c r="F2" s="158"/>
    </row>
    <row r="3" spans="1:6" ht="12.75">
      <c r="A3" s="1"/>
      <c r="B3" s="158" t="s">
        <v>160</v>
      </c>
      <c r="C3" s="158"/>
      <c r="D3" s="158"/>
      <c r="E3" s="158"/>
      <c r="F3" s="158"/>
    </row>
    <row r="5" spans="1:6" ht="12.75">
      <c r="A5" s="98" t="s">
        <v>73</v>
      </c>
      <c r="B5" s="12" t="s">
        <v>132</v>
      </c>
      <c r="C5" s="97"/>
      <c r="D5" s="97"/>
      <c r="E5" s="97"/>
      <c r="F5" s="12" t="s">
        <v>133</v>
      </c>
    </row>
    <row r="6" spans="2:6" ht="12.75">
      <c r="B6" s="7" t="s">
        <v>3</v>
      </c>
      <c r="F6" s="4" t="s">
        <v>4</v>
      </c>
    </row>
    <row r="7" spans="1:6" ht="12.75">
      <c r="A7" s="2">
        <v>1</v>
      </c>
      <c r="B7" t="s">
        <v>150</v>
      </c>
      <c r="F7" s="3">
        <v>32</v>
      </c>
    </row>
    <row r="8" spans="1:6" ht="12.75">
      <c r="A8" s="2"/>
      <c r="F8" s="3"/>
    </row>
    <row r="9" spans="1:6" ht="12.75">
      <c r="A9" s="2">
        <v>2</v>
      </c>
      <c r="B9" t="s">
        <v>152</v>
      </c>
      <c r="F9" s="76">
        <v>20</v>
      </c>
    </row>
    <row r="10" spans="1:6" ht="12.75">
      <c r="A10" s="2"/>
      <c r="F10" s="3"/>
    </row>
    <row r="11" spans="1:6" ht="12.75">
      <c r="A11" s="2">
        <v>3</v>
      </c>
      <c r="B11" t="s">
        <v>134</v>
      </c>
      <c r="F11" s="3">
        <v>30</v>
      </c>
    </row>
    <row r="12" spans="1:6" ht="12.75">
      <c r="A12" s="2"/>
      <c r="F12" s="3"/>
    </row>
    <row r="13" spans="1:6" ht="12.75">
      <c r="A13" s="2">
        <v>4</v>
      </c>
      <c r="B13" t="s">
        <v>135</v>
      </c>
      <c r="F13" s="3">
        <v>33</v>
      </c>
    </row>
    <row r="14" spans="1:6" ht="12.75">
      <c r="A14" s="2"/>
      <c r="F14" s="3"/>
    </row>
    <row r="15" spans="1:6" ht="12.75">
      <c r="A15" s="2">
        <v>5</v>
      </c>
      <c r="B15" t="s">
        <v>136</v>
      </c>
      <c r="F15" s="76">
        <v>30</v>
      </c>
    </row>
    <row r="16" spans="1:6" ht="12.75">
      <c r="A16" s="2"/>
      <c r="F16" s="3"/>
    </row>
    <row r="17" spans="1:6" ht="12.75">
      <c r="A17" s="2">
        <v>6</v>
      </c>
      <c r="B17" t="s">
        <v>137</v>
      </c>
      <c r="F17" s="3">
        <v>10</v>
      </c>
    </row>
    <row r="18" spans="1:6" ht="12.75">
      <c r="A18" s="2"/>
      <c r="F18" s="3"/>
    </row>
    <row r="19" spans="1:6" ht="12.75">
      <c r="A19" s="2">
        <v>7</v>
      </c>
      <c r="B19" t="s">
        <v>151</v>
      </c>
      <c r="F19" s="3">
        <v>5</v>
      </c>
    </row>
    <row r="20" spans="1:6" ht="12.75">
      <c r="A20" s="2"/>
      <c r="F20" s="3"/>
    </row>
    <row r="21" spans="1:6" ht="12.75">
      <c r="A21" s="2">
        <v>8</v>
      </c>
      <c r="B21" t="s">
        <v>153</v>
      </c>
      <c r="F21" s="77">
        <v>33</v>
      </c>
    </row>
    <row r="22" spans="1:6" ht="12.75">
      <c r="A22" s="2"/>
      <c r="F22" s="3"/>
    </row>
    <row r="23" spans="1:6" ht="12.75">
      <c r="A23" s="2">
        <v>9</v>
      </c>
      <c r="B23" s="6" t="s">
        <v>138</v>
      </c>
      <c r="F23" s="42">
        <f>SUM(F7:F21)/8</f>
        <v>24.125</v>
      </c>
    </row>
  </sheetData>
  <sheetProtection/>
  <mergeCells count="3">
    <mergeCell ref="B1:F1"/>
    <mergeCell ref="B2:F2"/>
    <mergeCell ref="B3:F3"/>
  </mergeCells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3.28125" style="0" customWidth="1"/>
    <col min="2" max="2" width="38.7109375" style="0" customWidth="1"/>
    <col min="3" max="3" width="12.28125" style="0" bestFit="1" customWidth="1"/>
  </cols>
  <sheetData>
    <row r="1" spans="1:6" ht="12.75">
      <c r="A1" s="6" t="s">
        <v>166</v>
      </c>
      <c r="B1" s="158" t="s">
        <v>139</v>
      </c>
      <c r="C1" s="158"/>
      <c r="D1" s="95"/>
      <c r="E1" s="95"/>
      <c r="F1" s="95"/>
    </row>
    <row r="2" spans="1:6" ht="12.75">
      <c r="A2" s="6"/>
      <c r="B2" s="158" t="s">
        <v>118</v>
      </c>
      <c r="C2" s="158"/>
      <c r="D2" s="11"/>
      <c r="E2" s="11"/>
      <c r="F2" s="11"/>
    </row>
    <row r="3" spans="1:6" ht="12.75">
      <c r="A3" s="1"/>
      <c r="B3" s="158" t="s">
        <v>161</v>
      </c>
      <c r="C3" s="158"/>
      <c r="D3" s="95"/>
      <c r="E3" s="95"/>
      <c r="F3" s="95"/>
    </row>
    <row r="5" ht="12.75">
      <c r="A5" s="98" t="s">
        <v>73</v>
      </c>
    </row>
    <row r="6" ht="12.75">
      <c r="A6" s="11"/>
    </row>
    <row r="7" spans="1:3" ht="14.25">
      <c r="A7" s="2">
        <v>1</v>
      </c>
      <c r="B7" t="s">
        <v>162</v>
      </c>
      <c r="C7" s="33">
        <v>453494</v>
      </c>
    </row>
    <row r="8" spans="1:3" ht="12.75">
      <c r="A8" s="2"/>
      <c r="C8" s="33"/>
    </row>
    <row r="9" spans="1:3" ht="14.25">
      <c r="A9" s="2">
        <v>2</v>
      </c>
      <c r="B9" t="s">
        <v>163</v>
      </c>
      <c r="C9" s="34">
        <v>1771371.44</v>
      </c>
    </row>
    <row r="10" spans="1:3" ht="12.75">
      <c r="A10" s="2"/>
      <c r="C10" s="34"/>
    </row>
    <row r="11" spans="1:3" ht="12.75">
      <c r="A11" s="2">
        <v>3</v>
      </c>
      <c r="B11" t="s">
        <v>119</v>
      </c>
      <c r="C11" s="35">
        <f>C9/C7</f>
        <v>3.906052648987638</v>
      </c>
    </row>
    <row r="13" ht="14.25">
      <c r="B13" s="103" t="s">
        <v>164</v>
      </c>
    </row>
    <row r="14" ht="14.25">
      <c r="B14" s="103" t="s">
        <v>165</v>
      </c>
    </row>
  </sheetData>
  <sheetProtection/>
  <mergeCells count="3">
    <mergeCell ref="B2:C2"/>
    <mergeCell ref="B1:C1"/>
    <mergeCell ref="B3:C3"/>
  </mergeCells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E9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H10" sqref="H10"/>
      <selection pane="bottomLeft" activeCell="H10" sqref="H10"/>
    </sheetView>
  </sheetViews>
  <sheetFormatPr defaultColWidth="9.140625" defaultRowHeight="12.75"/>
  <cols>
    <col min="1" max="1" width="12.8515625" style="2" customWidth="1"/>
    <col min="2" max="2" width="10.421875" style="0" customWidth="1"/>
    <col min="4" max="4" width="12.140625" style="0" bestFit="1" customWidth="1"/>
    <col min="5" max="5" width="16.57421875" style="0" bestFit="1" customWidth="1"/>
    <col min="6" max="6" width="14.421875" style="0" bestFit="1" customWidth="1"/>
    <col min="8" max="8" width="13.28125" style="0" bestFit="1" customWidth="1"/>
  </cols>
  <sheetData>
    <row r="1" spans="1:6" ht="12.75">
      <c r="A1" s="6" t="s">
        <v>166</v>
      </c>
      <c r="C1" s="158" t="s">
        <v>80</v>
      </c>
      <c r="D1" s="158"/>
      <c r="E1" s="158"/>
      <c r="F1" s="158"/>
    </row>
    <row r="2" spans="1:6" ht="12.75">
      <c r="A2" s="6"/>
      <c r="C2" s="158" t="s">
        <v>149</v>
      </c>
      <c r="D2" s="158"/>
      <c r="E2" s="158"/>
      <c r="F2" s="158"/>
    </row>
    <row r="3" spans="3:6" ht="12.75">
      <c r="C3" s="158" t="s">
        <v>123</v>
      </c>
      <c r="D3" s="158"/>
      <c r="E3" s="158"/>
      <c r="F3" s="158"/>
    </row>
    <row r="5" spans="1:83" s="2" customFormat="1" ht="12.75">
      <c r="A5" s="11" t="s">
        <v>73</v>
      </c>
      <c r="B5" s="74" t="s">
        <v>141</v>
      </c>
      <c r="C5" s="65" t="s">
        <v>142</v>
      </c>
      <c r="D5" s="65" t="s">
        <v>99</v>
      </c>
      <c r="E5" s="65" t="s">
        <v>143</v>
      </c>
      <c r="F5" s="65" t="s">
        <v>144</v>
      </c>
      <c r="G5" s="65" t="s">
        <v>145</v>
      </c>
      <c r="H5" s="66" t="s">
        <v>148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</row>
    <row r="6" spans="2:83" s="2" customFormat="1" ht="12.75">
      <c r="B6" s="75" t="s">
        <v>3</v>
      </c>
      <c r="C6" s="67" t="s">
        <v>4</v>
      </c>
      <c r="D6" s="67" t="s">
        <v>5</v>
      </c>
      <c r="E6" s="67" t="s">
        <v>40</v>
      </c>
      <c r="F6" s="67" t="s">
        <v>41</v>
      </c>
      <c r="G6" s="67" t="s">
        <v>42</v>
      </c>
      <c r="H6" s="68" t="s">
        <v>43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</row>
    <row r="7" spans="1:8" ht="12.75">
      <c r="A7" s="2">
        <v>1</v>
      </c>
      <c r="B7" s="71">
        <v>38626</v>
      </c>
      <c r="C7" s="47" t="s">
        <v>103</v>
      </c>
      <c r="D7" s="47">
        <v>545</v>
      </c>
      <c r="E7" s="47">
        <v>49</v>
      </c>
      <c r="F7" s="50">
        <v>13894</v>
      </c>
      <c r="G7" s="53">
        <f>E7*28</f>
        <v>1372</v>
      </c>
      <c r="H7" s="55"/>
    </row>
    <row r="8" spans="1:8" ht="12.75">
      <c r="A8" s="2">
        <f>A7+1</f>
        <v>2</v>
      </c>
      <c r="B8" s="72">
        <v>38657</v>
      </c>
      <c r="C8" s="47" t="s">
        <v>103</v>
      </c>
      <c r="D8" s="47">
        <v>585</v>
      </c>
      <c r="E8" s="47">
        <v>119</v>
      </c>
      <c r="F8" s="50">
        <v>13054</v>
      </c>
      <c r="G8" s="53">
        <f aca="true" t="shared" si="0" ref="G8:G30">E8*28</f>
        <v>3332</v>
      </c>
      <c r="H8" s="55"/>
    </row>
    <row r="9" spans="1:8" ht="12.75">
      <c r="A9" s="2">
        <f aca="true" t="shared" si="1" ref="A9:A72">A8+1</f>
        <v>3</v>
      </c>
      <c r="B9" s="72">
        <v>38687</v>
      </c>
      <c r="C9" s="47" t="s">
        <v>103</v>
      </c>
      <c r="D9" s="47">
        <v>506</v>
      </c>
      <c r="E9" s="47">
        <v>90</v>
      </c>
      <c r="F9" s="50">
        <v>11648</v>
      </c>
      <c r="G9" s="53">
        <f t="shared" si="0"/>
        <v>2520</v>
      </c>
      <c r="H9" s="55"/>
    </row>
    <row r="10" spans="1:8" ht="12.75">
      <c r="A10" s="2">
        <f t="shared" si="1"/>
        <v>4</v>
      </c>
      <c r="B10" s="72">
        <v>38718</v>
      </c>
      <c r="C10" s="47" t="s">
        <v>103</v>
      </c>
      <c r="D10" s="47">
        <v>206</v>
      </c>
      <c r="E10" s="47">
        <v>23</v>
      </c>
      <c r="F10" s="50">
        <v>5124</v>
      </c>
      <c r="G10" s="53">
        <f t="shared" si="0"/>
        <v>644</v>
      </c>
      <c r="H10" s="55"/>
    </row>
    <row r="11" spans="1:8" ht="12.75">
      <c r="A11" s="2">
        <f t="shared" si="1"/>
        <v>5</v>
      </c>
      <c r="B11" s="72">
        <v>38749</v>
      </c>
      <c r="C11" s="47" t="s">
        <v>103</v>
      </c>
      <c r="D11" s="47">
        <v>300</v>
      </c>
      <c r="E11" s="47">
        <v>37</v>
      </c>
      <c r="F11" s="50">
        <v>7382</v>
      </c>
      <c r="G11" s="53">
        <f t="shared" si="0"/>
        <v>1036</v>
      </c>
      <c r="H11" s="55"/>
    </row>
    <row r="12" spans="1:8" ht="12.75">
      <c r="A12" s="2">
        <f t="shared" si="1"/>
        <v>6</v>
      </c>
      <c r="B12" s="72">
        <v>38777</v>
      </c>
      <c r="C12" s="47" t="s">
        <v>103</v>
      </c>
      <c r="D12" s="47">
        <v>278</v>
      </c>
      <c r="E12" s="47">
        <v>32</v>
      </c>
      <c r="F12" s="50">
        <v>6894</v>
      </c>
      <c r="G12" s="53">
        <f t="shared" si="0"/>
        <v>896</v>
      </c>
      <c r="H12" s="55"/>
    </row>
    <row r="13" spans="1:8" ht="12.75">
      <c r="A13" s="2">
        <f t="shared" si="1"/>
        <v>7</v>
      </c>
      <c r="B13" s="72">
        <v>38808</v>
      </c>
      <c r="C13" s="47" t="s">
        <v>103</v>
      </c>
      <c r="D13" s="47">
        <v>160</v>
      </c>
      <c r="E13" s="47">
        <v>14</v>
      </c>
      <c r="F13" s="50">
        <v>4095</v>
      </c>
      <c r="G13" s="53">
        <f t="shared" si="0"/>
        <v>392</v>
      </c>
      <c r="H13" s="55"/>
    </row>
    <row r="14" spans="1:8" ht="12.75">
      <c r="A14" s="2">
        <f t="shared" si="1"/>
        <v>8</v>
      </c>
      <c r="B14" s="72">
        <v>38838</v>
      </c>
      <c r="C14" s="47" t="s">
        <v>103</v>
      </c>
      <c r="D14" s="47">
        <v>182</v>
      </c>
      <c r="E14" s="47">
        <v>20</v>
      </c>
      <c r="F14" s="50">
        <v>4548</v>
      </c>
      <c r="G14" s="53">
        <f t="shared" si="0"/>
        <v>560</v>
      </c>
      <c r="H14" s="55"/>
    </row>
    <row r="15" spans="1:8" ht="12.75">
      <c r="A15" s="2">
        <f t="shared" si="1"/>
        <v>9</v>
      </c>
      <c r="B15" s="72">
        <v>38869</v>
      </c>
      <c r="C15" s="47" t="s">
        <v>103</v>
      </c>
      <c r="D15" s="47">
        <v>167</v>
      </c>
      <c r="E15" s="47">
        <v>18</v>
      </c>
      <c r="F15" s="50">
        <v>4178</v>
      </c>
      <c r="G15" s="53">
        <f t="shared" si="0"/>
        <v>504</v>
      </c>
      <c r="H15" s="55"/>
    </row>
    <row r="16" spans="1:8" ht="12.75">
      <c r="A16" s="2">
        <f t="shared" si="1"/>
        <v>10</v>
      </c>
      <c r="B16" s="72">
        <v>38899</v>
      </c>
      <c r="C16" s="47" t="s">
        <v>103</v>
      </c>
      <c r="D16" s="47">
        <v>155</v>
      </c>
      <c r="E16" s="47">
        <v>14</v>
      </c>
      <c r="F16" s="50">
        <v>3948</v>
      </c>
      <c r="G16" s="53">
        <f t="shared" si="0"/>
        <v>392</v>
      </c>
      <c r="H16" s="55"/>
    </row>
    <row r="17" spans="1:8" ht="12.75">
      <c r="A17" s="2">
        <f t="shared" si="1"/>
        <v>11</v>
      </c>
      <c r="B17" s="72">
        <v>38930</v>
      </c>
      <c r="C17" s="47" t="s">
        <v>103</v>
      </c>
      <c r="D17" s="47">
        <v>198</v>
      </c>
      <c r="E17" s="47">
        <v>20</v>
      </c>
      <c r="F17" s="50">
        <v>4984</v>
      </c>
      <c r="G17" s="53">
        <f t="shared" si="0"/>
        <v>560</v>
      </c>
      <c r="H17" s="55"/>
    </row>
    <row r="18" spans="1:8" ht="12.75">
      <c r="A18" s="2">
        <f t="shared" si="1"/>
        <v>12</v>
      </c>
      <c r="B18" s="72">
        <v>38961</v>
      </c>
      <c r="C18" s="47" t="s">
        <v>103</v>
      </c>
      <c r="D18" s="47">
        <v>277</v>
      </c>
      <c r="E18" s="47">
        <v>27</v>
      </c>
      <c r="F18" s="50">
        <v>7000</v>
      </c>
      <c r="G18" s="53">
        <f t="shared" si="0"/>
        <v>756</v>
      </c>
      <c r="H18" s="55"/>
    </row>
    <row r="19" spans="1:8" ht="12.75">
      <c r="A19" s="2">
        <f t="shared" si="1"/>
        <v>13</v>
      </c>
      <c r="B19" s="71">
        <v>38626</v>
      </c>
      <c r="C19" s="47" t="s">
        <v>105</v>
      </c>
      <c r="D19" s="47">
        <v>310</v>
      </c>
      <c r="E19" s="47">
        <v>190</v>
      </c>
      <c r="F19" s="50">
        <v>3360</v>
      </c>
      <c r="G19" s="53">
        <f t="shared" si="0"/>
        <v>5320</v>
      </c>
      <c r="H19" s="55"/>
    </row>
    <row r="20" spans="1:8" ht="12.75">
      <c r="A20" s="2">
        <f t="shared" si="1"/>
        <v>14</v>
      </c>
      <c r="B20" s="72">
        <v>38657</v>
      </c>
      <c r="C20" s="47" t="s">
        <v>105</v>
      </c>
      <c r="D20" s="47">
        <v>305</v>
      </c>
      <c r="E20" s="47">
        <v>177</v>
      </c>
      <c r="F20" s="50">
        <v>3584</v>
      </c>
      <c r="G20" s="53">
        <f t="shared" si="0"/>
        <v>4956</v>
      </c>
      <c r="H20" s="55"/>
    </row>
    <row r="21" spans="1:8" ht="12.75">
      <c r="A21" s="2">
        <f t="shared" si="1"/>
        <v>15</v>
      </c>
      <c r="B21" s="72">
        <v>38687</v>
      </c>
      <c r="C21" s="47" t="s">
        <v>105</v>
      </c>
      <c r="D21" s="47">
        <v>237</v>
      </c>
      <c r="E21" s="47">
        <v>132</v>
      </c>
      <c r="F21" s="50">
        <v>2924</v>
      </c>
      <c r="G21" s="53">
        <f t="shared" si="0"/>
        <v>3696</v>
      </c>
      <c r="H21" s="55"/>
    </row>
    <row r="22" spans="1:8" ht="12.75">
      <c r="A22" s="2">
        <f t="shared" si="1"/>
        <v>16</v>
      </c>
      <c r="B22" s="72">
        <v>38718</v>
      </c>
      <c r="C22" s="47" t="s">
        <v>105</v>
      </c>
      <c r="D22" s="47">
        <v>135</v>
      </c>
      <c r="E22" s="47">
        <v>83</v>
      </c>
      <c r="F22" s="50">
        <v>1456</v>
      </c>
      <c r="G22" s="53">
        <f t="shared" si="0"/>
        <v>2324</v>
      </c>
      <c r="H22" s="55"/>
    </row>
    <row r="23" spans="1:8" ht="12.75">
      <c r="A23" s="2">
        <f t="shared" si="1"/>
        <v>17</v>
      </c>
      <c r="B23" s="72">
        <v>38749</v>
      </c>
      <c r="C23" s="47" t="s">
        <v>105</v>
      </c>
      <c r="D23" s="47">
        <v>131</v>
      </c>
      <c r="E23" s="47">
        <v>64</v>
      </c>
      <c r="F23" s="50">
        <v>1876</v>
      </c>
      <c r="G23" s="53">
        <f t="shared" si="0"/>
        <v>1792</v>
      </c>
      <c r="H23" s="55"/>
    </row>
    <row r="24" spans="1:8" ht="12.75">
      <c r="A24" s="2">
        <f t="shared" si="1"/>
        <v>18</v>
      </c>
      <c r="B24" s="72">
        <v>38777</v>
      </c>
      <c r="C24" s="47" t="s">
        <v>105</v>
      </c>
      <c r="D24" s="47">
        <v>118</v>
      </c>
      <c r="E24" s="47">
        <v>62</v>
      </c>
      <c r="F24" s="50">
        <v>1568</v>
      </c>
      <c r="G24" s="53">
        <f t="shared" si="0"/>
        <v>1736</v>
      </c>
      <c r="H24" s="55"/>
    </row>
    <row r="25" spans="1:8" ht="12.75">
      <c r="A25" s="2">
        <f t="shared" si="1"/>
        <v>19</v>
      </c>
      <c r="B25" s="72">
        <v>38808</v>
      </c>
      <c r="C25" s="47" t="s">
        <v>105</v>
      </c>
      <c r="D25" s="47">
        <v>35</v>
      </c>
      <c r="E25" s="47">
        <v>29</v>
      </c>
      <c r="F25" s="50">
        <v>168</v>
      </c>
      <c r="G25" s="53">
        <f t="shared" si="0"/>
        <v>812</v>
      </c>
      <c r="H25" s="55"/>
    </row>
    <row r="26" spans="1:8" ht="12.75">
      <c r="A26" s="2">
        <f t="shared" si="1"/>
        <v>20</v>
      </c>
      <c r="B26" s="72">
        <v>38838</v>
      </c>
      <c r="C26" s="47" t="s">
        <v>105</v>
      </c>
      <c r="D26" s="47">
        <v>77</v>
      </c>
      <c r="E26" s="47">
        <v>39</v>
      </c>
      <c r="F26" s="50">
        <v>1064</v>
      </c>
      <c r="G26" s="53">
        <f t="shared" si="0"/>
        <v>1092</v>
      </c>
      <c r="H26" s="55"/>
    </row>
    <row r="27" spans="1:8" ht="12.75">
      <c r="A27" s="2">
        <f t="shared" si="1"/>
        <v>21</v>
      </c>
      <c r="B27" s="72">
        <v>38869</v>
      </c>
      <c r="C27" s="47" t="s">
        <v>105</v>
      </c>
      <c r="D27" s="47">
        <v>124</v>
      </c>
      <c r="E27" s="47">
        <v>63</v>
      </c>
      <c r="F27" s="50">
        <v>1708</v>
      </c>
      <c r="G27" s="53">
        <f t="shared" si="0"/>
        <v>1764</v>
      </c>
      <c r="H27" s="55"/>
    </row>
    <row r="28" spans="1:8" ht="12.75">
      <c r="A28" s="2">
        <f t="shared" si="1"/>
        <v>22</v>
      </c>
      <c r="B28" s="72">
        <v>38899</v>
      </c>
      <c r="C28" s="47" t="s">
        <v>105</v>
      </c>
      <c r="D28" s="47">
        <v>77</v>
      </c>
      <c r="E28" s="47">
        <v>41</v>
      </c>
      <c r="F28" s="50">
        <v>1008</v>
      </c>
      <c r="G28" s="53">
        <f t="shared" si="0"/>
        <v>1148</v>
      </c>
      <c r="H28" s="55"/>
    </row>
    <row r="29" spans="1:8" ht="12.75">
      <c r="A29" s="2">
        <f t="shared" si="1"/>
        <v>23</v>
      </c>
      <c r="B29" s="72">
        <v>38930</v>
      </c>
      <c r="C29" s="47" t="s">
        <v>105</v>
      </c>
      <c r="D29" s="47">
        <v>124</v>
      </c>
      <c r="E29" s="47">
        <v>70</v>
      </c>
      <c r="F29" s="50">
        <v>1512</v>
      </c>
      <c r="G29" s="53">
        <f t="shared" si="0"/>
        <v>1960</v>
      </c>
      <c r="H29" s="55"/>
    </row>
    <row r="30" spans="1:8" ht="12.75">
      <c r="A30" s="2">
        <f t="shared" si="1"/>
        <v>24</v>
      </c>
      <c r="B30" s="73">
        <v>38961</v>
      </c>
      <c r="C30" s="63" t="s">
        <v>105</v>
      </c>
      <c r="D30" s="63">
        <v>122</v>
      </c>
      <c r="E30" s="63">
        <v>76</v>
      </c>
      <c r="F30" s="51">
        <v>1288</v>
      </c>
      <c r="G30" s="54">
        <f t="shared" si="0"/>
        <v>2128</v>
      </c>
      <c r="H30" s="79">
        <f>SUM(D7:D30)</f>
        <v>5354</v>
      </c>
    </row>
    <row r="31" spans="1:8" ht="12.75">
      <c r="A31" s="2">
        <f t="shared" si="1"/>
        <v>25</v>
      </c>
      <c r="B31" s="71">
        <v>38626</v>
      </c>
      <c r="C31" s="47" t="s">
        <v>68</v>
      </c>
      <c r="D31" s="47">
        <v>770</v>
      </c>
      <c r="E31" s="47">
        <v>29</v>
      </c>
      <c r="F31" s="50">
        <v>25206</v>
      </c>
      <c r="G31" s="53">
        <f>E31*34</f>
        <v>986</v>
      </c>
      <c r="H31" s="55"/>
    </row>
    <row r="32" spans="1:8" ht="12.75">
      <c r="A32" s="2">
        <f t="shared" si="1"/>
        <v>26</v>
      </c>
      <c r="B32" s="72">
        <v>38657</v>
      </c>
      <c r="C32" s="47" t="s">
        <v>68</v>
      </c>
      <c r="D32" s="47">
        <v>769</v>
      </c>
      <c r="E32" s="47">
        <v>103</v>
      </c>
      <c r="F32" s="50">
        <v>22670</v>
      </c>
      <c r="G32" s="53">
        <f aca="true" t="shared" si="2" ref="G32:G42">E32*34</f>
        <v>3502</v>
      </c>
      <c r="H32" s="55"/>
    </row>
    <row r="33" spans="1:8" ht="12.75">
      <c r="A33" s="2">
        <f t="shared" si="1"/>
        <v>27</v>
      </c>
      <c r="B33" s="72">
        <v>38687</v>
      </c>
      <c r="C33" s="47" t="s">
        <v>68</v>
      </c>
      <c r="D33" s="47">
        <v>402</v>
      </c>
      <c r="E33" s="47">
        <v>50</v>
      </c>
      <c r="F33" s="50">
        <v>11992</v>
      </c>
      <c r="G33" s="53">
        <f t="shared" si="2"/>
        <v>1700</v>
      </c>
      <c r="H33" s="55"/>
    </row>
    <row r="34" spans="1:8" ht="12.75">
      <c r="A34" s="2">
        <f t="shared" si="1"/>
        <v>28</v>
      </c>
      <c r="B34" s="72">
        <v>38718</v>
      </c>
      <c r="C34" s="47" t="s">
        <v>68</v>
      </c>
      <c r="D34" s="47">
        <v>538</v>
      </c>
      <c r="E34" s="47">
        <v>77</v>
      </c>
      <c r="F34" s="50">
        <v>15704</v>
      </c>
      <c r="G34" s="53">
        <f t="shared" si="2"/>
        <v>2618</v>
      </c>
      <c r="H34" s="55"/>
    </row>
    <row r="35" spans="1:8" ht="12.75">
      <c r="A35" s="2">
        <f t="shared" si="1"/>
        <v>29</v>
      </c>
      <c r="B35" s="72">
        <v>38749</v>
      </c>
      <c r="C35" s="47" t="s">
        <v>68</v>
      </c>
      <c r="D35" s="47">
        <v>618</v>
      </c>
      <c r="E35" s="47">
        <v>70</v>
      </c>
      <c r="F35" s="50">
        <v>18624</v>
      </c>
      <c r="G35" s="53">
        <f t="shared" si="2"/>
        <v>2380</v>
      </c>
      <c r="H35" s="55"/>
    </row>
    <row r="36" spans="1:8" ht="12.75">
      <c r="A36" s="2">
        <f t="shared" si="1"/>
        <v>30</v>
      </c>
      <c r="B36" s="72">
        <v>38777</v>
      </c>
      <c r="C36" s="47" t="s">
        <v>68</v>
      </c>
      <c r="D36" s="47">
        <v>890</v>
      </c>
      <c r="E36" s="47">
        <v>99</v>
      </c>
      <c r="F36" s="50">
        <v>26912</v>
      </c>
      <c r="G36" s="53">
        <f t="shared" si="2"/>
        <v>3366</v>
      </c>
      <c r="H36" s="55"/>
    </row>
    <row r="37" spans="1:8" ht="12.75">
      <c r="A37" s="2">
        <f t="shared" si="1"/>
        <v>31</v>
      </c>
      <c r="B37" s="72">
        <v>38808</v>
      </c>
      <c r="C37" s="47" t="s">
        <v>68</v>
      </c>
      <c r="D37" s="47">
        <v>670</v>
      </c>
      <c r="E37" s="47">
        <v>54</v>
      </c>
      <c r="F37" s="50">
        <v>20950</v>
      </c>
      <c r="G37" s="53">
        <f t="shared" si="2"/>
        <v>1836</v>
      </c>
      <c r="H37" s="55"/>
    </row>
    <row r="38" spans="1:8" ht="12.75">
      <c r="A38" s="2">
        <f t="shared" si="1"/>
        <v>32</v>
      </c>
      <c r="B38" s="72">
        <v>38838</v>
      </c>
      <c r="C38" s="47" t="s">
        <v>68</v>
      </c>
      <c r="D38" s="47">
        <v>907</v>
      </c>
      <c r="E38" s="47">
        <v>37</v>
      </c>
      <c r="F38" s="50">
        <v>29580</v>
      </c>
      <c r="G38" s="53">
        <f t="shared" si="2"/>
        <v>1258</v>
      </c>
      <c r="H38" s="55"/>
    </row>
    <row r="39" spans="1:8" ht="12.75">
      <c r="A39" s="2">
        <f t="shared" si="1"/>
        <v>33</v>
      </c>
      <c r="B39" s="72">
        <v>38869</v>
      </c>
      <c r="C39" s="47" t="s">
        <v>68</v>
      </c>
      <c r="D39" s="47">
        <v>507</v>
      </c>
      <c r="E39" s="47">
        <v>21</v>
      </c>
      <c r="F39" s="50">
        <v>16524</v>
      </c>
      <c r="G39" s="53">
        <f t="shared" si="2"/>
        <v>714</v>
      </c>
      <c r="H39" s="55"/>
    </row>
    <row r="40" spans="1:8" ht="12.75">
      <c r="A40" s="2">
        <f t="shared" si="1"/>
        <v>34</v>
      </c>
      <c r="B40" s="72">
        <v>38899</v>
      </c>
      <c r="C40" s="47" t="s">
        <v>68</v>
      </c>
      <c r="D40" s="47">
        <v>354</v>
      </c>
      <c r="E40" s="47">
        <v>13</v>
      </c>
      <c r="F40" s="50">
        <v>11594</v>
      </c>
      <c r="G40" s="53">
        <f t="shared" si="2"/>
        <v>442</v>
      </c>
      <c r="H40" s="55"/>
    </row>
    <row r="41" spans="1:8" ht="12.75">
      <c r="A41" s="2">
        <f t="shared" si="1"/>
        <v>35</v>
      </c>
      <c r="B41" s="72">
        <v>38930</v>
      </c>
      <c r="C41" s="47" t="s">
        <v>68</v>
      </c>
      <c r="D41" s="47">
        <v>262</v>
      </c>
      <c r="E41" s="47">
        <v>10</v>
      </c>
      <c r="F41" s="50">
        <v>8574</v>
      </c>
      <c r="G41" s="53">
        <f t="shared" si="2"/>
        <v>340</v>
      </c>
      <c r="H41" s="55"/>
    </row>
    <row r="42" spans="1:8" ht="12.75">
      <c r="A42" s="2">
        <f t="shared" si="1"/>
        <v>36</v>
      </c>
      <c r="B42" s="73">
        <v>38961</v>
      </c>
      <c r="C42" s="63" t="s">
        <v>68</v>
      </c>
      <c r="D42" s="63">
        <v>417</v>
      </c>
      <c r="E42" s="63">
        <v>59</v>
      </c>
      <c r="F42" s="51">
        <v>12184</v>
      </c>
      <c r="G42" s="54">
        <f t="shared" si="2"/>
        <v>2006</v>
      </c>
      <c r="H42" s="80">
        <f>SUM(D31:D42)</f>
        <v>7104</v>
      </c>
    </row>
    <row r="43" spans="1:8" ht="12.75">
      <c r="A43" s="2">
        <f t="shared" si="1"/>
        <v>37</v>
      </c>
      <c r="B43" s="71">
        <v>38626</v>
      </c>
      <c r="C43" s="47" t="s">
        <v>69</v>
      </c>
      <c r="D43" s="48">
        <v>1675</v>
      </c>
      <c r="E43" s="47">
        <v>137</v>
      </c>
      <c r="F43" s="50">
        <v>18304</v>
      </c>
      <c r="G43" s="53">
        <f>E43*12</f>
        <v>1644</v>
      </c>
      <c r="H43" s="55"/>
    </row>
    <row r="44" spans="1:8" ht="12.75">
      <c r="A44" s="2">
        <f t="shared" si="1"/>
        <v>38</v>
      </c>
      <c r="B44" s="72">
        <v>38657</v>
      </c>
      <c r="C44" s="47" t="s">
        <v>69</v>
      </c>
      <c r="D44" s="48">
        <v>1819</v>
      </c>
      <c r="E44" s="47">
        <v>111</v>
      </c>
      <c r="F44" s="50">
        <v>20509</v>
      </c>
      <c r="G44" s="53">
        <f aca="true" t="shared" si="3" ref="G44:G54">E44*12</f>
        <v>1332</v>
      </c>
      <c r="H44" s="55"/>
    </row>
    <row r="45" spans="1:8" ht="12.75">
      <c r="A45" s="2">
        <f t="shared" si="1"/>
        <v>39</v>
      </c>
      <c r="B45" s="72">
        <v>38687</v>
      </c>
      <c r="C45" s="47" t="s">
        <v>69</v>
      </c>
      <c r="D45" s="48">
        <v>2009</v>
      </c>
      <c r="E45" s="47">
        <v>162</v>
      </c>
      <c r="F45" s="50">
        <v>22154</v>
      </c>
      <c r="G45" s="53">
        <f t="shared" si="3"/>
        <v>1944</v>
      </c>
      <c r="H45" s="55"/>
    </row>
    <row r="46" spans="1:8" ht="12.75">
      <c r="A46" s="2">
        <f t="shared" si="1"/>
        <v>40</v>
      </c>
      <c r="B46" s="72">
        <v>38718</v>
      </c>
      <c r="C46" s="47" t="s">
        <v>69</v>
      </c>
      <c r="D46" s="48">
        <v>1982</v>
      </c>
      <c r="E46" s="47">
        <v>127</v>
      </c>
      <c r="F46" s="50">
        <v>22260</v>
      </c>
      <c r="G46" s="53">
        <f t="shared" si="3"/>
        <v>1524</v>
      </c>
      <c r="H46" s="55"/>
    </row>
    <row r="47" spans="1:8" ht="12.75">
      <c r="A47" s="2">
        <f t="shared" si="1"/>
        <v>41</v>
      </c>
      <c r="B47" s="72">
        <v>38749</v>
      </c>
      <c r="C47" s="47" t="s">
        <v>69</v>
      </c>
      <c r="D47" s="48">
        <v>1918</v>
      </c>
      <c r="E47" s="47">
        <v>91</v>
      </c>
      <c r="F47" s="50">
        <v>21924</v>
      </c>
      <c r="G47" s="53">
        <f t="shared" si="3"/>
        <v>1092</v>
      </c>
      <c r="H47" s="55"/>
    </row>
    <row r="48" spans="1:8" ht="12.75">
      <c r="A48" s="2">
        <f t="shared" si="1"/>
        <v>42</v>
      </c>
      <c r="B48" s="72">
        <v>38777</v>
      </c>
      <c r="C48" s="47" t="s">
        <v>69</v>
      </c>
      <c r="D48" s="48">
        <v>1757</v>
      </c>
      <c r="E48" s="47">
        <v>110</v>
      </c>
      <c r="F48" s="50">
        <v>19612</v>
      </c>
      <c r="G48" s="53">
        <f t="shared" si="3"/>
        <v>1320</v>
      </c>
      <c r="H48" s="55"/>
    </row>
    <row r="49" spans="1:8" ht="12.75">
      <c r="A49" s="2">
        <f t="shared" si="1"/>
        <v>43</v>
      </c>
      <c r="B49" s="72">
        <v>38808</v>
      </c>
      <c r="C49" s="47" t="s">
        <v>69</v>
      </c>
      <c r="D49" s="48">
        <v>1204</v>
      </c>
      <c r="E49" s="47">
        <v>68</v>
      </c>
      <c r="F49" s="50">
        <v>13632</v>
      </c>
      <c r="G49" s="53">
        <f t="shared" si="3"/>
        <v>816</v>
      </c>
      <c r="H49" s="55"/>
    </row>
    <row r="50" spans="1:8" ht="12.75">
      <c r="A50" s="2">
        <f t="shared" si="1"/>
        <v>44</v>
      </c>
      <c r="B50" s="72">
        <v>38838</v>
      </c>
      <c r="C50" s="47" t="s">
        <v>69</v>
      </c>
      <c r="D50" s="48">
        <v>1426</v>
      </c>
      <c r="E50" s="47">
        <v>111</v>
      </c>
      <c r="F50" s="50">
        <v>15780</v>
      </c>
      <c r="G50" s="53">
        <f t="shared" si="3"/>
        <v>1332</v>
      </c>
      <c r="H50" s="55"/>
    </row>
    <row r="51" spans="1:8" ht="12.75">
      <c r="A51" s="2">
        <f t="shared" si="1"/>
        <v>45</v>
      </c>
      <c r="B51" s="72">
        <v>38869</v>
      </c>
      <c r="C51" s="47" t="s">
        <v>69</v>
      </c>
      <c r="D51" s="48">
        <v>1511</v>
      </c>
      <c r="E51" s="47">
        <v>94</v>
      </c>
      <c r="F51" s="50">
        <v>17004</v>
      </c>
      <c r="G51" s="53">
        <f t="shared" si="3"/>
        <v>1128</v>
      </c>
      <c r="H51" s="55"/>
    </row>
    <row r="52" spans="1:8" ht="12.75">
      <c r="A52" s="2">
        <f t="shared" si="1"/>
        <v>46</v>
      </c>
      <c r="B52" s="72">
        <v>38899</v>
      </c>
      <c r="C52" s="47" t="s">
        <v>69</v>
      </c>
      <c r="D52" s="48">
        <v>1297</v>
      </c>
      <c r="E52" s="47">
        <v>81</v>
      </c>
      <c r="F52" s="50">
        <v>14592</v>
      </c>
      <c r="G52" s="53">
        <f t="shared" si="3"/>
        <v>972</v>
      </c>
      <c r="H52" s="55"/>
    </row>
    <row r="53" spans="1:8" ht="12.75">
      <c r="A53" s="2">
        <f t="shared" si="1"/>
        <v>47</v>
      </c>
      <c r="B53" s="72">
        <v>38930</v>
      </c>
      <c r="C53" s="47" t="s">
        <v>69</v>
      </c>
      <c r="D53" s="48">
        <v>1556</v>
      </c>
      <c r="E53" s="47">
        <v>86</v>
      </c>
      <c r="F53" s="50">
        <v>17640</v>
      </c>
      <c r="G53" s="53">
        <f t="shared" si="3"/>
        <v>1032</v>
      </c>
      <c r="H53" s="55"/>
    </row>
    <row r="54" spans="1:8" ht="12.75">
      <c r="A54" s="2">
        <f t="shared" si="1"/>
        <v>48</v>
      </c>
      <c r="B54" s="73">
        <v>38961</v>
      </c>
      <c r="C54" s="63" t="s">
        <v>69</v>
      </c>
      <c r="D54" s="64">
        <v>1402</v>
      </c>
      <c r="E54" s="63">
        <v>96</v>
      </c>
      <c r="F54" s="51">
        <v>15672</v>
      </c>
      <c r="G54" s="54">
        <f t="shared" si="3"/>
        <v>1152</v>
      </c>
      <c r="H54" s="79">
        <f>SUM(D43:D54)</f>
        <v>19556</v>
      </c>
    </row>
    <row r="55" spans="1:8" ht="12.75">
      <c r="A55" s="2">
        <f t="shared" si="1"/>
        <v>49</v>
      </c>
      <c r="B55" s="71">
        <v>38626</v>
      </c>
      <c r="C55" s="47" t="s">
        <v>71</v>
      </c>
      <c r="D55" s="47">
        <v>97</v>
      </c>
      <c r="E55" s="47">
        <v>5</v>
      </c>
      <c r="F55" s="50">
        <v>5935</v>
      </c>
      <c r="G55" s="53">
        <f>E55*65</f>
        <v>325</v>
      </c>
      <c r="H55" s="55"/>
    </row>
    <row r="56" spans="1:8" ht="12.75">
      <c r="A56" s="2">
        <f t="shared" si="1"/>
        <v>50</v>
      </c>
      <c r="B56" s="72">
        <v>38657</v>
      </c>
      <c r="C56" s="47" t="s">
        <v>71</v>
      </c>
      <c r="D56" s="47">
        <v>66</v>
      </c>
      <c r="E56" s="47">
        <v>7</v>
      </c>
      <c r="F56" s="50">
        <v>3835</v>
      </c>
      <c r="G56" s="53">
        <f aca="true" t="shared" si="4" ref="G56:G66">E56*65</f>
        <v>455</v>
      </c>
      <c r="H56" s="55"/>
    </row>
    <row r="57" spans="1:8" ht="12.75">
      <c r="A57" s="2">
        <f t="shared" si="1"/>
        <v>51</v>
      </c>
      <c r="B57" s="72">
        <v>38687</v>
      </c>
      <c r="C57" s="47" t="s">
        <v>71</v>
      </c>
      <c r="D57" s="47">
        <v>20</v>
      </c>
      <c r="E57" s="47">
        <v>0</v>
      </c>
      <c r="F57" s="50">
        <v>1300</v>
      </c>
      <c r="G57" s="53">
        <f t="shared" si="4"/>
        <v>0</v>
      </c>
      <c r="H57" s="55"/>
    </row>
    <row r="58" spans="1:8" ht="12.75">
      <c r="A58" s="2">
        <f t="shared" si="1"/>
        <v>52</v>
      </c>
      <c r="B58" s="72">
        <v>38718</v>
      </c>
      <c r="C58" s="47" t="s">
        <v>71</v>
      </c>
      <c r="D58" s="47">
        <v>2</v>
      </c>
      <c r="E58" s="47">
        <v>0</v>
      </c>
      <c r="F58" s="50">
        <v>130</v>
      </c>
      <c r="G58" s="53">
        <f t="shared" si="4"/>
        <v>0</v>
      </c>
      <c r="H58" s="55"/>
    </row>
    <row r="59" spans="1:8" ht="12.75">
      <c r="A59" s="2">
        <f t="shared" si="1"/>
        <v>53</v>
      </c>
      <c r="B59" s="72">
        <v>38749</v>
      </c>
      <c r="C59" s="47" t="s">
        <v>71</v>
      </c>
      <c r="D59" s="47">
        <v>1</v>
      </c>
      <c r="E59" s="47">
        <v>0</v>
      </c>
      <c r="F59" s="50">
        <v>65</v>
      </c>
      <c r="G59" s="53">
        <f t="shared" si="4"/>
        <v>0</v>
      </c>
      <c r="H59" s="55"/>
    </row>
    <row r="60" spans="1:8" ht="12.75">
      <c r="A60" s="2">
        <f t="shared" si="1"/>
        <v>54</v>
      </c>
      <c r="B60" s="72">
        <v>38777</v>
      </c>
      <c r="C60" s="47" t="s">
        <v>71</v>
      </c>
      <c r="D60" s="47">
        <v>2</v>
      </c>
      <c r="E60" s="47">
        <v>0</v>
      </c>
      <c r="F60" s="50">
        <v>130</v>
      </c>
      <c r="G60" s="53">
        <f t="shared" si="4"/>
        <v>0</v>
      </c>
      <c r="H60" s="55"/>
    </row>
    <row r="61" spans="1:8" ht="12.75">
      <c r="A61" s="2">
        <f t="shared" si="1"/>
        <v>55</v>
      </c>
      <c r="B61" s="72">
        <v>38808</v>
      </c>
      <c r="C61" s="47" t="s">
        <v>71</v>
      </c>
      <c r="D61" s="47">
        <v>2</v>
      </c>
      <c r="E61" s="47">
        <v>0</v>
      </c>
      <c r="F61" s="50">
        <v>130</v>
      </c>
      <c r="G61" s="53">
        <f t="shared" si="4"/>
        <v>0</v>
      </c>
      <c r="H61" s="55"/>
    </row>
    <row r="62" spans="1:8" ht="12.75">
      <c r="A62" s="2">
        <f t="shared" si="1"/>
        <v>56</v>
      </c>
      <c r="B62" s="72">
        <v>38838</v>
      </c>
      <c r="C62" s="47" t="s">
        <v>71</v>
      </c>
      <c r="D62" s="47">
        <v>2</v>
      </c>
      <c r="E62" s="47">
        <v>0</v>
      </c>
      <c r="F62" s="50">
        <v>130</v>
      </c>
      <c r="G62" s="53">
        <f t="shared" si="4"/>
        <v>0</v>
      </c>
      <c r="H62" s="55"/>
    </row>
    <row r="63" spans="1:8" ht="12.75">
      <c r="A63" s="2">
        <f t="shared" si="1"/>
        <v>57</v>
      </c>
      <c r="B63" s="72">
        <v>38869</v>
      </c>
      <c r="C63" s="47" t="s">
        <v>71</v>
      </c>
      <c r="D63" s="47">
        <v>2</v>
      </c>
      <c r="E63" s="47">
        <v>0</v>
      </c>
      <c r="F63" s="50">
        <v>130</v>
      </c>
      <c r="G63" s="53">
        <f t="shared" si="4"/>
        <v>0</v>
      </c>
      <c r="H63" s="55"/>
    </row>
    <row r="64" spans="1:8" ht="12.75">
      <c r="A64" s="2">
        <f t="shared" si="1"/>
        <v>58</v>
      </c>
      <c r="B64" s="72">
        <v>38899</v>
      </c>
      <c r="C64" s="47" t="s">
        <v>71</v>
      </c>
      <c r="D64" s="47">
        <v>3</v>
      </c>
      <c r="E64" s="47">
        <v>0</v>
      </c>
      <c r="F64" s="50">
        <v>195</v>
      </c>
      <c r="G64" s="53">
        <f t="shared" si="4"/>
        <v>0</v>
      </c>
      <c r="H64" s="55"/>
    </row>
    <row r="65" spans="1:8" ht="12.75">
      <c r="A65" s="2">
        <f t="shared" si="1"/>
        <v>59</v>
      </c>
      <c r="B65" s="72">
        <v>38930</v>
      </c>
      <c r="C65" s="47" t="s">
        <v>71</v>
      </c>
      <c r="D65" s="47">
        <v>8</v>
      </c>
      <c r="E65" s="47">
        <v>0</v>
      </c>
      <c r="F65" s="50">
        <v>520</v>
      </c>
      <c r="G65" s="53">
        <f t="shared" si="4"/>
        <v>0</v>
      </c>
      <c r="H65" s="55"/>
    </row>
    <row r="66" spans="1:8" ht="12.75">
      <c r="A66" s="2">
        <f t="shared" si="1"/>
        <v>60</v>
      </c>
      <c r="B66" s="73">
        <v>38961</v>
      </c>
      <c r="C66" s="63" t="s">
        <v>71</v>
      </c>
      <c r="D66" s="63">
        <v>33</v>
      </c>
      <c r="E66" s="63">
        <v>12</v>
      </c>
      <c r="F66" s="51">
        <v>1365</v>
      </c>
      <c r="G66" s="54">
        <f t="shared" si="4"/>
        <v>780</v>
      </c>
      <c r="H66" s="79">
        <f>SUM(D55:D66)</f>
        <v>238</v>
      </c>
    </row>
    <row r="67" spans="1:8" ht="12.75">
      <c r="A67" s="2">
        <f t="shared" si="1"/>
        <v>61</v>
      </c>
      <c r="B67" s="71">
        <v>38626</v>
      </c>
      <c r="C67" s="47" t="s">
        <v>107</v>
      </c>
      <c r="D67" s="47">
        <v>72</v>
      </c>
      <c r="E67" s="47">
        <v>38</v>
      </c>
      <c r="F67" s="50">
        <v>680</v>
      </c>
      <c r="G67" s="53">
        <f>E67*20</f>
        <v>760</v>
      </c>
      <c r="H67" s="55"/>
    </row>
    <row r="68" spans="1:8" ht="12.75">
      <c r="A68" s="2">
        <f t="shared" si="1"/>
        <v>62</v>
      </c>
      <c r="B68" s="72">
        <v>38657</v>
      </c>
      <c r="C68" s="47" t="s">
        <v>107</v>
      </c>
      <c r="D68" s="47">
        <v>49</v>
      </c>
      <c r="E68" s="47">
        <v>35</v>
      </c>
      <c r="F68" s="50">
        <v>280</v>
      </c>
      <c r="G68" s="53">
        <f aca="true" t="shared" si="5" ref="G68:G90">E68*20</f>
        <v>700</v>
      </c>
      <c r="H68" s="55"/>
    </row>
    <row r="69" spans="1:8" ht="12.75">
      <c r="A69" s="2">
        <f t="shared" si="1"/>
        <v>63</v>
      </c>
      <c r="B69" s="72">
        <v>38687</v>
      </c>
      <c r="C69" s="47" t="s">
        <v>107</v>
      </c>
      <c r="D69" s="47">
        <v>28</v>
      </c>
      <c r="E69" s="47">
        <v>12</v>
      </c>
      <c r="F69" s="50">
        <v>320</v>
      </c>
      <c r="G69" s="53">
        <f t="shared" si="5"/>
        <v>240</v>
      </c>
      <c r="H69" s="55"/>
    </row>
    <row r="70" spans="1:8" ht="12.75">
      <c r="A70" s="2">
        <f t="shared" si="1"/>
        <v>64</v>
      </c>
      <c r="B70" s="72">
        <v>38718</v>
      </c>
      <c r="C70" s="47" t="s">
        <v>107</v>
      </c>
      <c r="D70" s="47">
        <v>23</v>
      </c>
      <c r="E70" s="47">
        <v>14</v>
      </c>
      <c r="F70" s="50">
        <v>180</v>
      </c>
      <c r="G70" s="53">
        <f t="shared" si="5"/>
        <v>280</v>
      </c>
      <c r="H70" s="55"/>
    </row>
    <row r="71" spans="1:8" ht="12.75">
      <c r="A71" s="2">
        <f t="shared" si="1"/>
        <v>65</v>
      </c>
      <c r="B71" s="72">
        <v>38749</v>
      </c>
      <c r="C71" s="47" t="s">
        <v>107</v>
      </c>
      <c r="D71" s="47">
        <v>11</v>
      </c>
      <c r="E71" s="47">
        <v>6</v>
      </c>
      <c r="F71" s="50">
        <v>100</v>
      </c>
      <c r="G71" s="53">
        <f t="shared" si="5"/>
        <v>120</v>
      </c>
      <c r="H71" s="55"/>
    </row>
    <row r="72" spans="1:8" ht="12.75">
      <c r="A72" s="2">
        <f t="shared" si="1"/>
        <v>66</v>
      </c>
      <c r="B72" s="72">
        <v>38777</v>
      </c>
      <c r="C72" s="47" t="s">
        <v>107</v>
      </c>
      <c r="D72" s="47">
        <v>33</v>
      </c>
      <c r="E72" s="47">
        <v>21</v>
      </c>
      <c r="F72" s="50">
        <v>240</v>
      </c>
      <c r="G72" s="53">
        <f t="shared" si="5"/>
        <v>420</v>
      </c>
      <c r="H72" s="55"/>
    </row>
    <row r="73" spans="1:8" ht="12.75">
      <c r="A73" s="2">
        <f aca="true" t="shared" si="6" ref="A73:A94">A72+1</f>
        <v>67</v>
      </c>
      <c r="B73" s="72">
        <v>38808</v>
      </c>
      <c r="C73" s="47" t="s">
        <v>107</v>
      </c>
      <c r="D73" s="47">
        <v>25</v>
      </c>
      <c r="E73" s="47">
        <v>11</v>
      </c>
      <c r="F73" s="50">
        <v>285</v>
      </c>
      <c r="G73" s="53">
        <f t="shared" si="5"/>
        <v>220</v>
      </c>
      <c r="H73" s="55"/>
    </row>
    <row r="74" spans="1:8" ht="12.75">
      <c r="A74" s="2">
        <f t="shared" si="6"/>
        <v>68</v>
      </c>
      <c r="B74" s="72">
        <v>38838</v>
      </c>
      <c r="C74" s="47" t="s">
        <v>107</v>
      </c>
      <c r="D74" s="47">
        <v>18</v>
      </c>
      <c r="E74" s="47">
        <v>12</v>
      </c>
      <c r="F74" s="50">
        <v>120</v>
      </c>
      <c r="G74" s="53">
        <f t="shared" si="5"/>
        <v>240</v>
      </c>
      <c r="H74" s="55"/>
    </row>
    <row r="75" spans="1:8" ht="12.75">
      <c r="A75" s="2">
        <f t="shared" si="6"/>
        <v>69</v>
      </c>
      <c r="B75" s="72">
        <v>38869</v>
      </c>
      <c r="C75" s="47" t="s">
        <v>107</v>
      </c>
      <c r="D75" s="47">
        <v>14</v>
      </c>
      <c r="E75" s="47">
        <v>9</v>
      </c>
      <c r="F75" s="50">
        <v>100</v>
      </c>
      <c r="G75" s="53">
        <f t="shared" si="5"/>
        <v>180</v>
      </c>
      <c r="H75" s="55"/>
    </row>
    <row r="76" spans="1:8" ht="12.75">
      <c r="A76" s="2">
        <f t="shared" si="6"/>
        <v>70</v>
      </c>
      <c r="B76" s="72">
        <v>38899</v>
      </c>
      <c r="C76" s="47" t="s">
        <v>107</v>
      </c>
      <c r="D76" s="47">
        <v>15</v>
      </c>
      <c r="E76" s="47">
        <v>7</v>
      </c>
      <c r="F76" s="50">
        <v>160</v>
      </c>
      <c r="G76" s="53">
        <f t="shared" si="5"/>
        <v>140</v>
      </c>
      <c r="H76" s="55"/>
    </row>
    <row r="77" spans="1:8" ht="12.75">
      <c r="A77" s="2">
        <f t="shared" si="6"/>
        <v>71</v>
      </c>
      <c r="B77" s="72">
        <v>38930</v>
      </c>
      <c r="C77" s="47" t="s">
        <v>107</v>
      </c>
      <c r="D77" s="47">
        <v>31</v>
      </c>
      <c r="E77" s="47">
        <v>22</v>
      </c>
      <c r="F77" s="50">
        <v>180</v>
      </c>
      <c r="G77" s="53">
        <f t="shared" si="5"/>
        <v>440</v>
      </c>
      <c r="H77" s="55"/>
    </row>
    <row r="78" spans="1:8" ht="12.75">
      <c r="A78" s="2">
        <f t="shared" si="6"/>
        <v>72</v>
      </c>
      <c r="B78" s="72">
        <v>38961</v>
      </c>
      <c r="C78" s="47" t="s">
        <v>107</v>
      </c>
      <c r="D78" s="47">
        <v>39</v>
      </c>
      <c r="E78" s="47">
        <v>26</v>
      </c>
      <c r="F78" s="50">
        <v>260</v>
      </c>
      <c r="G78" s="53">
        <f t="shared" si="5"/>
        <v>520</v>
      </c>
      <c r="H78" s="55"/>
    </row>
    <row r="79" spans="1:8" ht="12.75">
      <c r="A79" s="2">
        <f t="shared" si="6"/>
        <v>73</v>
      </c>
      <c r="B79" s="71">
        <v>38626</v>
      </c>
      <c r="C79" s="47" t="s">
        <v>112</v>
      </c>
      <c r="D79" s="48">
        <v>1761</v>
      </c>
      <c r="E79" s="47">
        <v>40</v>
      </c>
      <c r="F79" s="50">
        <v>34464</v>
      </c>
      <c r="G79" s="53">
        <f t="shared" si="5"/>
        <v>800</v>
      </c>
      <c r="H79" s="55"/>
    </row>
    <row r="80" spans="1:8" ht="12.75">
      <c r="A80" s="2">
        <f t="shared" si="6"/>
        <v>74</v>
      </c>
      <c r="B80" s="72">
        <v>38657</v>
      </c>
      <c r="C80" s="47" t="s">
        <v>112</v>
      </c>
      <c r="D80" s="48">
        <v>2043</v>
      </c>
      <c r="E80" s="47">
        <v>109</v>
      </c>
      <c r="F80" s="50">
        <v>38741</v>
      </c>
      <c r="G80" s="53">
        <f t="shared" si="5"/>
        <v>2180</v>
      </c>
      <c r="H80" s="55"/>
    </row>
    <row r="81" spans="1:8" ht="12.75">
      <c r="A81" s="2">
        <f t="shared" si="6"/>
        <v>75</v>
      </c>
      <c r="B81" s="72">
        <v>38687</v>
      </c>
      <c r="C81" s="47" t="s">
        <v>112</v>
      </c>
      <c r="D81" s="48">
        <v>1299</v>
      </c>
      <c r="E81" s="47">
        <v>80</v>
      </c>
      <c r="F81" s="50">
        <v>24417</v>
      </c>
      <c r="G81" s="53">
        <f t="shared" si="5"/>
        <v>1600</v>
      </c>
      <c r="H81" s="55"/>
    </row>
    <row r="82" spans="1:8" ht="12.75">
      <c r="A82" s="2">
        <f t="shared" si="6"/>
        <v>76</v>
      </c>
      <c r="B82" s="72">
        <v>38718</v>
      </c>
      <c r="C82" s="47" t="s">
        <v>112</v>
      </c>
      <c r="D82" s="47">
        <v>788</v>
      </c>
      <c r="E82" s="47">
        <v>45</v>
      </c>
      <c r="F82" s="50">
        <v>14864</v>
      </c>
      <c r="G82" s="53">
        <f t="shared" si="5"/>
        <v>900</v>
      </c>
      <c r="H82" s="55"/>
    </row>
    <row r="83" spans="1:8" ht="12.75">
      <c r="A83" s="2">
        <f t="shared" si="6"/>
        <v>77</v>
      </c>
      <c r="B83" s="72">
        <v>38749</v>
      </c>
      <c r="C83" s="47" t="s">
        <v>112</v>
      </c>
      <c r="D83" s="47">
        <v>837</v>
      </c>
      <c r="E83" s="47">
        <v>52</v>
      </c>
      <c r="F83" s="50">
        <v>15700</v>
      </c>
      <c r="G83" s="53">
        <f t="shared" si="5"/>
        <v>1040</v>
      </c>
      <c r="H83" s="55"/>
    </row>
    <row r="84" spans="1:8" ht="12.75">
      <c r="A84" s="2">
        <f t="shared" si="6"/>
        <v>78</v>
      </c>
      <c r="B84" s="72">
        <v>38777</v>
      </c>
      <c r="C84" s="47" t="s">
        <v>112</v>
      </c>
      <c r="D84" s="47">
        <v>560</v>
      </c>
      <c r="E84" s="47">
        <v>43</v>
      </c>
      <c r="F84" s="50">
        <v>10365</v>
      </c>
      <c r="G84" s="53">
        <f t="shared" si="5"/>
        <v>860</v>
      </c>
      <c r="H84" s="55"/>
    </row>
    <row r="85" spans="1:8" ht="12.75">
      <c r="A85" s="2">
        <f t="shared" si="6"/>
        <v>79</v>
      </c>
      <c r="B85" s="72">
        <v>38808</v>
      </c>
      <c r="C85" s="47" t="s">
        <v>112</v>
      </c>
      <c r="D85" s="47">
        <v>437</v>
      </c>
      <c r="E85" s="47">
        <v>23</v>
      </c>
      <c r="F85" s="50">
        <v>8285</v>
      </c>
      <c r="G85" s="53">
        <f t="shared" si="5"/>
        <v>460</v>
      </c>
      <c r="H85" s="55"/>
    </row>
    <row r="86" spans="1:8" ht="12.75">
      <c r="A86" s="2">
        <f t="shared" si="6"/>
        <v>80</v>
      </c>
      <c r="B86" s="72">
        <v>38838</v>
      </c>
      <c r="C86" s="47" t="s">
        <v>112</v>
      </c>
      <c r="D86" s="47">
        <v>628</v>
      </c>
      <c r="E86" s="47">
        <v>20</v>
      </c>
      <c r="F86" s="50">
        <v>12194</v>
      </c>
      <c r="G86" s="53">
        <f t="shared" si="5"/>
        <v>400</v>
      </c>
      <c r="H86" s="55"/>
    </row>
    <row r="87" spans="1:8" ht="12.75">
      <c r="A87" s="2">
        <f t="shared" si="6"/>
        <v>81</v>
      </c>
      <c r="B87" s="72">
        <v>38869</v>
      </c>
      <c r="C87" s="47" t="s">
        <v>112</v>
      </c>
      <c r="D87" s="47">
        <v>631</v>
      </c>
      <c r="E87" s="47">
        <v>18</v>
      </c>
      <c r="F87" s="50">
        <v>12260</v>
      </c>
      <c r="G87" s="53">
        <f t="shared" si="5"/>
        <v>360</v>
      </c>
      <c r="H87" s="55"/>
    </row>
    <row r="88" spans="1:8" ht="12.75">
      <c r="A88" s="2">
        <f t="shared" si="6"/>
        <v>82</v>
      </c>
      <c r="B88" s="72">
        <v>38899</v>
      </c>
      <c r="C88" s="47" t="s">
        <v>112</v>
      </c>
      <c r="D88" s="47">
        <v>635</v>
      </c>
      <c r="E88" s="47">
        <v>25</v>
      </c>
      <c r="F88" s="50">
        <v>12200</v>
      </c>
      <c r="G88" s="53">
        <f t="shared" si="5"/>
        <v>500</v>
      </c>
      <c r="H88" s="55"/>
    </row>
    <row r="89" spans="1:8" ht="12.75">
      <c r="A89" s="2">
        <f t="shared" si="6"/>
        <v>83</v>
      </c>
      <c r="B89" s="72">
        <v>38930</v>
      </c>
      <c r="C89" s="47" t="s">
        <v>112</v>
      </c>
      <c r="D89" s="47">
        <v>785</v>
      </c>
      <c r="E89" s="47">
        <v>25</v>
      </c>
      <c r="F89" s="50">
        <v>15200</v>
      </c>
      <c r="G89" s="53">
        <f t="shared" si="5"/>
        <v>500</v>
      </c>
      <c r="H89" s="55"/>
    </row>
    <row r="90" spans="1:8" ht="12.75">
      <c r="A90" s="2">
        <f t="shared" si="6"/>
        <v>84</v>
      </c>
      <c r="B90" s="73">
        <v>38961</v>
      </c>
      <c r="C90" s="63" t="s">
        <v>112</v>
      </c>
      <c r="D90" s="47">
        <v>989</v>
      </c>
      <c r="E90" s="47">
        <v>30</v>
      </c>
      <c r="F90" s="51">
        <v>19172</v>
      </c>
      <c r="G90" s="54">
        <f t="shared" si="5"/>
        <v>600</v>
      </c>
      <c r="H90" s="78">
        <f>SUM(D67:D90)</f>
        <v>11751</v>
      </c>
    </row>
    <row r="91" spans="1:8" ht="13.5" thickBot="1">
      <c r="A91" s="2">
        <f t="shared" si="6"/>
        <v>85</v>
      </c>
      <c r="B91" s="69" t="s">
        <v>147</v>
      </c>
      <c r="C91" s="45"/>
      <c r="D91" s="49">
        <f>SUM(D7:D90)</f>
        <v>44003</v>
      </c>
      <c r="E91" s="49">
        <f>SUM(E7:E90)</f>
        <v>4132</v>
      </c>
      <c r="F91" s="52">
        <f>SUM(F7:F90)</f>
        <v>782494</v>
      </c>
      <c r="G91" s="52">
        <f>SUM(G7:G90)</f>
        <v>94148</v>
      </c>
      <c r="H91" s="62">
        <f>SUM(H7:H90)</f>
        <v>44003</v>
      </c>
    </row>
    <row r="92" spans="1:8" ht="13.5" thickTop="1">
      <c r="A92" s="2">
        <f t="shared" si="6"/>
        <v>86</v>
      </c>
      <c r="B92" s="70" t="s">
        <v>146</v>
      </c>
      <c r="C92" s="56"/>
      <c r="D92" s="57"/>
      <c r="E92" s="58"/>
      <c r="F92" s="59">
        <f>F91+G91</f>
        <v>876642</v>
      </c>
      <c r="G92" s="60"/>
      <c r="H92" s="61"/>
    </row>
    <row r="93" spans="1:6" ht="12.75">
      <c r="A93" s="2">
        <f t="shared" si="6"/>
        <v>87</v>
      </c>
      <c r="B93" s="43"/>
      <c r="C93" s="43"/>
      <c r="E93" s="44"/>
      <c r="F93" s="5"/>
    </row>
    <row r="94" spans="1:2" ht="12.75">
      <c r="A94" s="2">
        <f t="shared" si="6"/>
        <v>88</v>
      </c>
      <c r="B94" s="36" t="s">
        <v>157</v>
      </c>
    </row>
  </sheetData>
  <sheetProtection/>
  <mergeCells count="3">
    <mergeCell ref="C1:F1"/>
    <mergeCell ref="C2:F2"/>
    <mergeCell ref="C3:F3"/>
  </mergeCells>
  <printOptions horizontalCentered="1"/>
  <pageMargins left="0.35" right="0.25" top="0.75" bottom="1" header="0.25" footer="1"/>
  <pageSetup horizontalDpi="600" verticalDpi="600" orientation="landscape" scale="60" r:id="rId1"/>
  <headerFooter alignWithMargins="0">
    <oddHeader>&amp;R&amp;8CASE NO. 2021-00214
ATTACHMENT 1
TO STAFF DR NO. 2-01</oddHeader>
    <oddFooter>&amp;CPage &amp;P of &amp;N</oddFooter>
  </headerFooter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ATMOS ENERGY CORP.</dc:creator>
  <cp:keywords/>
  <dc:description/>
  <cp:lastModifiedBy>Eric J Wilen</cp:lastModifiedBy>
  <cp:lastPrinted>2021-08-23T16:18:28Z</cp:lastPrinted>
  <dcterms:created xsi:type="dcterms:W3CDTF">1996-04-30T20:27:40Z</dcterms:created>
  <dcterms:modified xsi:type="dcterms:W3CDTF">2021-08-23T16:18:42Z</dcterms:modified>
  <cp:category/>
  <cp:version/>
  <cp:contentType/>
  <cp:contentStatus/>
</cp:coreProperties>
</file>