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MdSt-KY Rate Case\2021 KY Rate Case\Relied Upons\"/>
    </mc:Choice>
  </mc:AlternateContent>
  <xr:revisionPtr revIDLastSave="0" documentId="13_ncr:1_{93CA9738-7C16-44C1-9846-15C94F3E7EDF}" xr6:coauthVersionLast="47" xr6:coauthVersionMax="47" xr10:uidLastSave="{00000000-0000-0000-0000-000000000000}"/>
  <bookViews>
    <workbookView xWindow="-120" yWindow="-120" windowWidth="29040" windowHeight="15840" tabRatio="769" xr2:uid="{00000000-000D-0000-FFFF-FFFF00000000}"/>
  </bookViews>
  <sheets>
    <sheet name="3-Factor Composite" sheetId="97" r:id="rId1"/>
    <sheet name="Mid States FY21" sheetId="12" r:id="rId2"/>
    <sheet name="Mid States FY21 NSC only" sheetId="105" r:id="rId3"/>
    <sheet name="CO KS FY21" sheetId="13" r:id="rId4"/>
    <sheet name="COdiv 2021_old way" sheetId="19" r:id="rId5"/>
    <sheet name="COdiv 2021_new way" sheetId="103" r:id="rId6"/>
    <sheet name="COdiv 2021_new way NSC only" sheetId="106" r:id="rId7"/>
    <sheet name="West Texas FY21 new rollup" sheetId="102" r:id="rId8"/>
    <sheet name="West Texas FY21 NSC only" sheetId="104" r:id="rId9"/>
    <sheet name="Div 002 Rates" sheetId="98" r:id="rId10"/>
    <sheet name="Div 002 Rates (Excl APT)" sheetId="99" r:id="rId11"/>
    <sheet name="Div 012 Rates" sheetId="100" r:id="rId12"/>
  </sheets>
  <externalReferences>
    <externalReference r:id="rId13"/>
  </externalReferences>
  <definedNames>
    <definedName name="ALL" localSheetId="0">#REF!</definedName>
    <definedName name="ALL" localSheetId="9">#REF!</definedName>
    <definedName name="ALL" localSheetId="10">#REF!</definedName>
    <definedName name="ALL" localSheetId="11">#REF!</definedName>
    <definedName name="ALL" localSheetId="7">#REF!</definedName>
    <definedName name="ALL" localSheetId="8">#REF!</definedName>
    <definedName name="ALL">#REF!</definedName>
    <definedName name="csAllowDetailBudgeting">1</definedName>
    <definedName name="csAllowLocalConsolidation">1</definedName>
    <definedName name="csAppName">"BudgetWeb"</definedName>
    <definedName name="csDE_CorporateItems_Dim01">"="</definedName>
    <definedName name="csDE_CorporateItems_Dim02">"="</definedName>
    <definedName name="csDE_CorporateItems_Dim03">"="</definedName>
    <definedName name="csDE_CorporateItems_Dim06">"="</definedName>
    <definedName name="csDE_CorporateItems_Dim07">"="</definedName>
    <definedName name="csDE_CorporateItems_Dim08">"="</definedName>
    <definedName name="csDE_CorporateItems_Dim09">"="</definedName>
    <definedName name="csDE_CorporateItems_Dim10">"="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input" localSheetId="0">#REF!</definedName>
    <definedName name="input" localSheetId="9">#REF!</definedName>
    <definedName name="input" localSheetId="10">#REF!</definedName>
    <definedName name="input" localSheetId="11">#REF!</definedName>
    <definedName name="input" localSheetId="7">#REF!</definedName>
    <definedName name="input" localSheetId="8">#REF!</definedName>
    <definedName name="input">#REF!</definedName>
    <definedName name="METER" localSheetId="0">#REF!</definedName>
    <definedName name="METER" localSheetId="9">#REF!</definedName>
    <definedName name="METER" localSheetId="10">#REF!</definedName>
    <definedName name="METER" localSheetId="11">#REF!</definedName>
    <definedName name="METER" localSheetId="7">#REF!</definedName>
    <definedName name="METER" localSheetId="8">#REF!</definedName>
    <definedName name="METER">#REF!</definedName>
    <definedName name="PLANT" localSheetId="0">#REF!</definedName>
    <definedName name="PLANT" localSheetId="9">#REF!</definedName>
    <definedName name="PLANT" localSheetId="10">#REF!</definedName>
    <definedName name="PLANT" localSheetId="11">#REF!</definedName>
    <definedName name="PLANT" localSheetId="7">#REF!</definedName>
    <definedName name="PLANT" localSheetId="8">#REF!</definedName>
    <definedName name="PLANT">#REF!</definedName>
    <definedName name="_xlnm.Print_Area" localSheetId="0">'3-Factor Composite'!$A$1:$Q$207</definedName>
    <definedName name="Print_Area_MI">'[1]Short Summary'!$A$7:$E$64</definedName>
    <definedName name="_xlnm.Print_Titles" localSheetId="0">'3-Factor Composite'!$3:$6</definedName>
    <definedName name="report" localSheetId="0">#REF!</definedName>
    <definedName name="report" localSheetId="9">#REF!</definedName>
    <definedName name="report" localSheetId="10">#REF!</definedName>
    <definedName name="report" localSheetId="11">#REF!</definedName>
    <definedName name="report" localSheetId="7">#REF!</definedName>
    <definedName name="report" localSheetId="8">#REF!</definedName>
    <definedName name="re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5" i="106" l="1"/>
  <c r="P24" i="106"/>
  <c r="E16" i="106"/>
  <c r="F13" i="106" s="1"/>
  <c r="G11" i="106"/>
  <c r="G16" i="106" s="1"/>
  <c r="C11" i="106"/>
  <c r="C16" i="106" s="1"/>
  <c r="P11" i="105"/>
  <c r="P12" i="105"/>
  <c r="P10" i="105"/>
  <c r="O11" i="105"/>
  <c r="O12" i="105"/>
  <c r="O10" i="105"/>
  <c r="G19" i="105"/>
  <c r="H15" i="105"/>
  <c r="G15" i="105"/>
  <c r="E15" i="105"/>
  <c r="E19" i="105" s="1"/>
  <c r="E21" i="105" s="1"/>
  <c r="E23" i="105" s="1"/>
  <c r="L12" i="105"/>
  <c r="H12" i="105"/>
  <c r="H11" i="105"/>
  <c r="L11" i="105" s="1"/>
  <c r="F11" i="105"/>
  <c r="C11" i="105"/>
  <c r="C15" i="105" s="1"/>
  <c r="L10" i="105"/>
  <c r="H10" i="105"/>
  <c r="F10" i="105"/>
  <c r="H14" i="106" l="1"/>
  <c r="H12" i="106"/>
  <c r="H13" i="106"/>
  <c r="H11" i="106"/>
  <c r="D13" i="106"/>
  <c r="K13" i="106" s="1"/>
  <c r="D14" i="106"/>
  <c r="D12" i="106"/>
  <c r="D11" i="106"/>
  <c r="F12" i="106"/>
  <c r="F14" i="106"/>
  <c r="F11" i="106"/>
  <c r="C19" i="105"/>
  <c r="C21" i="105" s="1"/>
  <c r="D12" i="105"/>
  <c r="J12" i="105" s="1"/>
  <c r="M12" i="105" s="1"/>
  <c r="D10" i="105"/>
  <c r="F12" i="105"/>
  <c r="F15" i="105" s="1"/>
  <c r="D11" i="105"/>
  <c r="J11" i="105" s="1"/>
  <c r="M11" i="105" s="1"/>
  <c r="K14" i="106" l="1"/>
  <c r="Q13" i="106"/>
  <c r="O13" i="106"/>
  <c r="D16" i="106"/>
  <c r="K11" i="106"/>
  <c r="H16" i="106"/>
  <c r="F16" i="106"/>
  <c r="K12" i="106"/>
  <c r="J10" i="105"/>
  <c r="D15" i="105"/>
  <c r="Q11" i="106" l="1"/>
  <c r="O11" i="106"/>
  <c r="K16" i="106"/>
  <c r="Q14" i="106"/>
  <c r="O14" i="106"/>
  <c r="Q12" i="106"/>
  <c r="O12" i="106"/>
  <c r="J15" i="105"/>
  <c r="M10" i="105"/>
  <c r="I29" i="104" l="1"/>
  <c r="F29" i="104"/>
  <c r="F33" i="104" s="1"/>
  <c r="F35" i="104" s="1"/>
  <c r="J24" i="104"/>
  <c r="G24" i="104"/>
  <c r="G29" i="104" s="1"/>
  <c r="D24" i="104"/>
  <c r="J16" i="104"/>
  <c r="G16" i="104"/>
  <c r="D16" i="104"/>
  <c r="J14" i="104"/>
  <c r="G14" i="104"/>
  <c r="C14" i="104"/>
  <c r="D14" i="104" s="1"/>
  <c r="I33" i="104" l="1"/>
  <c r="D29" i="104"/>
  <c r="E14" i="104"/>
  <c r="H15" i="104"/>
  <c r="H13" i="104"/>
  <c r="H11" i="104"/>
  <c r="H12" i="104"/>
  <c r="H26" i="104"/>
  <c r="H22" i="104"/>
  <c r="H14" i="104"/>
  <c r="H27" i="104"/>
  <c r="H25" i="104"/>
  <c r="H23" i="104"/>
  <c r="H21" i="104"/>
  <c r="H19" i="104"/>
  <c r="H17" i="104"/>
  <c r="H20" i="104"/>
  <c r="H18" i="104"/>
  <c r="H16" i="104"/>
  <c r="J29" i="104"/>
  <c r="K16" i="104" s="1"/>
  <c r="O16" i="104" s="1"/>
  <c r="C29" i="104"/>
  <c r="C33" i="104" s="1"/>
  <c r="C35" i="104" s="1"/>
  <c r="H24" i="104"/>
  <c r="H29" i="104" l="1"/>
  <c r="E26" i="104"/>
  <c r="E22" i="104"/>
  <c r="E20" i="104"/>
  <c r="E18" i="104"/>
  <c r="E21" i="104"/>
  <c r="E24" i="104"/>
  <c r="E12" i="104"/>
  <c r="E15" i="104"/>
  <c r="E13" i="104"/>
  <c r="M13" i="104" s="1"/>
  <c r="P13" i="104" s="1"/>
  <c r="Q13" i="104" s="1"/>
  <c r="R13" i="104" s="1"/>
  <c r="E11" i="104"/>
  <c r="E27" i="104"/>
  <c r="E25" i="104"/>
  <c r="E23" i="104"/>
  <c r="E19" i="104"/>
  <c r="M19" i="104" s="1"/>
  <c r="P19" i="104" s="1"/>
  <c r="Q19" i="104" s="1"/>
  <c r="R19" i="104" s="1"/>
  <c r="E17" i="104"/>
  <c r="K27" i="104"/>
  <c r="O27" i="104" s="1"/>
  <c r="K25" i="104"/>
  <c r="O25" i="104" s="1"/>
  <c r="K23" i="104"/>
  <c r="O23" i="104" s="1"/>
  <c r="K21" i="104"/>
  <c r="O21" i="104" s="1"/>
  <c r="K19" i="104"/>
  <c r="O19" i="104" s="1"/>
  <c r="K17" i="104"/>
  <c r="O17" i="104" s="1"/>
  <c r="K24" i="104"/>
  <c r="O24" i="104" s="1"/>
  <c r="K15" i="104"/>
  <c r="O15" i="104" s="1"/>
  <c r="K13" i="104"/>
  <c r="O13" i="104" s="1"/>
  <c r="K12" i="104"/>
  <c r="O12" i="104" s="1"/>
  <c r="K26" i="104"/>
  <c r="O26" i="104" s="1"/>
  <c r="K22" i="104"/>
  <c r="O22" i="104" s="1"/>
  <c r="K20" i="104"/>
  <c r="O20" i="104" s="1"/>
  <c r="K18" i="104"/>
  <c r="O18" i="104" s="1"/>
  <c r="K11" i="104"/>
  <c r="K14" i="104"/>
  <c r="O14" i="104" s="1"/>
  <c r="E16" i="104"/>
  <c r="M16" i="104" s="1"/>
  <c r="P16" i="104" s="1"/>
  <c r="Q16" i="104" s="1"/>
  <c r="R16" i="104" s="1"/>
  <c r="M22" i="104" l="1"/>
  <c r="P22" i="104" s="1"/>
  <c r="Q22" i="104" s="1"/>
  <c r="R22" i="104" s="1"/>
  <c r="M21" i="104"/>
  <c r="P21" i="104" s="1"/>
  <c r="Q21" i="104" s="1"/>
  <c r="R21" i="104" s="1"/>
  <c r="O11" i="104"/>
  <c r="O28" i="104" s="1"/>
  <c r="K29" i="104"/>
  <c r="E29" i="104"/>
  <c r="M11" i="104"/>
  <c r="M23" i="104"/>
  <c r="P23" i="104" s="1"/>
  <c r="Q23" i="104" s="1"/>
  <c r="R23" i="104" s="1"/>
  <c r="M26" i="104"/>
  <c r="P26" i="104" s="1"/>
  <c r="Q26" i="104" s="1"/>
  <c r="R26" i="104" s="1"/>
  <c r="M24" i="104"/>
  <c r="P24" i="104" s="1"/>
  <c r="M25" i="104"/>
  <c r="P25" i="104" s="1"/>
  <c r="Q25" i="104" s="1"/>
  <c r="R25" i="104" s="1"/>
  <c r="M15" i="104"/>
  <c r="P15" i="104" s="1"/>
  <c r="Q15" i="104" s="1"/>
  <c r="R15" i="104" s="1"/>
  <c r="M18" i="104"/>
  <c r="P18" i="104" s="1"/>
  <c r="Q18" i="104" s="1"/>
  <c r="R18" i="104" s="1"/>
  <c r="M17" i="104"/>
  <c r="P17" i="104" s="1"/>
  <c r="Q17" i="104" s="1"/>
  <c r="R17" i="104" s="1"/>
  <c r="M27" i="104"/>
  <c r="P27" i="104" s="1"/>
  <c r="Q27" i="104" s="1"/>
  <c r="R27" i="104" s="1"/>
  <c r="M12" i="104"/>
  <c r="P12" i="104" s="1"/>
  <c r="Q12" i="104" s="1"/>
  <c r="R12" i="104" s="1"/>
  <c r="M20" i="104"/>
  <c r="P20" i="104" s="1"/>
  <c r="Q20" i="104" s="1"/>
  <c r="R20" i="104" s="1"/>
  <c r="M14" i="104"/>
  <c r="U24" i="104" l="1"/>
  <c r="Q24" i="104"/>
  <c r="R24" i="104" s="1"/>
  <c r="P11" i="104"/>
  <c r="Q11" i="104" s="1"/>
  <c r="M29" i="104"/>
  <c r="P14" i="104"/>
  <c r="Q14" i="104" s="1"/>
  <c r="R14" i="104" s="1"/>
  <c r="R11" i="104" l="1"/>
  <c r="Q28" i="104"/>
  <c r="P28" i="104"/>
  <c r="K11" i="19"/>
  <c r="M11" i="12" l="1"/>
  <c r="L11" i="12"/>
  <c r="J12" i="12"/>
  <c r="J11" i="12"/>
  <c r="J10" i="12"/>
  <c r="L10" i="12"/>
  <c r="G11" i="103" l="1"/>
  <c r="G11" i="13"/>
  <c r="F29" i="102" l="1"/>
  <c r="E11" i="13"/>
  <c r="E19" i="12"/>
  <c r="E21" i="12" s="1"/>
  <c r="E15" i="12"/>
  <c r="C14" i="102" l="1"/>
  <c r="C29" i="102"/>
  <c r="C11" i="103"/>
  <c r="C16" i="19"/>
  <c r="G16" i="103" l="1"/>
  <c r="H11" i="103" s="1"/>
  <c r="E16" i="103"/>
  <c r="F14" i="103" s="1"/>
  <c r="C11" i="12"/>
  <c r="H12" i="103" l="1"/>
  <c r="H13" i="103"/>
  <c r="H14" i="103"/>
  <c r="H16" i="103" s="1"/>
  <c r="F13" i="103"/>
  <c r="F11" i="103"/>
  <c r="C16" i="103"/>
  <c r="D13" i="103" s="1"/>
  <c r="F12" i="103"/>
  <c r="F16" i="103" s="1"/>
  <c r="Q11" i="97"/>
  <c r="K13" i="103" l="1"/>
  <c r="O13" i="103" s="1"/>
  <c r="D12" i="103"/>
  <c r="K12" i="103" s="1"/>
  <c r="D14" i="103"/>
  <c r="K14" i="103" s="1"/>
  <c r="O14" i="103" s="1"/>
  <c r="D11" i="103"/>
  <c r="K11" i="103" s="1"/>
  <c r="K16" i="103" l="1"/>
  <c r="O11" i="103"/>
  <c r="Q13" i="103"/>
  <c r="Q11" i="103"/>
  <c r="D16" i="103"/>
  <c r="Q12" i="103"/>
  <c r="O12" i="103"/>
  <c r="Q14" i="103"/>
  <c r="G15" i="12" l="1"/>
  <c r="I29" i="102"/>
  <c r="M11" i="97" l="1"/>
  <c r="N11" i="97"/>
  <c r="O11" i="97"/>
  <c r="P11" i="97"/>
  <c r="M12" i="97"/>
  <c r="N12" i="97"/>
  <c r="O12" i="97"/>
  <c r="P12" i="97"/>
  <c r="Q12" i="97"/>
  <c r="Q10" i="97"/>
  <c r="O10" i="97"/>
  <c r="G24" i="102" l="1"/>
  <c r="F33" i="102" l="1"/>
  <c r="F35" i="102" s="1"/>
  <c r="G14" i="102"/>
  <c r="C33" i="102"/>
  <c r="D14" i="102" l="1"/>
  <c r="P10" i="97" l="1"/>
  <c r="C15" i="12" l="1"/>
  <c r="C19" i="12" s="1"/>
  <c r="C21" i="12" s="1"/>
  <c r="N10" i="97" l="1"/>
  <c r="M10" i="97"/>
  <c r="D209" i="97" l="1"/>
  <c r="J24" i="102" l="1"/>
  <c r="J16" i="102"/>
  <c r="J14" i="102"/>
  <c r="D11" i="97"/>
  <c r="R16" i="97" l="1"/>
  <c r="Q16" i="97"/>
  <c r="F11" i="12" l="1"/>
  <c r="F10" i="12"/>
  <c r="C11" i="13" l="1"/>
  <c r="C14" i="13" s="1"/>
  <c r="C18" i="13" s="1"/>
  <c r="F12" i="12"/>
  <c r="F15" i="12" s="1"/>
  <c r="F200" i="97" l="1"/>
  <c r="F199" i="97"/>
  <c r="E200" i="97"/>
  <c r="E199" i="97"/>
  <c r="B207" i="97" l="1"/>
  <c r="B192" i="97"/>
  <c r="B177" i="97"/>
  <c r="S198" i="97"/>
  <c r="U198" i="97"/>
  <c r="V198" i="97"/>
  <c r="X198" i="97"/>
  <c r="Y198" i="97"/>
  <c r="AA198" i="97"/>
  <c r="AB198" i="97"/>
  <c r="AC198" i="97"/>
  <c r="AD198" i="97"/>
  <c r="AE198" i="97"/>
  <c r="AF198" i="97"/>
  <c r="AG198" i="97"/>
  <c r="R199" i="97"/>
  <c r="S199" i="97"/>
  <c r="T199" i="97"/>
  <c r="U199" i="97"/>
  <c r="V199" i="97"/>
  <c r="W199" i="97"/>
  <c r="X199" i="97"/>
  <c r="Y199" i="97"/>
  <c r="Z199" i="97"/>
  <c r="AA199" i="97"/>
  <c r="AB199" i="97"/>
  <c r="AC199" i="97"/>
  <c r="AD199" i="97"/>
  <c r="AE199" i="97"/>
  <c r="AF199" i="97"/>
  <c r="AG199" i="97"/>
  <c r="R200" i="97"/>
  <c r="S200" i="97"/>
  <c r="T200" i="97"/>
  <c r="U200" i="97"/>
  <c r="V200" i="97"/>
  <c r="W200" i="97"/>
  <c r="X200" i="97"/>
  <c r="Y200" i="97"/>
  <c r="Z200" i="97"/>
  <c r="AA200" i="97"/>
  <c r="AB200" i="97"/>
  <c r="AC200" i="97"/>
  <c r="AD200" i="97"/>
  <c r="AE200" i="97"/>
  <c r="AF200" i="97"/>
  <c r="AG200" i="97"/>
  <c r="P14" i="98"/>
  <c r="P13" i="98"/>
  <c r="O14" i="98"/>
  <c r="O13" i="98"/>
  <c r="Q14" i="98" l="1"/>
  <c r="R14" i="98" s="1"/>
  <c r="Q13" i="98"/>
  <c r="S13" i="98" s="1"/>
  <c r="R13" i="98" l="1"/>
  <c r="S14" i="98"/>
  <c r="G16" i="102"/>
  <c r="D24" i="102"/>
  <c r="D16" i="102"/>
  <c r="I33" i="102"/>
  <c r="D29" i="102" l="1"/>
  <c r="G29" i="102"/>
  <c r="H14" i="102" s="1"/>
  <c r="H13" i="102" l="1"/>
  <c r="H17" i="102"/>
  <c r="H21" i="102"/>
  <c r="H25" i="102"/>
  <c r="H18" i="102"/>
  <c r="H22" i="102"/>
  <c r="H26" i="102"/>
  <c r="H15" i="102"/>
  <c r="H19" i="102"/>
  <c r="H23" i="102"/>
  <c r="H27" i="102"/>
  <c r="H12" i="102"/>
  <c r="H16" i="102"/>
  <c r="H20" i="102"/>
  <c r="H11" i="102"/>
  <c r="H24" i="102"/>
  <c r="C35" i="102"/>
  <c r="E14" i="102" l="1"/>
  <c r="E12" i="102" l="1"/>
  <c r="E20" i="102"/>
  <c r="E11" i="102"/>
  <c r="E13" i="102"/>
  <c r="E17" i="102"/>
  <c r="E21" i="102"/>
  <c r="E25" i="102"/>
  <c r="E18" i="102"/>
  <c r="E22" i="102"/>
  <c r="E26" i="102"/>
  <c r="E15" i="102"/>
  <c r="E19" i="102"/>
  <c r="E23" i="102"/>
  <c r="E27" i="102"/>
  <c r="E16" i="102"/>
  <c r="E24" i="102"/>
  <c r="H29" i="102"/>
  <c r="E29" i="102" l="1"/>
  <c r="E16" i="19"/>
  <c r="E14" i="13" l="1"/>
  <c r="D11" i="19"/>
  <c r="E18" i="13" l="1"/>
  <c r="F12" i="13"/>
  <c r="F11" i="13"/>
  <c r="D13" i="19"/>
  <c r="D14" i="19"/>
  <c r="D12" i="19"/>
  <c r="F14" i="13" l="1"/>
  <c r="H11" i="12"/>
  <c r="H10" i="12"/>
  <c r="H12" i="12"/>
  <c r="L12" i="12" s="1"/>
  <c r="D16" i="19"/>
  <c r="H15" i="12" l="1"/>
  <c r="Q198" i="97"/>
  <c r="D10" i="12" l="1"/>
  <c r="D12" i="12"/>
  <c r="M12" i="12" s="1"/>
  <c r="D11" i="12"/>
  <c r="O12" i="98"/>
  <c r="F198" i="97"/>
  <c r="E198" i="97"/>
  <c r="M10" i="12" l="1"/>
  <c r="J15" i="12"/>
  <c r="Z198" i="97"/>
  <c r="H198" i="97"/>
  <c r="P12" i="99" s="1"/>
  <c r="P12" i="98"/>
  <c r="Q12" i="98" s="1"/>
  <c r="R12" i="98" s="1"/>
  <c r="R16" i="98" s="1"/>
  <c r="G13" i="98" s="1"/>
  <c r="R198" i="97"/>
  <c r="W198" i="97"/>
  <c r="T198" i="97"/>
  <c r="D12" i="97"/>
  <c r="R17" i="97" l="1"/>
  <c r="Q17" i="97"/>
  <c r="M198" i="97"/>
  <c r="D10" i="97"/>
  <c r="P185" i="97"/>
  <c r="P138" i="97"/>
  <c r="P183" i="97"/>
  <c r="Q199" i="97"/>
  <c r="O200" i="97"/>
  <c r="O199" i="97"/>
  <c r="O198" i="97"/>
  <c r="N200" i="97"/>
  <c r="N199" i="97"/>
  <c r="N198" i="97"/>
  <c r="M200" i="97"/>
  <c r="M199" i="97"/>
  <c r="K200" i="97"/>
  <c r="J200" i="97"/>
  <c r="I200" i="97"/>
  <c r="H200" i="97"/>
  <c r="G200" i="97"/>
  <c r="K198" i="97"/>
  <c r="J198" i="97"/>
  <c r="G198" i="97"/>
  <c r="L185" i="97"/>
  <c r="J170" i="97"/>
  <c r="I170" i="97"/>
  <c r="H170" i="97"/>
  <c r="G170" i="97"/>
  <c r="F170" i="97"/>
  <c r="E170" i="97"/>
  <c r="J168" i="97"/>
  <c r="H168" i="97"/>
  <c r="G168" i="97"/>
  <c r="F168" i="97"/>
  <c r="E168" i="97"/>
  <c r="B161" i="97"/>
  <c r="J154" i="97"/>
  <c r="H154" i="97"/>
  <c r="G154" i="97"/>
  <c r="F154" i="97"/>
  <c r="J152" i="97"/>
  <c r="H152" i="97"/>
  <c r="G152" i="97"/>
  <c r="F152" i="97"/>
  <c r="B146" i="97"/>
  <c r="K139" i="97"/>
  <c r="J139" i="97"/>
  <c r="I139" i="97"/>
  <c r="H139" i="97"/>
  <c r="G139" i="97"/>
  <c r="F139" i="97"/>
  <c r="E139" i="97"/>
  <c r="K137" i="97"/>
  <c r="J137" i="97"/>
  <c r="H137" i="97"/>
  <c r="G137" i="97"/>
  <c r="F137" i="97"/>
  <c r="E137" i="97"/>
  <c r="B131" i="97"/>
  <c r="K124" i="97"/>
  <c r="E124" i="97"/>
  <c r="K122" i="97"/>
  <c r="E122" i="97"/>
  <c r="B116" i="97"/>
  <c r="L109" i="97"/>
  <c r="K109" i="97"/>
  <c r="E109" i="97"/>
  <c r="K107" i="97"/>
  <c r="E107" i="97"/>
  <c r="B102" i="97"/>
  <c r="J95" i="97"/>
  <c r="I95" i="97"/>
  <c r="H95" i="97"/>
  <c r="G95" i="97"/>
  <c r="F95" i="97"/>
  <c r="E95" i="97"/>
  <c r="J93" i="97"/>
  <c r="H93" i="97"/>
  <c r="G93" i="97"/>
  <c r="F93" i="97"/>
  <c r="E93" i="97"/>
  <c r="B88" i="97"/>
  <c r="H81" i="97"/>
  <c r="G81" i="97"/>
  <c r="H79" i="97"/>
  <c r="G79" i="97"/>
  <c r="B75" i="97"/>
  <c r="J68" i="97"/>
  <c r="F68" i="97"/>
  <c r="E68" i="97"/>
  <c r="J66" i="97"/>
  <c r="F66" i="97"/>
  <c r="E66" i="97"/>
  <c r="B61" i="97"/>
  <c r="L54" i="97"/>
  <c r="K54" i="97"/>
  <c r="J54" i="97"/>
  <c r="I54" i="97"/>
  <c r="H54" i="97"/>
  <c r="G54" i="97"/>
  <c r="F54" i="97"/>
  <c r="E54" i="97"/>
  <c r="K52" i="97"/>
  <c r="J52" i="97"/>
  <c r="H52" i="97"/>
  <c r="G52" i="97"/>
  <c r="F52" i="97"/>
  <c r="E52" i="97"/>
  <c r="B47" i="97"/>
  <c r="L40" i="97"/>
  <c r="K40" i="97"/>
  <c r="J40" i="97"/>
  <c r="I40" i="97"/>
  <c r="H40" i="97"/>
  <c r="G40" i="97"/>
  <c r="F40" i="97"/>
  <c r="E40" i="97"/>
  <c r="K38" i="97"/>
  <c r="J38" i="97"/>
  <c r="H38" i="97"/>
  <c r="G38" i="97"/>
  <c r="F38" i="97"/>
  <c r="E38" i="97"/>
  <c r="B33" i="97"/>
  <c r="K26" i="97"/>
  <c r="J26" i="97"/>
  <c r="I26" i="97"/>
  <c r="H26" i="97"/>
  <c r="G26" i="97"/>
  <c r="F26" i="97"/>
  <c r="E26" i="97"/>
  <c r="K24" i="97"/>
  <c r="J24" i="97"/>
  <c r="H24" i="97"/>
  <c r="G24" i="97"/>
  <c r="F24" i="97"/>
  <c r="E24" i="97"/>
  <c r="K25" i="97"/>
  <c r="J25" i="97"/>
  <c r="I53" i="97"/>
  <c r="H199" i="97"/>
  <c r="F39" i="97"/>
  <c r="E53" i="97"/>
  <c r="I38" i="97"/>
  <c r="D66" i="97" l="1"/>
  <c r="J71" i="97" s="1"/>
  <c r="D40" i="97"/>
  <c r="K45" i="97" s="1"/>
  <c r="R15" i="97"/>
  <c r="R19" i="97" s="1"/>
  <c r="Q15" i="97"/>
  <c r="Q19" i="97" s="1"/>
  <c r="D26" i="97"/>
  <c r="G31" i="97" s="1"/>
  <c r="D79" i="97"/>
  <c r="G84" i="97" s="1"/>
  <c r="S12" i="98"/>
  <c r="S16" i="98" s="1"/>
  <c r="G14" i="98" s="1"/>
  <c r="O12" i="99"/>
  <c r="Q12" i="99" s="1"/>
  <c r="P13" i="99"/>
  <c r="D152" i="97"/>
  <c r="I157" i="97" s="1"/>
  <c r="O14" i="99"/>
  <c r="P14" i="99"/>
  <c r="P54" i="97"/>
  <c r="D54" i="97" s="1"/>
  <c r="P53" i="97"/>
  <c r="D124" i="97"/>
  <c r="J129" i="97" s="1"/>
  <c r="P199" i="97"/>
  <c r="D109" i="97"/>
  <c r="L114" i="97" s="1"/>
  <c r="D122" i="97"/>
  <c r="J127" i="97" s="1"/>
  <c r="P184" i="97"/>
  <c r="P170" i="97"/>
  <c r="D170" i="97" s="1"/>
  <c r="J175" i="97" s="1"/>
  <c r="J84" i="97"/>
  <c r="P139" i="97"/>
  <c r="D139" i="97" s="1"/>
  <c r="P52" i="97"/>
  <c r="P198" i="97"/>
  <c r="P200" i="97"/>
  <c r="P169" i="97"/>
  <c r="P137" i="97"/>
  <c r="P168" i="97"/>
  <c r="D185" i="97"/>
  <c r="L190" i="97" s="1"/>
  <c r="H53" i="97"/>
  <c r="E39" i="97"/>
  <c r="G138" i="97"/>
  <c r="G199" i="97"/>
  <c r="G153" i="97"/>
  <c r="G169" i="97"/>
  <c r="G53" i="97"/>
  <c r="G94" i="97"/>
  <c r="G80" i="97"/>
  <c r="G39" i="97"/>
  <c r="G25" i="97"/>
  <c r="L183" i="97"/>
  <c r="D183" i="97" s="1"/>
  <c r="L107" i="97"/>
  <c r="L52" i="97"/>
  <c r="L38" i="97"/>
  <c r="D38" i="97" s="1"/>
  <c r="F43" i="97" s="1"/>
  <c r="Q200" i="97"/>
  <c r="F169" i="97"/>
  <c r="F138" i="97"/>
  <c r="F153" i="97"/>
  <c r="F67" i="97"/>
  <c r="F53" i="97"/>
  <c r="F94" i="97"/>
  <c r="J199" i="97"/>
  <c r="J169" i="97"/>
  <c r="J138" i="97"/>
  <c r="J153" i="97"/>
  <c r="J53" i="97"/>
  <c r="J39" i="97"/>
  <c r="J67" i="97"/>
  <c r="J94" i="97"/>
  <c r="F25" i="97"/>
  <c r="K138" i="97"/>
  <c r="K123" i="97"/>
  <c r="K108" i="97"/>
  <c r="K199" i="97"/>
  <c r="K53" i="97"/>
  <c r="K39" i="97"/>
  <c r="H153" i="97"/>
  <c r="H169" i="97"/>
  <c r="H94" i="97"/>
  <c r="H80" i="97"/>
  <c r="H39" i="97"/>
  <c r="L108" i="97"/>
  <c r="L184" i="97"/>
  <c r="L39" i="97"/>
  <c r="H25" i="97"/>
  <c r="I39" i="97"/>
  <c r="D68" i="97"/>
  <c r="J73" i="97" s="1"/>
  <c r="I198" i="97"/>
  <c r="I137" i="97"/>
  <c r="I168" i="97"/>
  <c r="I52" i="97"/>
  <c r="E169" i="97"/>
  <c r="E138" i="97"/>
  <c r="E123" i="97"/>
  <c r="E108" i="97"/>
  <c r="E94" i="97"/>
  <c r="E67" i="97"/>
  <c r="I199" i="97"/>
  <c r="I169" i="97"/>
  <c r="I138" i="97"/>
  <c r="I94" i="97"/>
  <c r="I24" i="97"/>
  <c r="D24" i="97" s="1"/>
  <c r="E25" i="97"/>
  <c r="I25" i="97"/>
  <c r="L53" i="97"/>
  <c r="D81" i="97"/>
  <c r="H86" i="97" s="1"/>
  <c r="I93" i="97"/>
  <c r="D93" i="97" s="1"/>
  <c r="D95" i="97"/>
  <c r="F100" i="97" s="1"/>
  <c r="H138" i="97"/>
  <c r="D154" i="97"/>
  <c r="Q11" i="100" l="1"/>
  <c r="D25" i="97"/>
  <c r="G30" i="97" s="1"/>
  <c r="J13" i="100" s="1"/>
  <c r="D52" i="97"/>
  <c r="L84" i="97" s="1"/>
  <c r="F45" i="97"/>
  <c r="D53" i="97"/>
  <c r="D198" i="97"/>
  <c r="H203" i="97" s="1"/>
  <c r="F31" i="97"/>
  <c r="J31" i="97"/>
  <c r="F29" i="97"/>
  <c r="G29" i="97"/>
  <c r="P11" i="100"/>
  <c r="D39" i="97"/>
  <c r="F44" i="97" s="1"/>
  <c r="H59" i="97"/>
  <c r="F71" i="97"/>
  <c r="E71" i="97" s="1"/>
  <c r="D168" i="97"/>
  <c r="J173" i="97" s="1"/>
  <c r="O13" i="99"/>
  <c r="Q13" i="99" s="1"/>
  <c r="R13" i="99" s="1"/>
  <c r="Q14" i="99"/>
  <c r="R14" i="99" s="1"/>
  <c r="F73" i="97"/>
  <c r="E73" i="97" s="1"/>
  <c r="D73" i="97" s="1"/>
  <c r="R12" i="99"/>
  <c r="S12" i="99"/>
  <c r="I129" i="97"/>
  <c r="K114" i="97"/>
  <c r="E114" i="97" s="1"/>
  <c r="D114" i="97" s="1"/>
  <c r="J100" i="97"/>
  <c r="J157" i="97"/>
  <c r="E157" i="97"/>
  <c r="G127" i="97"/>
  <c r="G129" i="97"/>
  <c r="I127" i="97"/>
  <c r="L59" i="97"/>
  <c r="P59" i="97"/>
  <c r="I100" i="97"/>
  <c r="H45" i="97"/>
  <c r="H129" i="97"/>
  <c r="L86" i="97"/>
  <c r="G45" i="97"/>
  <c r="H127" i="97"/>
  <c r="F129" i="97"/>
  <c r="J45" i="97"/>
  <c r="F59" i="97"/>
  <c r="K129" i="97"/>
  <c r="L45" i="97"/>
  <c r="I45" i="97"/>
  <c r="G157" i="97"/>
  <c r="K86" i="97"/>
  <c r="K127" i="97"/>
  <c r="F84" i="97"/>
  <c r="G59" i="97"/>
  <c r="H157" i="97"/>
  <c r="H100" i="97"/>
  <c r="P190" i="97"/>
  <c r="D190" i="97" s="1"/>
  <c r="I59" i="97"/>
  <c r="I86" i="97"/>
  <c r="J59" i="97"/>
  <c r="D200" i="97"/>
  <c r="P205" i="97" s="1"/>
  <c r="D137" i="97"/>
  <c r="P142" i="97" s="1"/>
  <c r="K59" i="97"/>
  <c r="E86" i="97"/>
  <c r="S17" i="97"/>
  <c r="T17" i="97"/>
  <c r="G16" i="97"/>
  <c r="T16" i="97"/>
  <c r="S16" i="97"/>
  <c r="T15" i="97"/>
  <c r="S15" i="97"/>
  <c r="I15" i="97"/>
  <c r="D94" i="97"/>
  <c r="G99" i="97" s="1"/>
  <c r="D169" i="97"/>
  <c r="P174" i="97" s="1"/>
  <c r="K16" i="97"/>
  <c r="F16" i="97"/>
  <c r="D108" i="97"/>
  <c r="L113" i="97" s="1"/>
  <c r="F143" i="97"/>
  <c r="J16" i="97"/>
  <c r="D199" i="97"/>
  <c r="G204" i="97" s="1"/>
  <c r="I175" i="97"/>
  <c r="P175" i="97"/>
  <c r="G175" i="97"/>
  <c r="H175" i="97"/>
  <c r="F175" i="97"/>
  <c r="J29" i="97"/>
  <c r="K29" i="97"/>
  <c r="H29" i="97"/>
  <c r="I144" i="97"/>
  <c r="H144" i="97"/>
  <c r="P144" i="97"/>
  <c r="I159" i="97"/>
  <c r="E159" i="97"/>
  <c r="G159" i="97"/>
  <c r="J159" i="97"/>
  <c r="H84" i="97"/>
  <c r="H31" i="97"/>
  <c r="K144" i="97"/>
  <c r="D123" i="97"/>
  <c r="AA17" i="97"/>
  <c r="X17" i="97"/>
  <c r="M17" i="97"/>
  <c r="I17" i="97"/>
  <c r="AD17" i="97"/>
  <c r="Z17" i="97"/>
  <c r="W17" i="97"/>
  <c r="P17" i="97"/>
  <c r="L17" i="97"/>
  <c r="H17" i="97"/>
  <c r="Y17" i="97"/>
  <c r="N17" i="97"/>
  <c r="F17" i="97"/>
  <c r="U17" i="97"/>
  <c r="G17" i="97"/>
  <c r="AC17" i="97"/>
  <c r="V17" i="97"/>
  <c r="K17" i="97"/>
  <c r="AB17" i="97"/>
  <c r="J17" i="97"/>
  <c r="O17" i="97"/>
  <c r="K58" i="97"/>
  <c r="K31" i="97"/>
  <c r="H159" i="97"/>
  <c r="J144" i="97"/>
  <c r="F144" i="97"/>
  <c r="G144" i="97"/>
  <c r="I98" i="97"/>
  <c r="G86" i="97"/>
  <c r="D67" i="97"/>
  <c r="J72" i="97" s="1"/>
  <c r="D138" i="97"/>
  <c r="P143" i="97" s="1"/>
  <c r="G100" i="97"/>
  <c r="I31" i="97"/>
  <c r="D107" i="97"/>
  <c r="K112" i="97" s="1"/>
  <c r="AC16" i="97"/>
  <c r="V16" i="97"/>
  <c r="O16" i="97"/>
  <c r="F128" i="97"/>
  <c r="AB16" i="97"/>
  <c r="Y16" i="97"/>
  <c r="U16" i="97"/>
  <c r="N16" i="97"/>
  <c r="Z16" i="97"/>
  <c r="P16" i="97"/>
  <c r="H16" i="97"/>
  <c r="AD16" i="97"/>
  <c r="L16" i="97"/>
  <c r="AA16" i="97"/>
  <c r="I16" i="97"/>
  <c r="X16" i="97"/>
  <c r="M16" i="97"/>
  <c r="W16" i="97"/>
  <c r="G98" i="97"/>
  <c r="J98" i="97"/>
  <c r="F98" i="97"/>
  <c r="H98" i="97"/>
  <c r="I29" i="97"/>
  <c r="J86" i="97"/>
  <c r="F86" i="97"/>
  <c r="D184" i="97"/>
  <c r="P189" i="97" s="1"/>
  <c r="D153" i="97"/>
  <c r="H158" i="97" s="1"/>
  <c r="F142" i="97"/>
  <c r="F127" i="97"/>
  <c r="AA15" i="97"/>
  <c r="X15" i="97"/>
  <c r="M15" i="97"/>
  <c r="AD15" i="97"/>
  <c r="Z15" i="97"/>
  <c r="W15" i="97"/>
  <c r="P15" i="97"/>
  <c r="H15" i="97"/>
  <c r="AB15" i="97"/>
  <c r="U15" i="97"/>
  <c r="J15" i="97"/>
  <c r="Y15" i="97"/>
  <c r="F15" i="97"/>
  <c r="AC15" i="97"/>
  <c r="K15" i="97"/>
  <c r="O15" i="97"/>
  <c r="G15" i="97"/>
  <c r="N15" i="97"/>
  <c r="V15" i="97"/>
  <c r="L15" i="97"/>
  <c r="P188" i="97"/>
  <c r="D80" i="97"/>
  <c r="G85" i="97" s="1"/>
  <c r="R11" i="100" l="1"/>
  <c r="P12" i="100" s="1"/>
  <c r="M19" i="97"/>
  <c r="C52" i="98" s="1"/>
  <c r="J52" i="98" s="1"/>
  <c r="Q12" i="100"/>
  <c r="G14" i="100" s="1"/>
  <c r="J203" i="97"/>
  <c r="W19" i="97"/>
  <c r="AA19" i="97"/>
  <c r="Y19" i="97"/>
  <c r="V19" i="97"/>
  <c r="Z19" i="97"/>
  <c r="AB19" i="97"/>
  <c r="AC19" i="97"/>
  <c r="X19" i="97"/>
  <c r="AD19" i="97"/>
  <c r="S19" i="97"/>
  <c r="U19" i="97"/>
  <c r="T19" i="97"/>
  <c r="L203" i="97"/>
  <c r="E31" i="97"/>
  <c r="D31" i="97" s="1"/>
  <c r="E45" i="97"/>
  <c r="D45" i="97" s="1"/>
  <c r="F30" i="97"/>
  <c r="F33" i="97" s="1"/>
  <c r="E29" i="97"/>
  <c r="D29" i="97" s="1"/>
  <c r="G203" i="97"/>
  <c r="I203" i="97"/>
  <c r="M203" i="97"/>
  <c r="Q203" i="97"/>
  <c r="O203" i="97"/>
  <c r="F203" i="97"/>
  <c r="P203" i="97"/>
  <c r="K203" i="97"/>
  <c r="N203" i="97"/>
  <c r="C60" i="98"/>
  <c r="J60" i="98" s="1"/>
  <c r="F72" i="97"/>
  <c r="E72" i="97" s="1"/>
  <c r="N19" i="97"/>
  <c r="C54" i="98" s="1"/>
  <c r="J54" i="98" s="1"/>
  <c r="I204" i="97"/>
  <c r="L205" i="97"/>
  <c r="F205" i="97"/>
  <c r="J205" i="97"/>
  <c r="N205" i="97"/>
  <c r="M205" i="97"/>
  <c r="G205" i="97"/>
  <c r="O205" i="97"/>
  <c r="H205" i="97"/>
  <c r="K205" i="97"/>
  <c r="I205" i="97"/>
  <c r="P204" i="97"/>
  <c r="L204" i="97"/>
  <c r="F204" i="97"/>
  <c r="N204" i="97"/>
  <c r="M204" i="97"/>
  <c r="O204" i="97"/>
  <c r="Q204" i="97"/>
  <c r="H204" i="97"/>
  <c r="J204" i="97"/>
  <c r="S14" i="99"/>
  <c r="K204" i="97"/>
  <c r="AF205" i="97"/>
  <c r="I142" i="97"/>
  <c r="P173" i="97"/>
  <c r="P177" i="97" s="1"/>
  <c r="J142" i="97"/>
  <c r="G88" i="97"/>
  <c r="J57" i="97"/>
  <c r="F57" i="97"/>
  <c r="F173" i="97"/>
  <c r="F157" i="97"/>
  <c r="D157" i="97" s="1"/>
  <c r="E129" i="97"/>
  <c r="D129" i="97" s="1"/>
  <c r="I57" i="97"/>
  <c r="E84" i="97"/>
  <c r="E100" i="97"/>
  <c r="D100" i="97" s="1"/>
  <c r="J75" i="97"/>
  <c r="P57" i="97"/>
  <c r="I84" i="97"/>
  <c r="D71" i="97"/>
  <c r="H57" i="97"/>
  <c r="G57" i="97"/>
  <c r="I173" i="97"/>
  <c r="G173" i="97"/>
  <c r="K57" i="97"/>
  <c r="K61" i="97" s="1"/>
  <c r="G142" i="97"/>
  <c r="L57" i="97"/>
  <c r="K84" i="97"/>
  <c r="H173" i="97"/>
  <c r="Q205" i="97"/>
  <c r="AA205" i="97"/>
  <c r="AD204" i="97"/>
  <c r="U204" i="97"/>
  <c r="R204" i="97"/>
  <c r="S204" i="97"/>
  <c r="T204" i="97"/>
  <c r="H161" i="97"/>
  <c r="D86" i="97"/>
  <c r="AD203" i="97"/>
  <c r="T203" i="97"/>
  <c r="R203" i="97"/>
  <c r="S203" i="97"/>
  <c r="U203" i="97"/>
  <c r="S205" i="97"/>
  <c r="R205" i="97"/>
  <c r="U205" i="97"/>
  <c r="T205" i="97"/>
  <c r="E59" i="97"/>
  <c r="D59" i="97" s="1"/>
  <c r="AC205" i="97"/>
  <c r="Z205" i="97"/>
  <c r="Y205" i="97"/>
  <c r="X205" i="97"/>
  <c r="W205" i="97"/>
  <c r="AE205" i="97"/>
  <c r="AD205" i="97"/>
  <c r="AB205" i="97"/>
  <c r="V205" i="97"/>
  <c r="H142" i="97"/>
  <c r="K142" i="97"/>
  <c r="AG205" i="97"/>
  <c r="I19" i="97"/>
  <c r="C35" i="98" s="1"/>
  <c r="C36" i="98" s="1"/>
  <c r="C37" i="98" s="1"/>
  <c r="C38" i="98" s="1"/>
  <c r="C39" i="98" s="1"/>
  <c r="L188" i="97"/>
  <c r="D188" i="97" s="1"/>
  <c r="K113" i="97"/>
  <c r="E113" i="97" s="1"/>
  <c r="D113" i="97" s="1"/>
  <c r="G174" i="97"/>
  <c r="I174" i="97"/>
  <c r="F174" i="97"/>
  <c r="J99" i="97"/>
  <c r="J102" i="97" s="1"/>
  <c r="H143" i="97"/>
  <c r="H99" i="97"/>
  <c r="H102" i="97" s="1"/>
  <c r="F99" i="97"/>
  <c r="F102" i="97" s="1"/>
  <c r="G19" i="97"/>
  <c r="K19" i="97"/>
  <c r="C48" i="98" s="1"/>
  <c r="V204" i="97"/>
  <c r="AE204" i="97"/>
  <c r="I99" i="97"/>
  <c r="H174" i="97"/>
  <c r="P19" i="97"/>
  <c r="C58" i="98" s="1"/>
  <c r="J58" i="98" s="1"/>
  <c r="J174" i="97"/>
  <c r="J177" i="97" s="1"/>
  <c r="V203" i="97"/>
  <c r="G58" i="97"/>
  <c r="AF204" i="97"/>
  <c r="X204" i="97"/>
  <c r="AB203" i="97"/>
  <c r="AE203" i="97"/>
  <c r="W203" i="97"/>
  <c r="AF203" i="97"/>
  <c r="Z203" i="97"/>
  <c r="Z204" i="97"/>
  <c r="AA204" i="97"/>
  <c r="AA203" i="97"/>
  <c r="AC203" i="97"/>
  <c r="AG203" i="97"/>
  <c r="Y204" i="97"/>
  <c r="Y203" i="97"/>
  <c r="X203" i="97"/>
  <c r="O19" i="97"/>
  <c r="C56" i="98" s="1"/>
  <c r="J56" i="98" s="1"/>
  <c r="H19" i="97"/>
  <c r="J14" i="98" s="1"/>
  <c r="E16" i="97"/>
  <c r="D16" i="97" s="1"/>
  <c r="E175" i="97"/>
  <c r="D175" i="97" s="1"/>
  <c r="L189" i="97"/>
  <c r="D189" i="97" s="1"/>
  <c r="F58" i="97"/>
  <c r="H85" i="97"/>
  <c r="H88" i="97" s="1"/>
  <c r="G158" i="97"/>
  <c r="G161" i="97" s="1"/>
  <c r="G102" i="97"/>
  <c r="J58" i="97"/>
  <c r="L58" i="97"/>
  <c r="AC204" i="97"/>
  <c r="AB204" i="97"/>
  <c r="W204" i="97"/>
  <c r="AG204" i="97"/>
  <c r="K44" i="97"/>
  <c r="F159" i="97"/>
  <c r="D159" i="97" s="1"/>
  <c r="P192" i="97"/>
  <c r="E127" i="97"/>
  <c r="D127" i="97" s="1"/>
  <c r="F131" i="97"/>
  <c r="J158" i="97"/>
  <c r="J161" i="97" s="1"/>
  <c r="L44" i="97"/>
  <c r="J85" i="97"/>
  <c r="J88" i="97" s="1"/>
  <c r="F85" i="97"/>
  <c r="F88" i="97" s="1"/>
  <c r="E144" i="97"/>
  <c r="D144" i="97" s="1"/>
  <c r="P146" i="97"/>
  <c r="J143" i="97"/>
  <c r="K43" i="97"/>
  <c r="H43" i="97"/>
  <c r="G43" i="97"/>
  <c r="I43" i="97"/>
  <c r="J43" i="97"/>
  <c r="G143" i="97"/>
  <c r="J19" i="97"/>
  <c r="C46" i="98" s="1"/>
  <c r="J46" i="98" s="1"/>
  <c r="E98" i="97"/>
  <c r="D98" i="97" s="1"/>
  <c r="L19" i="97"/>
  <c r="C50" i="98" s="1"/>
  <c r="F146" i="97"/>
  <c r="I143" i="97"/>
  <c r="G44" i="97"/>
  <c r="L112" i="97"/>
  <c r="L116" i="97" s="1"/>
  <c r="I44" i="97"/>
  <c r="L85" i="97"/>
  <c r="L88" i="97" s="1"/>
  <c r="K85" i="97"/>
  <c r="I85" i="97"/>
  <c r="E85" i="97"/>
  <c r="H58" i="97"/>
  <c r="I58" i="97"/>
  <c r="P58" i="97"/>
  <c r="J44" i="97"/>
  <c r="K143" i="97"/>
  <c r="H44" i="97"/>
  <c r="I30" i="97"/>
  <c r="E15" i="97"/>
  <c r="D15" i="97" s="1"/>
  <c r="F19" i="97"/>
  <c r="C42" i="98" s="1"/>
  <c r="C43" i="98" s="1"/>
  <c r="I158" i="97"/>
  <c r="I161" i="97" s="1"/>
  <c r="E158" i="97"/>
  <c r="K30" i="97"/>
  <c r="J30" i="97"/>
  <c r="E17" i="97"/>
  <c r="D17" i="97" s="1"/>
  <c r="H30" i="97"/>
  <c r="J14" i="100" s="1"/>
  <c r="I128" i="97"/>
  <c r="I131" i="97" s="1"/>
  <c r="H128" i="97"/>
  <c r="H131" i="97" s="1"/>
  <c r="G128" i="97"/>
  <c r="G131" i="97" s="1"/>
  <c r="J128" i="97"/>
  <c r="J131" i="97" s="1"/>
  <c r="L43" i="97"/>
  <c r="K128" i="97"/>
  <c r="K131" i="97" s="1"/>
  <c r="G13" i="100" l="1"/>
  <c r="G12" i="100" s="1"/>
  <c r="E44" i="97"/>
  <c r="D44" i="97" s="1"/>
  <c r="G61" i="97"/>
  <c r="F61" i="97"/>
  <c r="E43" i="97"/>
  <c r="D43" i="97" s="1"/>
  <c r="E30" i="97"/>
  <c r="D30" i="97" s="1"/>
  <c r="C40" i="100"/>
  <c r="C41" i="100" s="1"/>
  <c r="C42" i="100" s="1"/>
  <c r="M207" i="97"/>
  <c r="C52" i="99" s="1"/>
  <c r="J52" i="99" s="1"/>
  <c r="F75" i="97"/>
  <c r="E75" i="97" s="1"/>
  <c r="D75" i="97" s="1"/>
  <c r="E203" i="97"/>
  <c r="D203" i="97" s="1"/>
  <c r="H33" i="97"/>
  <c r="E204" i="97"/>
  <c r="D204" i="97" s="1"/>
  <c r="F207" i="97"/>
  <c r="I146" i="97"/>
  <c r="E205" i="97"/>
  <c r="D205" i="97" s="1"/>
  <c r="J13" i="98"/>
  <c r="C12" i="98"/>
  <c r="C13" i="98" s="1"/>
  <c r="C14" i="98" s="1"/>
  <c r="F177" i="97"/>
  <c r="J146" i="97"/>
  <c r="G177" i="97"/>
  <c r="K88" i="97"/>
  <c r="J61" i="97"/>
  <c r="K146" i="97"/>
  <c r="E57" i="97"/>
  <c r="D57" i="97" s="1"/>
  <c r="I61" i="97"/>
  <c r="P61" i="97"/>
  <c r="D84" i="97"/>
  <c r="G146" i="97"/>
  <c r="R207" i="97"/>
  <c r="H61" i="97"/>
  <c r="L207" i="97"/>
  <c r="H177" i="97"/>
  <c r="E142" i="97"/>
  <c r="D142" i="97" s="1"/>
  <c r="E173" i="97"/>
  <c r="D173" i="97" s="1"/>
  <c r="I88" i="97"/>
  <c r="I177" i="97"/>
  <c r="L61" i="97"/>
  <c r="H146" i="97"/>
  <c r="U207" i="97"/>
  <c r="J50" i="98"/>
  <c r="C40" i="98"/>
  <c r="AD207" i="97"/>
  <c r="S207" i="97"/>
  <c r="C44" i="98"/>
  <c r="T207" i="97"/>
  <c r="J33" i="97"/>
  <c r="C44" i="100"/>
  <c r="J44" i="100" s="1"/>
  <c r="G33" i="97"/>
  <c r="C12" i="100"/>
  <c r="K33" i="97"/>
  <c r="C46" i="100"/>
  <c r="I33" i="97"/>
  <c r="C35" i="100"/>
  <c r="C36" i="100" s="1"/>
  <c r="H207" i="97"/>
  <c r="J14" i="99" s="1"/>
  <c r="E174" i="97"/>
  <c r="D174" i="97" s="1"/>
  <c r="K116" i="97"/>
  <c r="E116" i="97" s="1"/>
  <c r="D116" i="97" s="1"/>
  <c r="E99" i="97"/>
  <c r="D99" i="97" s="1"/>
  <c r="I102" i="97"/>
  <c r="E102" i="97" s="1"/>
  <c r="D102" i="97" s="1"/>
  <c r="G207" i="97"/>
  <c r="AB207" i="97"/>
  <c r="Q207" i="97"/>
  <c r="C60" i="99" s="1"/>
  <c r="AE207" i="97"/>
  <c r="V207" i="97"/>
  <c r="N207" i="97"/>
  <c r="C54" i="99" s="1"/>
  <c r="J54" i="99" s="1"/>
  <c r="X207" i="97"/>
  <c r="AF207" i="97"/>
  <c r="Y207" i="97"/>
  <c r="AA207" i="97"/>
  <c r="Z207" i="97"/>
  <c r="I207" i="97"/>
  <c r="C35" i="99" s="1"/>
  <c r="C36" i="99" s="1"/>
  <c r="C37" i="99" s="1"/>
  <c r="C38" i="99" s="1"/>
  <c r="C39" i="99" s="1"/>
  <c r="J207" i="97"/>
  <c r="C46" i="99" s="1"/>
  <c r="J46" i="99" s="1"/>
  <c r="W207" i="97"/>
  <c r="O207" i="97"/>
  <c r="C56" i="99" s="1"/>
  <c r="J56" i="99" s="1"/>
  <c r="AC207" i="97"/>
  <c r="K207" i="97"/>
  <c r="C48" i="99" s="1"/>
  <c r="L47" i="97"/>
  <c r="L192" i="97"/>
  <c r="D192" i="97" s="1"/>
  <c r="D72" i="97"/>
  <c r="AG207" i="97"/>
  <c r="P207" i="97"/>
  <c r="C58" i="99" s="1"/>
  <c r="J58" i="99" s="1"/>
  <c r="K47" i="97"/>
  <c r="J47" i="97"/>
  <c r="E58" i="97"/>
  <c r="D58" i="97" s="1"/>
  <c r="E128" i="97"/>
  <c r="D128" i="97" s="1"/>
  <c r="E19" i="97"/>
  <c r="E143" i="97"/>
  <c r="D143" i="97" s="1"/>
  <c r="I47" i="97"/>
  <c r="D85" i="97"/>
  <c r="G47" i="97"/>
  <c r="E112" i="97"/>
  <c r="D112" i="97" s="1"/>
  <c r="E131" i="97"/>
  <c r="D131" i="97" s="1"/>
  <c r="F158" i="97"/>
  <c r="D158" i="97" s="1"/>
  <c r="E161" i="97"/>
  <c r="F47" i="97"/>
  <c r="H47" i="97"/>
  <c r="E88" i="97"/>
  <c r="F161" i="97"/>
  <c r="J60" i="99" l="1"/>
  <c r="E33" i="97"/>
  <c r="D33" i="97" s="1"/>
  <c r="E47" i="97"/>
  <c r="D47" i="97" s="1"/>
  <c r="E61" i="97"/>
  <c r="D61" i="97" s="1"/>
  <c r="E207" i="97"/>
  <c r="C42" i="99"/>
  <c r="C43" i="99" s="1"/>
  <c r="C44" i="99" s="1"/>
  <c r="J13" i="99"/>
  <c r="C12" i="99"/>
  <c r="C13" i="99" s="1"/>
  <c r="C14" i="99" s="1"/>
  <c r="D88" i="97"/>
  <c r="E177" i="97"/>
  <c r="D177" i="97" s="1"/>
  <c r="E146" i="97"/>
  <c r="D146" i="97" s="1"/>
  <c r="C40" i="99"/>
  <c r="D19" i="97"/>
  <c r="C16" i="98"/>
  <c r="C62" i="98" s="1"/>
  <c r="C13" i="100"/>
  <c r="C14" i="100" s="1"/>
  <c r="C37" i="100"/>
  <c r="C16" i="100"/>
  <c r="C17" i="100" s="1"/>
  <c r="D161" i="97"/>
  <c r="C48" i="100" l="1"/>
  <c r="D207" i="97"/>
  <c r="C16" i="99"/>
  <c r="C17" i="98"/>
  <c r="C38" i="100"/>
  <c r="C18" i="100"/>
  <c r="C19" i="100" s="1"/>
  <c r="C17" i="99" l="1"/>
  <c r="C18" i="98"/>
  <c r="C20" i="100"/>
  <c r="C18" i="99" l="1"/>
  <c r="C19" i="98"/>
  <c r="C21" i="100"/>
  <c r="C19" i="99" l="1"/>
  <c r="C20" i="99" s="1"/>
  <c r="C21" i="99" s="1"/>
  <c r="C20" i="98"/>
  <c r="C23" i="100"/>
  <c r="C22" i="100"/>
  <c r="C21" i="98" l="1"/>
  <c r="C22" i="99"/>
  <c r="C24" i="100"/>
  <c r="C23" i="99" l="1"/>
  <c r="C22" i="98"/>
  <c r="C25" i="100"/>
  <c r="C24" i="99" l="1"/>
  <c r="C23" i="98"/>
  <c r="C26" i="100"/>
  <c r="C24" i="98" l="1"/>
  <c r="C25" i="99"/>
  <c r="C27" i="100"/>
  <c r="C25" i="98" l="1"/>
  <c r="C26" i="99"/>
  <c r="C28" i="100"/>
  <c r="C27" i="99" l="1"/>
  <c r="C26" i="98"/>
  <c r="C29" i="100"/>
  <c r="C27" i="98" l="1"/>
  <c r="C28" i="99"/>
  <c r="C30" i="100"/>
  <c r="C29" i="99" l="1"/>
  <c r="C28" i="98"/>
  <c r="C31" i="100"/>
  <c r="C29" i="98" l="1"/>
  <c r="C30" i="99"/>
  <c r="C32" i="100"/>
  <c r="C31" i="99" l="1"/>
  <c r="C30" i="98"/>
  <c r="C33" i="100"/>
  <c r="C31" i="98" l="1"/>
  <c r="C32" i="99"/>
  <c r="C33" i="99" l="1"/>
  <c r="C63" i="99" s="1"/>
  <c r="C32" i="98"/>
  <c r="C33" i="98" l="1"/>
  <c r="G19" i="12" l="1"/>
  <c r="G12" i="98" l="1"/>
  <c r="G16" i="19"/>
  <c r="H11" i="19" l="1"/>
  <c r="H14" i="19"/>
  <c r="H13" i="19"/>
  <c r="H12" i="19"/>
  <c r="R16" i="99"/>
  <c r="G13" i="99" s="1"/>
  <c r="G14" i="13"/>
  <c r="H16" i="19" l="1"/>
  <c r="S13" i="99"/>
  <c r="S16" i="99" s="1"/>
  <c r="G14" i="99" s="1"/>
  <c r="G18" i="13"/>
  <c r="H12" i="13"/>
  <c r="H11" i="13"/>
  <c r="L11" i="13" s="1"/>
  <c r="G12" i="99" l="1"/>
  <c r="G41" i="100"/>
  <c r="J41" i="100" s="1"/>
  <c r="J42" i="100" s="1"/>
  <c r="L12" i="13"/>
  <c r="G42" i="100"/>
  <c r="G38" i="100"/>
  <c r="J38" i="100" s="1"/>
  <c r="G37" i="100" l="1"/>
  <c r="J37" i="100" s="1"/>
  <c r="J36" i="100" s="1"/>
  <c r="G36" i="100"/>
  <c r="C20" i="13" l="1"/>
  <c r="E23" i="12" l="1"/>
  <c r="E20" i="13" l="1"/>
  <c r="G38" i="99"/>
  <c r="G38" i="98"/>
  <c r="F11" i="19" l="1"/>
  <c r="F14" i="19"/>
  <c r="K14" i="19" s="1"/>
  <c r="O11" i="19" l="1"/>
  <c r="G39" i="99"/>
  <c r="J39" i="99" s="1"/>
  <c r="G39" i="98"/>
  <c r="J39" i="98" s="1"/>
  <c r="F12" i="19"/>
  <c r="K12" i="19" s="1"/>
  <c r="O12" i="19" s="1"/>
  <c r="F13" i="19"/>
  <c r="K13" i="19" s="1"/>
  <c r="K16" i="19" l="1"/>
  <c r="Q12" i="19"/>
  <c r="Q11" i="19"/>
  <c r="D15" i="12"/>
  <c r="D11" i="13"/>
  <c r="D12" i="13"/>
  <c r="F16" i="19"/>
  <c r="G40" i="99" l="1"/>
  <c r="J40" i="99" s="1"/>
  <c r="J38" i="99" s="1"/>
  <c r="G40" i="98"/>
  <c r="J40" i="98" s="1"/>
  <c r="J38" i="98" s="1"/>
  <c r="Q13" i="19"/>
  <c r="O14" i="19"/>
  <c r="Q14" i="19"/>
  <c r="O13" i="19"/>
  <c r="D14" i="13"/>
  <c r="H14" i="13"/>
  <c r="J12" i="13"/>
  <c r="J11" i="13"/>
  <c r="M11" i="13" s="1"/>
  <c r="G43" i="98" l="1"/>
  <c r="J43" i="98" s="1"/>
  <c r="J44" i="98" s="1"/>
  <c r="G43" i="99"/>
  <c r="J43" i="99" s="1"/>
  <c r="J44" i="99" s="1"/>
  <c r="M12" i="13"/>
  <c r="G44" i="99"/>
  <c r="G44" i="98"/>
  <c r="J14" i="13"/>
  <c r="J50" i="99" l="1"/>
  <c r="J29" i="102" l="1"/>
  <c r="K11" i="102" l="1"/>
  <c r="K16" i="102"/>
  <c r="K24" i="102"/>
  <c r="K14" i="102"/>
  <c r="O14" i="102" s="1"/>
  <c r="K15" i="102"/>
  <c r="K19" i="102"/>
  <c r="K23" i="102"/>
  <c r="K27" i="102"/>
  <c r="K12" i="102"/>
  <c r="O12" i="102" s="1"/>
  <c r="K20" i="102"/>
  <c r="K13" i="102"/>
  <c r="O13" i="102" s="1"/>
  <c r="K17" i="102"/>
  <c r="K21" i="102"/>
  <c r="K25" i="102"/>
  <c r="K18" i="102"/>
  <c r="K22" i="102"/>
  <c r="K26" i="102"/>
  <c r="G24" i="100" l="1"/>
  <c r="J24" i="100" s="1"/>
  <c r="O18" i="102"/>
  <c r="G30" i="100"/>
  <c r="J30" i="100" s="1"/>
  <c r="O24" i="102"/>
  <c r="G23" i="100"/>
  <c r="J23" i="100" s="1"/>
  <c r="O17" i="102"/>
  <c r="G33" i="100"/>
  <c r="J33" i="100" s="1"/>
  <c r="O27" i="102"/>
  <c r="G29" i="100"/>
  <c r="J29" i="100" s="1"/>
  <c r="O23" i="102"/>
  <c r="G26" i="100"/>
  <c r="J26" i="100" s="1"/>
  <c r="O20" i="102"/>
  <c r="G25" i="100"/>
  <c r="J25" i="100" s="1"/>
  <c r="O19" i="102"/>
  <c r="G22" i="100"/>
  <c r="J22" i="100" s="1"/>
  <c r="O16" i="102"/>
  <c r="G28" i="100"/>
  <c r="J28" i="100" s="1"/>
  <c r="O22" i="102"/>
  <c r="G31" i="100"/>
  <c r="J31" i="100" s="1"/>
  <c r="O25" i="102"/>
  <c r="G32" i="100"/>
  <c r="J32" i="100" s="1"/>
  <c r="O26" i="102"/>
  <c r="G27" i="100"/>
  <c r="J27" i="100" s="1"/>
  <c r="O21" i="102"/>
  <c r="G21" i="100"/>
  <c r="J21" i="100" s="1"/>
  <c r="O15" i="102"/>
  <c r="O11" i="102"/>
  <c r="K29" i="102"/>
  <c r="G19" i="100"/>
  <c r="J19" i="100" s="1"/>
  <c r="M13" i="102"/>
  <c r="P13" i="102" s="1"/>
  <c r="G18" i="100"/>
  <c r="M12" i="102"/>
  <c r="G20" i="100"/>
  <c r="J20" i="100" s="1"/>
  <c r="M14" i="102"/>
  <c r="G17" i="100"/>
  <c r="J17" i="100" s="1"/>
  <c r="M11" i="102"/>
  <c r="M16" i="102"/>
  <c r="M18" i="102"/>
  <c r="M27" i="102"/>
  <c r="M25" i="102"/>
  <c r="M23" i="102"/>
  <c r="P23" i="102" s="1"/>
  <c r="M26" i="102"/>
  <c r="M21" i="102"/>
  <c r="M20" i="102"/>
  <c r="M19" i="102"/>
  <c r="M24" i="102"/>
  <c r="M22" i="102"/>
  <c r="M17" i="102"/>
  <c r="M15" i="102"/>
  <c r="O28" i="102" l="1"/>
  <c r="M29" i="102"/>
  <c r="P15" i="102"/>
  <c r="G21" i="99"/>
  <c r="J21" i="99" s="1"/>
  <c r="G21" i="98"/>
  <c r="J21" i="98" s="1"/>
  <c r="P24" i="102"/>
  <c r="T24" i="102" s="1"/>
  <c r="G30" i="99"/>
  <c r="J30" i="99" s="1"/>
  <c r="G30" i="98"/>
  <c r="J30" i="98" s="1"/>
  <c r="P26" i="102"/>
  <c r="G32" i="99"/>
  <c r="J32" i="99" s="1"/>
  <c r="G32" i="98"/>
  <c r="J32" i="98" s="1"/>
  <c r="P27" i="102"/>
  <c r="G33" i="99"/>
  <c r="J33" i="99" s="1"/>
  <c r="G33" i="98"/>
  <c r="J33" i="98" s="1"/>
  <c r="G18" i="99"/>
  <c r="J18" i="99" s="1"/>
  <c r="G18" i="98"/>
  <c r="J18" i="98" s="1"/>
  <c r="G22" i="99"/>
  <c r="J22" i="99" s="1"/>
  <c r="G22" i="98"/>
  <c r="J22" i="98" s="1"/>
  <c r="P16" i="102"/>
  <c r="G20" i="99"/>
  <c r="G20" i="98"/>
  <c r="J20" i="98" s="1"/>
  <c r="P17" i="102"/>
  <c r="G23" i="99"/>
  <c r="J23" i="99" s="1"/>
  <c r="G23" i="98"/>
  <c r="J23" i="98" s="1"/>
  <c r="P20" i="102"/>
  <c r="G26" i="99"/>
  <c r="J26" i="99" s="1"/>
  <c r="G26" i="98"/>
  <c r="J26" i="98" s="1"/>
  <c r="J18" i="100"/>
  <c r="J46" i="100" s="1"/>
  <c r="J48" i="100" s="1"/>
  <c r="P12" i="102"/>
  <c r="P22" i="102"/>
  <c r="G28" i="99"/>
  <c r="J28" i="99" s="1"/>
  <c r="G28" i="98"/>
  <c r="J28" i="98" s="1"/>
  <c r="P19" i="102"/>
  <c r="G25" i="99"/>
  <c r="J25" i="99" s="1"/>
  <c r="G25" i="98"/>
  <c r="J25" i="98" s="1"/>
  <c r="P21" i="102"/>
  <c r="G27" i="99"/>
  <c r="J27" i="99" s="1"/>
  <c r="G27" i="98"/>
  <c r="J27" i="98" s="1"/>
  <c r="G29" i="99"/>
  <c r="J29" i="99" s="1"/>
  <c r="G29" i="98"/>
  <c r="J29" i="98" s="1"/>
  <c r="P25" i="102"/>
  <c r="G31" i="99"/>
  <c r="J31" i="99" s="1"/>
  <c r="G31" i="98"/>
  <c r="J31" i="98" s="1"/>
  <c r="G17" i="99"/>
  <c r="J17" i="99" s="1"/>
  <c r="G17" i="98"/>
  <c r="J17" i="98" s="1"/>
  <c r="G19" i="99"/>
  <c r="J19" i="99" s="1"/>
  <c r="G19" i="98"/>
  <c r="J19" i="98" s="1"/>
  <c r="P18" i="102"/>
  <c r="G24" i="99"/>
  <c r="J24" i="99" s="1"/>
  <c r="G24" i="98"/>
  <c r="J24" i="98" s="1"/>
  <c r="P11" i="102"/>
  <c r="J48" i="98" l="1"/>
  <c r="P14" i="102"/>
  <c r="P28" i="102" s="1"/>
  <c r="J20" i="99"/>
  <c r="J48" i="99" s="1"/>
  <c r="J63" i="99" s="1"/>
  <c r="J62" i="9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Amanda G Daugherty</author>
  </authors>
  <commentList>
    <comment ref="O8" authorId="0" shapeId="0" xr:uid="{E4560840-4816-48DA-8F7F-51397D489C8E}">
      <text>
        <r>
          <rPr>
            <b/>
            <sz val="9"/>
            <color indexed="81"/>
            <rFont val="Tahoma"/>
            <family val="2"/>
          </rPr>
          <t>Amanda G Daugherty:</t>
        </r>
        <r>
          <rPr>
            <sz val="9"/>
            <color indexed="81"/>
            <rFont val="Tahoma"/>
            <family val="2"/>
          </rPr>
          <t xml:space="preserve">
For NSC purposes, BTL has to mimic O&amp;M percentages. Using the regulated only composite, will break that amount down into service areas, because BTL books to the lowest level, bypassing the admin office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Daugherty, Amanda</author>
    <author>Amanda  Daugherty</author>
  </authors>
  <commentList>
    <comment ref="K7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Daugherty, Amanda:</t>
        </r>
        <r>
          <rPr>
            <sz val="8"/>
            <color indexed="81"/>
            <rFont val="Tahoma"/>
            <family val="2"/>
          </rPr>
          <t xml:space="preserve">
use these for BTL calc-HQ level
</t>
        </r>
      </text>
    </comment>
    <comment ref="O7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Daugherty, Amanda:</t>
        </r>
        <r>
          <rPr>
            <sz val="8"/>
            <color indexed="81"/>
            <rFont val="Tahoma"/>
            <family val="2"/>
          </rPr>
          <t xml:space="preserve">
use these for BTL calc-BTL level
</t>
        </r>
      </text>
    </comment>
    <comment ref="Q7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Daugherty, Amanda:</t>
        </r>
        <r>
          <rPr>
            <sz val="8"/>
            <color indexed="81"/>
            <rFont val="Tahoma"/>
            <family val="2"/>
          </rPr>
          <t xml:space="preserve">
use these for BTL calc-BTL level
</t>
        </r>
      </text>
    </comment>
    <comment ref="O16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Daugherty, Amanda:</t>
        </r>
        <r>
          <rPr>
            <sz val="8"/>
            <color indexed="81"/>
            <rFont val="Tahoma"/>
            <family val="2"/>
          </rPr>
          <t xml:space="preserve">
hard key this in from the BTL file
</t>
        </r>
      </text>
    </comment>
    <comment ref="Q16" authorId="1" shapeId="0" xr:uid="{00000000-0006-0000-0300-000005000000}">
      <text>
        <r>
          <rPr>
            <b/>
            <sz val="9"/>
            <color indexed="81"/>
            <rFont val="Tahoma"/>
            <family val="2"/>
          </rPr>
          <t>Amanda  Daugherty:</t>
        </r>
        <r>
          <rPr>
            <sz val="9"/>
            <color indexed="81"/>
            <rFont val="Tahoma"/>
            <family val="2"/>
          </rPr>
          <t xml:space="preserve">
hard key this in from the BTL file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Daugherty, Amanda</author>
    <author>Amanda  Daugherty</author>
  </authors>
  <commentList>
    <comment ref="K7" authorId="0" shapeId="0" xr:uid="{99BA0D58-68C1-4BAF-A584-4C49C4E33A60}">
      <text>
        <r>
          <rPr>
            <b/>
            <sz val="8"/>
            <color indexed="81"/>
            <rFont val="Tahoma"/>
            <family val="2"/>
          </rPr>
          <t>Daugherty, Amanda:</t>
        </r>
        <r>
          <rPr>
            <sz val="8"/>
            <color indexed="81"/>
            <rFont val="Tahoma"/>
            <family val="2"/>
          </rPr>
          <t xml:space="preserve">
use these for BTL calc-HQ level
</t>
        </r>
      </text>
    </comment>
    <comment ref="O7" authorId="0" shapeId="0" xr:uid="{2A5EF838-370E-4C81-84D9-3B65F322BAB8}">
      <text>
        <r>
          <rPr>
            <b/>
            <sz val="8"/>
            <color indexed="81"/>
            <rFont val="Tahoma"/>
            <family val="2"/>
          </rPr>
          <t>Daugherty, Amanda:</t>
        </r>
        <r>
          <rPr>
            <sz val="8"/>
            <color indexed="81"/>
            <rFont val="Tahoma"/>
            <family val="2"/>
          </rPr>
          <t xml:space="preserve">
use these for BTL calc-BTL level
</t>
        </r>
      </text>
    </comment>
    <comment ref="Q7" authorId="0" shapeId="0" xr:uid="{B781719A-0740-4EDA-BA9B-A03BDC2C2D16}">
      <text>
        <r>
          <rPr>
            <b/>
            <sz val="8"/>
            <color indexed="81"/>
            <rFont val="Tahoma"/>
            <family val="2"/>
          </rPr>
          <t>Daugherty, Amanda:</t>
        </r>
        <r>
          <rPr>
            <sz val="8"/>
            <color indexed="81"/>
            <rFont val="Tahoma"/>
            <family val="2"/>
          </rPr>
          <t xml:space="preserve">
use these for BTL calc-BTL level
</t>
        </r>
      </text>
    </comment>
    <comment ref="O16" authorId="0" shapeId="0" xr:uid="{FCEEFF1E-9428-4F05-B4DB-FC46DA08C49E}">
      <text>
        <r>
          <rPr>
            <b/>
            <sz val="8"/>
            <color indexed="81"/>
            <rFont val="Tahoma"/>
            <family val="2"/>
          </rPr>
          <t>Daugherty, Amanda:</t>
        </r>
        <r>
          <rPr>
            <sz val="8"/>
            <color indexed="81"/>
            <rFont val="Tahoma"/>
            <family val="2"/>
          </rPr>
          <t xml:space="preserve">
hard key this in from the BTL file
</t>
        </r>
      </text>
    </comment>
    <comment ref="Q16" authorId="1" shapeId="0" xr:uid="{AA674039-17BE-4AB1-91BB-2E5F22E0230F}">
      <text>
        <r>
          <rPr>
            <b/>
            <sz val="9"/>
            <color indexed="81"/>
            <rFont val="Tahoma"/>
            <family val="2"/>
          </rPr>
          <t>Amanda  Daugherty:</t>
        </r>
        <r>
          <rPr>
            <sz val="9"/>
            <color indexed="81"/>
            <rFont val="Tahoma"/>
            <family val="2"/>
          </rPr>
          <t xml:space="preserve">
hard key this in from the BTL file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Daugherty, Amanda</author>
    <author>Amanda  Daugherty</author>
  </authors>
  <commentList>
    <comment ref="K7" authorId="0" shapeId="0" xr:uid="{7A625280-952D-496C-AFF7-0ED91A87F16D}">
      <text>
        <r>
          <rPr>
            <b/>
            <sz val="8"/>
            <color indexed="81"/>
            <rFont val="Tahoma"/>
            <family val="2"/>
          </rPr>
          <t>Daugherty, Amanda:</t>
        </r>
        <r>
          <rPr>
            <sz val="8"/>
            <color indexed="81"/>
            <rFont val="Tahoma"/>
            <family val="2"/>
          </rPr>
          <t xml:space="preserve">
use these for BTL calc-HQ level
</t>
        </r>
      </text>
    </comment>
    <comment ref="O7" authorId="0" shapeId="0" xr:uid="{F03B3BD3-14ED-4E83-9766-BF67FCAF6C7B}">
      <text>
        <r>
          <rPr>
            <b/>
            <sz val="8"/>
            <color indexed="81"/>
            <rFont val="Tahoma"/>
            <family val="2"/>
          </rPr>
          <t>Daugherty, Amanda:</t>
        </r>
        <r>
          <rPr>
            <sz val="8"/>
            <color indexed="81"/>
            <rFont val="Tahoma"/>
            <family val="2"/>
          </rPr>
          <t xml:space="preserve">
use these for BTL calc-BTL level
</t>
        </r>
      </text>
    </comment>
    <comment ref="Q7" authorId="0" shapeId="0" xr:uid="{14FB54BF-A052-43C9-8219-5FD50DF2E9A9}">
      <text>
        <r>
          <rPr>
            <b/>
            <sz val="8"/>
            <color indexed="81"/>
            <rFont val="Tahoma"/>
            <family val="2"/>
          </rPr>
          <t>Daugherty, Amanda:</t>
        </r>
        <r>
          <rPr>
            <sz val="8"/>
            <color indexed="81"/>
            <rFont val="Tahoma"/>
            <family val="2"/>
          </rPr>
          <t xml:space="preserve">
use these for BTL calc-BTL level
</t>
        </r>
      </text>
    </comment>
    <comment ref="O16" authorId="0" shapeId="0" xr:uid="{6BB94B89-A767-488E-917E-C8EFE3923053}">
      <text>
        <r>
          <rPr>
            <b/>
            <sz val="8"/>
            <color indexed="81"/>
            <rFont val="Tahoma"/>
            <family val="2"/>
          </rPr>
          <t>Daugherty, Amanda:</t>
        </r>
        <r>
          <rPr>
            <sz val="8"/>
            <color indexed="81"/>
            <rFont val="Tahoma"/>
            <family val="2"/>
          </rPr>
          <t xml:space="preserve">
hard key this in from the BTL file
</t>
        </r>
      </text>
    </comment>
    <comment ref="Q16" authorId="1" shapeId="0" xr:uid="{CC344F4C-F72E-4FCC-9650-6087EC0D813D}">
      <text>
        <r>
          <rPr>
            <b/>
            <sz val="9"/>
            <color indexed="81"/>
            <rFont val="Tahoma"/>
            <family val="2"/>
          </rPr>
          <t>Amanda  Daugherty:</t>
        </r>
        <r>
          <rPr>
            <sz val="9"/>
            <color indexed="81"/>
            <rFont val="Tahoma"/>
            <family val="2"/>
          </rPr>
          <t xml:space="preserve">
hard key this in from the BTL file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Amanda G Daugherty</author>
  </authors>
  <commentList>
    <comment ref="Q8" authorId="0" shapeId="0" xr:uid="{3AC491D8-4791-46B7-B900-1E0A5330AB28}">
      <text>
        <r>
          <rPr>
            <b/>
            <sz val="9"/>
            <color indexed="81"/>
            <rFont val="Tahoma"/>
            <family val="2"/>
          </rPr>
          <t>Amanda G Daugherty:</t>
        </r>
        <r>
          <rPr>
            <sz val="9"/>
            <color indexed="81"/>
            <rFont val="Tahoma"/>
            <family val="2"/>
          </rPr>
          <t xml:space="preserve">
For NSC purposes, BTL has to mimic O&amp;M percentages. Using the regulated only composite, will break that amount down into service areas, because BTL books to the lowest level, bypassing the admin office
</t>
        </r>
      </text>
    </comment>
  </commentList>
</comments>
</file>

<file path=xl/sharedStrings.xml><?xml version="1.0" encoding="utf-8"?>
<sst xmlns="http://schemas.openxmlformats.org/spreadsheetml/2006/main" count="828" uniqueCount="248">
  <si>
    <t>ATMOS ENERGY CORPORATION</t>
  </si>
  <si>
    <t>Total</t>
  </si>
  <si>
    <t>Gross Direct PP&amp;E</t>
  </si>
  <si>
    <t>$</t>
  </si>
  <si>
    <t>Average Number of Customers</t>
  </si>
  <si>
    <t>#</t>
  </si>
  <si>
    <t>%</t>
  </si>
  <si>
    <t>Total O&amp;M Expense</t>
  </si>
  <si>
    <t>A. Composite Allocation Factor:</t>
  </si>
  <si>
    <t>Total Composite Factor</t>
  </si>
  <si>
    <t>CO/KS Div</t>
  </si>
  <si>
    <t>LA Div 007</t>
  </si>
  <si>
    <t>LA Div 077</t>
  </si>
  <si>
    <t>West Tex  Div</t>
  </si>
  <si>
    <t xml:space="preserve">Mid-Tex  Div </t>
  </si>
  <si>
    <t>Total O&amp;M Expense *</t>
  </si>
  <si>
    <t>(* w/o Allocation )</t>
  </si>
  <si>
    <t>Atmos Energy Corporation</t>
  </si>
  <si>
    <t>Calculation of Shared Services Blended Depreciation Rate</t>
  </si>
  <si>
    <t>Tier 1</t>
  </si>
  <si>
    <t>Tier 2</t>
  </si>
  <si>
    <t xml:space="preserve"> </t>
  </si>
  <si>
    <t>Company</t>
  </si>
  <si>
    <t>Rate
Division</t>
  </si>
  <si>
    <t>Allocation
Factor</t>
  </si>
  <si>
    <t>Division 002 Rates Only</t>
  </si>
  <si>
    <t>Includes Utility and Non Utlity companies</t>
  </si>
  <si>
    <t>Division 012 Rates Only</t>
  </si>
  <si>
    <t>09</t>
  </si>
  <si>
    <t xml:space="preserve">Atmos Energy Mid States Div </t>
  </si>
  <si>
    <t xml:space="preserve">Development of Allocation Factors </t>
  </si>
  <si>
    <t>Div #</t>
  </si>
  <si>
    <t>Division Name</t>
  </si>
  <si>
    <t>Percent of MidStates Property</t>
  </si>
  <si>
    <t>Percent of MidStates  O &amp; M</t>
  </si>
  <si>
    <t>Percent of MidStates  Customers</t>
  </si>
  <si>
    <t>MidStates Allocation Percent</t>
  </si>
  <si>
    <t>(1)</t>
  </si>
  <si>
    <t>(2)</t>
  </si>
  <si>
    <t>(3)</t>
  </si>
  <si>
    <t>(4)</t>
  </si>
  <si>
    <t>(5)</t>
  </si>
  <si>
    <t>(6)</t>
  </si>
  <si>
    <t>(7)</t>
  </si>
  <si>
    <t>TENNESSEE</t>
  </si>
  <si>
    <t>VIRGINIA</t>
  </si>
  <si>
    <t>KENTUCKY</t>
  </si>
  <si>
    <t>CO/KS Division</t>
  </si>
  <si>
    <t>Development of Allocation Factors</t>
  </si>
  <si>
    <t>CO/KS Allocations Percent</t>
  </si>
  <si>
    <t>Colorado ADM Division</t>
  </si>
  <si>
    <t>KS Division</t>
  </si>
  <si>
    <t xml:space="preserve">Atmos Energy WTX  </t>
  </si>
  <si>
    <t>Percent of WTX Property</t>
  </si>
  <si>
    <t>Percent of WTX  O &amp; M</t>
  </si>
  <si>
    <t>Percent of WTX  Customers</t>
  </si>
  <si>
    <t>WTX Allocation Percent</t>
  </si>
  <si>
    <t>Amarillo Transmission</t>
  </si>
  <si>
    <t>Amarillo Distribution</t>
  </si>
  <si>
    <t>Fritch-Sanford Distrib.</t>
  </si>
  <si>
    <t>West Texas Distribution</t>
  </si>
  <si>
    <t>Dalhart Distribution</t>
  </si>
  <si>
    <t>Fain Line</t>
  </si>
  <si>
    <t>Amarillo Rural Distribution</t>
  </si>
  <si>
    <t>Non Regulated Industrial</t>
  </si>
  <si>
    <t>Regulated Industrial</t>
  </si>
  <si>
    <t>Lubbock City Plant</t>
  </si>
  <si>
    <t>Dalhart Rural Distrib.</t>
  </si>
  <si>
    <t>Dalhart Rural Irrigation</t>
  </si>
  <si>
    <t>Triangle Pipeline</t>
  </si>
  <si>
    <t>Lubbock OCL</t>
  </si>
  <si>
    <t>West Texas Rural Distrib.</t>
  </si>
  <si>
    <t>Energas CNG</t>
  </si>
  <si>
    <t>Div 012</t>
  </si>
  <si>
    <t>Div 002</t>
  </si>
  <si>
    <t>Percent of Greeley Property</t>
  </si>
  <si>
    <t>Percent of Greeley  O &amp; M</t>
  </si>
  <si>
    <t>Percent of Greeley Customers</t>
  </si>
  <si>
    <t>UTILITY ONLY</t>
  </si>
  <si>
    <t>ALL COMPANIES</t>
  </si>
  <si>
    <t>REGULATED ONLY</t>
  </si>
  <si>
    <t>Mississippi Div</t>
  </si>
  <si>
    <t>Kentucky/ MidStates Div</t>
  </si>
  <si>
    <t>Atmos P/L</t>
  </si>
  <si>
    <t>WKG Storage</t>
  </si>
  <si>
    <t>AGC</t>
  </si>
  <si>
    <t>TLGP</t>
  </si>
  <si>
    <t>Colorado Division # 31</t>
  </si>
  <si>
    <t>CO Div  Allocations Percent</t>
  </si>
  <si>
    <t>Greeley</t>
  </si>
  <si>
    <t>NW Colorado</t>
  </si>
  <si>
    <t>Fremont County</t>
  </si>
  <si>
    <t>Durango</t>
  </si>
  <si>
    <t>WT MS COKS</t>
  </si>
  <si>
    <t>LA</t>
  </si>
  <si>
    <t>Texas only</t>
  </si>
  <si>
    <t>Atmos 6</t>
  </si>
  <si>
    <t>***taking all the costs out of 030 to the other divisions</t>
  </si>
  <si>
    <t>West Texas Irrigation</t>
  </si>
  <si>
    <t>COLORADO, LOUISIANA &amp; MISSISSIPPI</t>
  </si>
  <si>
    <t>Atmos Power Sys</t>
  </si>
  <si>
    <t>AP&amp;S</t>
  </si>
  <si>
    <t>UCG Storage</t>
  </si>
  <si>
    <t>TLGS</t>
  </si>
  <si>
    <t>Phoenix Gas</t>
  </si>
  <si>
    <t>Egasco</t>
  </si>
  <si>
    <t>AEP</t>
  </si>
  <si>
    <t>AEH</t>
  </si>
  <si>
    <t>COB's</t>
  </si>
  <si>
    <t>BTL</t>
  </si>
  <si>
    <t>HQ's</t>
  </si>
  <si>
    <t>REGULATED AND 303 (TLGP)</t>
  </si>
  <si>
    <t xml:space="preserve">WEST TEXAS and MID TEX </t>
  </si>
  <si>
    <t>Utilities + TLIG (No APT)</t>
  </si>
  <si>
    <t>091DIV</t>
  </si>
  <si>
    <t>subtotal</t>
  </si>
  <si>
    <t>difference</t>
  </si>
  <si>
    <t>095DIV</t>
  </si>
  <si>
    <t>total 050</t>
  </si>
  <si>
    <t>difference 2</t>
  </si>
  <si>
    <t>total 060</t>
  </si>
  <si>
    <t>030DIV</t>
  </si>
  <si>
    <t>Total 030</t>
  </si>
  <si>
    <t>010DIV</t>
  </si>
  <si>
    <t>10A03</t>
  </si>
  <si>
    <t>10A04</t>
  </si>
  <si>
    <t>10A05</t>
  </si>
  <si>
    <t>10A06</t>
  </si>
  <si>
    <t>10A08</t>
  </si>
  <si>
    <t>10A13</t>
  </si>
  <si>
    <t>10A14</t>
  </si>
  <si>
    <t>10A15</t>
  </si>
  <si>
    <t>10A16</t>
  </si>
  <si>
    <t>10A18</t>
  </si>
  <si>
    <t>10A19</t>
  </si>
  <si>
    <t>10A20</t>
  </si>
  <si>
    <t>10A21</t>
  </si>
  <si>
    <t>10C03</t>
  </si>
  <si>
    <t>10C04</t>
  </si>
  <si>
    <t>10C05</t>
  </si>
  <si>
    <t>10C06</t>
  </si>
  <si>
    <t>10C08</t>
  </si>
  <si>
    <t>10C13</t>
  </si>
  <si>
    <t>10C14</t>
  </si>
  <si>
    <t>10C15</t>
  </si>
  <si>
    <t>10C16</t>
  </si>
  <si>
    <t>10C18</t>
  </si>
  <si>
    <t>10C20</t>
  </si>
  <si>
    <t>10C21</t>
  </si>
  <si>
    <t>30A31</t>
  </si>
  <si>
    <t>30A81</t>
  </si>
  <si>
    <t>30C31</t>
  </si>
  <si>
    <t>30C81</t>
  </si>
  <si>
    <t>91C09</t>
  </si>
  <si>
    <t>91C93</t>
  </si>
  <si>
    <t>91C96</t>
  </si>
  <si>
    <t>91O09</t>
  </si>
  <si>
    <t>91O93</t>
  </si>
  <si>
    <t>91O96</t>
  </si>
  <si>
    <t>31A33</t>
  </si>
  <si>
    <t>31A34</t>
  </si>
  <si>
    <t>31A35</t>
  </si>
  <si>
    <t>31A36</t>
  </si>
  <si>
    <t>round cust %</t>
  </si>
  <si>
    <t>Alloc %</t>
  </si>
  <si>
    <t>31C33</t>
  </si>
  <si>
    <t>31C34</t>
  </si>
  <si>
    <t>31C35</t>
  </si>
  <si>
    <t>31C36</t>
  </si>
  <si>
    <t>COB33</t>
  </si>
  <si>
    <t>COB34</t>
  </si>
  <si>
    <t>COB35</t>
  </si>
  <si>
    <t>COB36</t>
  </si>
  <si>
    <t>HQB33</t>
  </si>
  <si>
    <t>HQB34</t>
  </si>
  <si>
    <t>HQB35</t>
  </si>
  <si>
    <t>HQB36</t>
  </si>
  <si>
    <t>10C19</t>
  </si>
  <si>
    <t>Atmos Energy Svcs</t>
  </si>
  <si>
    <t>APT &amp; TLGP for CC1155 only</t>
  </si>
  <si>
    <t>these roll up into div 031</t>
  </si>
  <si>
    <t>rounding</t>
  </si>
  <si>
    <t>Total LA</t>
  </si>
  <si>
    <t>LA Customers</t>
  </si>
  <si>
    <t>Division 002 Rates Only (Excluding APT)</t>
  </si>
  <si>
    <t>Total from above</t>
  </si>
  <si>
    <t>STAT Sub account</t>
  </si>
  <si>
    <t>STAT Sub account for customers</t>
  </si>
  <si>
    <t>STAT sub account for customers</t>
  </si>
  <si>
    <t>Atmos 6 + TLGP (No APT or MidTex)</t>
  </si>
  <si>
    <t>Lowest Level</t>
  </si>
  <si>
    <t>10A17</t>
  </si>
  <si>
    <t>rounded customer</t>
  </si>
  <si>
    <t>rounded comp</t>
  </si>
  <si>
    <t>round customer</t>
  </si>
  <si>
    <t>round comp</t>
  </si>
  <si>
    <t>Plant</t>
  </si>
  <si>
    <t>Customers</t>
  </si>
  <si>
    <t>O&amp;M</t>
  </si>
  <si>
    <t>BTL33</t>
  </si>
  <si>
    <t>BTL34</t>
  </si>
  <si>
    <t>BTL35</t>
  </si>
  <si>
    <t>BTL36</t>
  </si>
  <si>
    <t>STAT sub account</t>
  </si>
  <si>
    <t>All companies excluding APT (for AEAM)</t>
  </si>
  <si>
    <t xml:space="preserve">Div 007 </t>
  </si>
  <si>
    <t>Div 077</t>
  </si>
  <si>
    <t>AELIG</t>
  </si>
  <si>
    <t>TLGP Rollup</t>
  </si>
  <si>
    <t>UCGS-Barnsley</t>
  </si>
  <si>
    <t>WKGS-E.Diamond</t>
  </si>
  <si>
    <t>NEW Hierarchy</t>
  </si>
  <si>
    <r>
      <t xml:space="preserve">Includes </t>
    </r>
    <r>
      <rPr>
        <b/>
        <sz val="10"/>
        <rFont val="Arial"/>
        <family val="2"/>
      </rPr>
      <t xml:space="preserve">UTILITY </t>
    </r>
    <r>
      <rPr>
        <sz val="10"/>
        <rFont val="Arial"/>
        <family val="2"/>
      </rPr>
      <t>companies</t>
    </r>
  </si>
  <si>
    <t>303/234/231/236</t>
  </si>
  <si>
    <t>Holding Rollup</t>
  </si>
  <si>
    <t>312/221/237/302/306</t>
  </si>
  <si>
    <t>Totals</t>
  </si>
  <si>
    <t>Rounding for column K</t>
  </si>
  <si>
    <t>rounded for column H</t>
  </si>
  <si>
    <t>rounded for column J</t>
  </si>
  <si>
    <t>Rounding for column H</t>
  </si>
  <si>
    <t>Rounding for column J</t>
  </si>
  <si>
    <t>Rounding for column M</t>
  </si>
  <si>
    <t>***taking all the costs out of 010DIV and sending to the other divisions</t>
  </si>
  <si>
    <t>Follows planning and budgeting OH cap rate /reporting company hierarchy</t>
  </si>
  <si>
    <t>Effective October 1, 2020</t>
  </si>
  <si>
    <t>Allocation of Atmos Corporate (Co. # 10) Cost Based on 12 Month Period Ended 9/30/20</t>
  </si>
  <si>
    <t>Total Composite Factor for FY 2021</t>
  </si>
  <si>
    <t>Sept ' 20 Direct Property Plant &amp; Equipment</t>
  </si>
  <si>
    <t>YE Sept '20 Total O &amp;M w/o 922</t>
  </si>
  <si>
    <t>YE Sept '20 Avg Number of Customers</t>
  </si>
  <si>
    <t>YE Sept '20 Number of Customers</t>
  </si>
  <si>
    <t>rolls up to 033</t>
  </si>
  <si>
    <t>Below the line NSC only</t>
  </si>
  <si>
    <t xml:space="preserve">SSU to LL </t>
  </si>
  <si>
    <t>BTL05</t>
  </si>
  <si>
    <t>BTL19</t>
  </si>
  <si>
    <t>NSC (9229) stat name</t>
  </si>
  <si>
    <t>BTL09</t>
  </si>
  <si>
    <t>BTL93</t>
  </si>
  <si>
    <t>BTL96</t>
  </si>
  <si>
    <t>total regulated only composite for COKS</t>
  </si>
  <si>
    <t>Co/Ks Composite</t>
  </si>
  <si>
    <t>Colorado</t>
  </si>
  <si>
    <t>Kansas</t>
  </si>
  <si>
    <t>BTL81</t>
  </si>
  <si>
    <t>BTL08</t>
  </si>
  <si>
    <t>CC1910 OH Capitalized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</si>
</sst>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0%"/>
    <numFmt numFmtId="167" formatCode="000"/>
    <numFmt numFmtId="168" formatCode="#,##0.000_);[Red]\(#,##0.000\)"/>
    <numFmt numFmtId="169" formatCode="0.00000"/>
    <numFmt numFmtId="170" formatCode="#,##0.00000_);[Red]\(#,##0.00000\)"/>
    <numFmt numFmtId="171" formatCode="0.0000"/>
    <numFmt numFmtId="172" formatCode="0.00000_);[Red]\(0.00000\)"/>
    <numFmt numFmtId="173" formatCode="0.000000%"/>
    <numFmt numFmtId="174" formatCode="0.00000000%"/>
    <numFmt numFmtId="175" formatCode="_(* #,##0.0000000_);_(* \(#,##0.0000000\);_(* &quot;-&quot;??_);_(@_)"/>
    <numFmt numFmtId="176" formatCode="0.000000"/>
    <numFmt numFmtId="177" formatCode="00000"/>
    <numFmt numFmtId="178" formatCode="0.0000%"/>
    <numFmt numFmtId="179" formatCode="###,000"/>
    <numFmt numFmtId="180" formatCode="0.0000000%"/>
    <numFmt numFmtId="181" formatCode="0000"/>
    <numFmt numFmtId="182" formatCode="000000"/>
  </numFmts>
  <fonts count="3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56"/>
      <name val="Times New Roman"/>
      <family val="1"/>
    </font>
    <font>
      <u/>
      <sz val="10"/>
      <name val="Times New Roman"/>
      <family val="1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10"/>
      <name val="Arial"/>
      <family val="2"/>
    </font>
    <font>
      <sz val="6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9"/>
      <color rgb="FF000000"/>
      <name val="Tahoma"/>
      <family val="2"/>
    </font>
    <font>
      <sz val="1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C9C9CB"/>
      </left>
      <right/>
      <top/>
      <bottom/>
      <diagonal/>
    </border>
  </borders>
  <cellStyleXfs count="38">
    <xf numFmtId="0" fontId="0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9" fillId="0" borderId="0"/>
    <xf numFmtId="40" fontId="12" fillId="2" borderId="0">
      <alignment horizontal="right"/>
    </xf>
    <xf numFmtId="9" fontId="1" fillId="0" borderId="0" applyFont="0" applyFill="0" applyBorder="0" applyAlignment="0" applyProtection="0"/>
    <xf numFmtId="0" fontId="1" fillId="0" borderId="0"/>
    <xf numFmtId="0" fontId="25" fillId="0" borderId="0"/>
    <xf numFmtId="43" fontId="25" fillId="0" borderId="0" applyFont="0" applyFill="0" applyBorder="0" applyAlignment="0" applyProtection="0"/>
    <xf numFmtId="0" fontId="28" fillId="0" borderId="17" applyNumberFormat="0" applyFont="0" applyFill="0" applyAlignment="0" applyProtection="0"/>
    <xf numFmtId="179" fontId="29" fillId="0" borderId="18" applyNumberFormat="0" applyProtection="0">
      <alignment horizontal="right" vertical="center"/>
    </xf>
    <xf numFmtId="179" fontId="30" fillId="0" borderId="19" applyNumberFormat="0" applyProtection="0">
      <alignment horizontal="right" vertical="center"/>
    </xf>
    <xf numFmtId="0" fontId="30" fillId="10" borderId="17" applyNumberFormat="0" applyAlignment="0" applyProtection="0">
      <alignment horizontal="left" vertical="center" indent="1"/>
    </xf>
    <xf numFmtId="0" fontId="31" fillId="11" borderId="19" applyNumberFormat="0" applyAlignment="0" applyProtection="0">
      <alignment horizontal="left" vertical="center" indent="1"/>
    </xf>
    <xf numFmtId="0" fontId="31" fillId="11" borderId="19" applyNumberFormat="0" applyAlignment="0" applyProtection="0">
      <alignment horizontal="left" vertical="center" indent="1"/>
    </xf>
    <xf numFmtId="0" fontId="32" fillId="0" borderId="20" applyNumberFormat="0" applyFill="0" applyBorder="0" applyAlignment="0" applyProtection="0"/>
    <xf numFmtId="179" fontId="33" fillId="12" borderId="21" applyNumberFormat="0" applyBorder="0" applyAlignment="0" applyProtection="0">
      <alignment horizontal="right" vertical="center" indent="1"/>
    </xf>
    <xf numFmtId="179" fontId="34" fillId="13" borderId="21" applyNumberFormat="0" applyBorder="0" applyAlignment="0" applyProtection="0">
      <alignment horizontal="right" vertical="center" indent="1"/>
    </xf>
    <xf numFmtId="179" fontId="34" fillId="14" borderId="21" applyNumberFormat="0" applyBorder="0" applyAlignment="0" applyProtection="0">
      <alignment horizontal="right" vertical="center" indent="1"/>
    </xf>
    <xf numFmtId="179" fontId="35" fillId="15" borderId="21" applyNumberFormat="0" applyBorder="0" applyAlignment="0" applyProtection="0">
      <alignment horizontal="right" vertical="center" indent="1"/>
    </xf>
    <xf numFmtId="179" fontId="35" fillId="16" borderId="21" applyNumberFormat="0" applyBorder="0" applyAlignment="0" applyProtection="0">
      <alignment horizontal="right" vertical="center" indent="1"/>
    </xf>
    <xf numFmtId="179" fontId="35" fillId="17" borderId="21" applyNumberFormat="0" applyBorder="0" applyAlignment="0" applyProtection="0">
      <alignment horizontal="right" vertical="center" indent="1"/>
    </xf>
    <xf numFmtId="179" fontId="36" fillId="18" borderId="21" applyNumberFormat="0" applyBorder="0" applyAlignment="0" applyProtection="0">
      <alignment horizontal="right" vertical="center" indent="1"/>
    </xf>
    <xf numFmtId="179" fontId="36" fillId="19" borderId="21" applyNumberFormat="0" applyBorder="0" applyAlignment="0" applyProtection="0">
      <alignment horizontal="right" vertical="center" indent="1"/>
    </xf>
    <xf numFmtId="179" fontId="36" fillId="20" borderId="21" applyNumberFormat="0" applyBorder="0" applyAlignment="0" applyProtection="0">
      <alignment horizontal="right" vertical="center" indent="1"/>
    </xf>
    <xf numFmtId="0" fontId="31" fillId="21" borderId="17" applyNumberFormat="0" applyAlignment="0" applyProtection="0">
      <alignment horizontal="left" vertical="center" indent="1"/>
    </xf>
    <xf numFmtId="0" fontId="31" fillId="22" borderId="17" applyNumberFormat="0" applyAlignment="0" applyProtection="0">
      <alignment horizontal="left" vertical="center" indent="1"/>
    </xf>
    <xf numFmtId="0" fontId="31" fillId="23" borderId="17" applyNumberFormat="0" applyAlignment="0" applyProtection="0">
      <alignment horizontal="left" vertical="center" indent="1"/>
    </xf>
    <xf numFmtId="0" fontId="31" fillId="24" borderId="17" applyNumberFormat="0" applyAlignment="0" applyProtection="0">
      <alignment horizontal="left" vertical="center" indent="1"/>
    </xf>
    <xf numFmtId="0" fontId="31" fillId="25" borderId="19" applyNumberFormat="0" applyAlignment="0" applyProtection="0">
      <alignment horizontal="left" vertical="center" indent="1"/>
    </xf>
    <xf numFmtId="179" fontId="29" fillId="24" borderId="18" applyNumberFormat="0" applyBorder="0" applyProtection="0">
      <alignment horizontal="right" vertical="center"/>
    </xf>
    <xf numFmtId="179" fontId="30" fillId="24" borderId="19" applyNumberFormat="0" applyBorder="0" applyProtection="0">
      <alignment horizontal="right" vertical="center"/>
    </xf>
    <xf numFmtId="179" fontId="29" fillId="26" borderId="17" applyNumberFormat="0" applyAlignment="0" applyProtection="0">
      <alignment horizontal="left" vertical="center" indent="1"/>
    </xf>
    <xf numFmtId="0" fontId="30" fillId="10" borderId="19" applyNumberFormat="0" applyAlignment="0" applyProtection="0">
      <alignment horizontal="left" vertical="center" indent="1"/>
    </xf>
    <xf numFmtId="0" fontId="31" fillId="25" borderId="19" applyNumberFormat="0" applyAlignment="0" applyProtection="0">
      <alignment horizontal="left" vertical="center" indent="1"/>
    </xf>
    <xf numFmtId="179" fontId="30" fillId="25" borderId="19" applyNumberFormat="0" applyProtection="0">
      <alignment horizontal="right" vertical="center"/>
    </xf>
  </cellStyleXfs>
  <cellXfs count="303">
    <xf numFmtId="0" fontId="0" fillId="0" borderId="0" xfId="0"/>
    <xf numFmtId="164" fontId="5" fillId="0" borderId="0" xfId="1" applyNumberFormat="1" applyFont="1" applyFill="1" applyBorder="1"/>
    <xf numFmtId="0" fontId="2" fillId="0" borderId="0" xfId="1" quotePrefix="1" applyNumberFormat="1" applyFont="1" applyFill="1" applyAlignment="1">
      <alignment horizontal="left"/>
    </xf>
    <xf numFmtId="0" fontId="2" fillId="0" borderId="0" xfId="1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0" xfId="1" applyNumberFormat="1" applyFont="1" applyFill="1"/>
    <xf numFmtId="0" fontId="2" fillId="0" borderId="1" xfId="0" applyFont="1" applyFill="1" applyBorder="1" applyAlignment="1">
      <alignment horizontal="center" wrapText="1"/>
    </xf>
    <xf numFmtId="0" fontId="0" fillId="0" borderId="0" xfId="0" applyFill="1"/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/>
    <xf numFmtId="9" fontId="3" fillId="0" borderId="0" xfId="7" applyFont="1" applyFill="1"/>
    <xf numFmtId="10" fontId="6" fillId="0" borderId="0" xfId="7" applyNumberFormat="1" applyFont="1" applyFill="1" applyBorder="1"/>
    <xf numFmtId="9" fontId="3" fillId="0" borderId="0" xfId="7" applyFont="1" applyFill="1" applyBorder="1"/>
    <xf numFmtId="40" fontId="2" fillId="0" borderId="0" xfId="0" applyNumberFormat="1" applyFont="1" applyFill="1"/>
    <xf numFmtId="164" fontId="7" fillId="0" borderId="0" xfId="1" applyNumberFormat="1" applyFont="1" applyFill="1" applyBorder="1"/>
    <xf numFmtId="49" fontId="4" fillId="0" borderId="0" xfId="1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74" fontId="1" fillId="0" borderId="0" xfId="7" applyNumberFormat="1" applyFill="1"/>
    <xf numFmtId="174" fontId="10" fillId="0" borderId="0" xfId="7" applyNumberFormat="1" applyFont="1" applyFill="1" applyBorder="1" applyAlignment="1">
      <alignment horizontal="centerContinuous"/>
    </xf>
    <xf numFmtId="174" fontId="1" fillId="0" borderId="0" xfId="7" applyNumberFormat="1" applyFill="1" applyBorder="1"/>
    <xf numFmtId="174" fontId="10" fillId="0" borderId="0" xfId="7" applyNumberFormat="1" applyFont="1" applyFill="1" applyBorder="1" applyAlignment="1">
      <alignment horizontal="center" wrapText="1"/>
    </xf>
    <xf numFmtId="174" fontId="1" fillId="0" borderId="0" xfId="7" applyNumberFormat="1" applyFont="1" applyFill="1" applyBorder="1" applyAlignment="1">
      <alignment horizontal="center" wrapText="1"/>
    </xf>
    <xf numFmtId="10" fontId="1" fillId="0" borderId="0" xfId="7" applyNumberFormat="1" applyFill="1"/>
    <xf numFmtId="10" fontId="1" fillId="0" borderId="7" xfId="7" applyNumberFormat="1" applyFill="1" applyBorder="1"/>
    <xf numFmtId="10" fontId="1" fillId="0" borderId="0" xfId="7" applyNumberFormat="1" applyFill="1" applyBorder="1"/>
    <xf numFmtId="173" fontId="1" fillId="0" borderId="0" xfId="7" applyNumberFormat="1" applyFill="1" applyBorder="1"/>
    <xf numFmtId="10" fontId="1" fillId="0" borderId="12" xfId="7" applyNumberFormat="1" applyFill="1" applyBorder="1"/>
    <xf numFmtId="167" fontId="0" fillId="0" borderId="7" xfId="0" applyNumberFormat="1" applyFill="1" applyBorder="1"/>
    <xf numFmtId="10" fontId="1" fillId="0" borderId="3" xfId="7" applyNumberFormat="1" applyFill="1" applyBorder="1"/>
    <xf numFmtId="173" fontId="1" fillId="0" borderId="0" xfId="7" applyNumberFormat="1" applyFill="1"/>
    <xf numFmtId="0" fontId="2" fillId="0" borderId="0" xfId="0" applyFont="1" applyFill="1" applyAlignment="1">
      <alignment horizontal="centerContinuous"/>
    </xf>
    <xf numFmtId="164" fontId="2" fillId="0" borderId="0" xfId="0" applyNumberFormat="1" applyFont="1" applyFill="1"/>
    <xf numFmtId="40" fontId="0" fillId="0" borderId="0" xfId="0" applyNumberFormat="1" applyFill="1"/>
    <xf numFmtId="174" fontId="1" fillId="0" borderId="0" xfId="7" applyNumberFormat="1" applyFont="1" applyFill="1"/>
    <xf numFmtId="164" fontId="3" fillId="0" borderId="0" xfId="1" applyNumberFormat="1" applyFont="1" applyFill="1" applyAlignment="1">
      <alignment horizontal="centerContinuous"/>
    </xf>
    <xf numFmtId="49" fontId="3" fillId="0" borderId="0" xfId="1" applyNumberFormat="1" applyFont="1" applyFill="1" applyAlignment="1">
      <alignment horizontal="centerContinuous"/>
    </xf>
    <xf numFmtId="49" fontId="3" fillId="0" borderId="0" xfId="1" applyNumberFormat="1" applyFont="1" applyFill="1" applyAlignment="1">
      <alignment horizontal="left"/>
    </xf>
    <xf numFmtId="164" fontId="2" fillId="0" borderId="0" xfId="1" applyNumberFormat="1" applyFont="1" applyFill="1" applyAlignment="1"/>
    <xf numFmtId="0" fontId="8" fillId="0" borderId="0" xfId="0" quotePrefix="1" applyFont="1" applyFill="1" applyBorder="1" applyAlignment="1">
      <alignment horizontal="left"/>
    </xf>
    <xf numFmtId="0" fontId="1" fillId="0" borderId="0" xfId="0" applyFont="1" applyFill="1"/>
    <xf numFmtId="0" fontId="2" fillId="0" borderId="0" xfId="0" applyFont="1" applyFill="1" applyBorder="1"/>
    <xf numFmtId="164" fontId="2" fillId="0" borderId="0" xfId="1" applyNumberFormat="1" applyFont="1" applyFill="1" applyBorder="1"/>
    <xf numFmtId="0" fontId="2" fillId="0" borderId="0" xfId="1" applyNumberFormat="1" applyFont="1" applyFill="1" applyAlignment="1">
      <alignment horizontal="left"/>
    </xf>
    <xf numFmtId="164" fontId="6" fillId="0" borderId="0" xfId="1" applyNumberFormat="1" applyFont="1" applyFill="1" applyBorder="1"/>
    <xf numFmtId="0" fontId="2" fillId="0" borderId="0" xfId="0" quotePrefix="1" applyFont="1" applyFill="1" applyAlignment="1">
      <alignment horizontal="left"/>
    </xf>
    <xf numFmtId="164" fontId="2" fillId="0" borderId="0" xfId="0" applyNumberFormat="1" applyFont="1" applyFill="1" applyBorder="1"/>
    <xf numFmtId="9" fontId="3" fillId="0" borderId="0" xfId="7" quotePrefix="1" applyFont="1" applyFill="1" applyAlignment="1">
      <alignment horizontal="left"/>
    </xf>
    <xf numFmtId="10" fontId="6" fillId="0" borderId="0" xfId="1" applyNumberFormat="1" applyFont="1" applyFill="1" applyBorder="1"/>
    <xf numFmtId="40" fontId="4" fillId="0" borderId="0" xfId="1" applyNumberFormat="1" applyFont="1" applyFill="1" applyAlignment="1">
      <alignment horizontal="center"/>
    </xf>
    <xf numFmtId="40" fontId="6" fillId="0" borderId="0" xfId="7" applyNumberFormat="1" applyFont="1" applyFill="1" applyBorder="1"/>
    <xf numFmtId="40" fontId="2" fillId="0" borderId="0" xfId="1" applyNumberFormat="1" applyFont="1" applyFill="1"/>
    <xf numFmtId="0" fontId="0" fillId="0" borderId="12" xfId="0" applyFill="1" applyBorder="1"/>
    <xf numFmtId="0" fontId="0" fillId="0" borderId="12" xfId="0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 wrapText="1"/>
    </xf>
    <xf numFmtId="0" fontId="10" fillId="0" borderId="0" xfId="0" quotePrefix="1" applyFont="1" applyFill="1" applyAlignment="1">
      <alignment horizontal="center" wrapText="1"/>
    </xf>
    <xf numFmtId="0" fontId="10" fillId="0" borderId="0" xfId="0" applyFont="1" applyFill="1"/>
    <xf numFmtId="43" fontId="1" fillId="0" borderId="0" xfId="1" applyFill="1"/>
    <xf numFmtId="170" fontId="0" fillId="0" borderId="0" xfId="0" applyNumberFormat="1" applyFill="1"/>
    <xf numFmtId="172" fontId="0" fillId="0" borderId="0" xfId="0" applyNumberFormat="1" applyFill="1"/>
    <xf numFmtId="172" fontId="10" fillId="0" borderId="0" xfId="0" applyNumberFormat="1" applyFont="1" applyFill="1"/>
    <xf numFmtId="0" fontId="0" fillId="0" borderId="0" xfId="0" applyFill="1" applyAlignment="1">
      <alignment horizontal="right"/>
    </xf>
    <xf numFmtId="37" fontId="0" fillId="0" borderId="0" xfId="0" applyNumberFormat="1" applyFill="1"/>
    <xf numFmtId="0" fontId="0" fillId="0" borderId="0" xfId="0" applyFill="1" applyAlignment="1">
      <alignment wrapText="1"/>
    </xf>
    <xf numFmtId="3" fontId="0" fillId="0" borderId="0" xfId="0" applyNumberFormat="1" applyFill="1"/>
    <xf numFmtId="170" fontId="0" fillId="0" borderId="12" xfId="0" applyNumberFormat="1" applyFill="1" applyBorder="1"/>
    <xf numFmtId="0" fontId="10" fillId="0" borderId="12" xfId="0" applyFont="1" applyFill="1" applyBorder="1"/>
    <xf numFmtId="164" fontId="2" fillId="0" borderId="1" xfId="1" applyNumberFormat="1" applyFont="1" applyFill="1" applyBorder="1" applyAlignment="1">
      <alignment horizontal="center"/>
    </xf>
    <xf numFmtId="164" fontId="14" fillId="0" borderId="1" xfId="1" applyNumberFormat="1" applyFont="1" applyFill="1" applyBorder="1"/>
    <xf numFmtId="164" fontId="14" fillId="0" borderId="14" xfId="1" applyNumberFormat="1" applyFont="1" applyFill="1" applyBorder="1"/>
    <xf numFmtId="10" fontId="3" fillId="0" borderId="1" xfId="7" applyNumberFormat="1" applyFont="1" applyFill="1" applyBorder="1"/>
    <xf numFmtId="10" fontId="3" fillId="0" borderId="1" xfId="1" applyNumberFormat="1" applyFont="1" applyFill="1" applyBorder="1"/>
    <xf numFmtId="10" fontId="3" fillId="0" borderId="14" xfId="7" applyNumberFormat="1" applyFont="1" applyFill="1" applyBorder="1"/>
    <xf numFmtId="10" fontId="3" fillId="0" borderId="0" xfId="7" applyNumberFormat="1" applyFont="1" applyFill="1" applyBorder="1"/>
    <xf numFmtId="10" fontId="3" fillId="0" borderId="0" xfId="1" applyNumberFormat="1" applyFont="1" applyFill="1" applyBorder="1"/>
    <xf numFmtId="40" fontId="2" fillId="0" borderId="0" xfId="0" applyNumberFormat="1" applyFont="1" applyFill="1" applyBorder="1"/>
    <xf numFmtId="10" fontId="2" fillId="0" borderId="0" xfId="7" applyNumberFormat="1" applyFont="1" applyFill="1"/>
    <xf numFmtId="168" fontId="2" fillId="0" borderId="0" xfId="0" applyNumberFormat="1" applyFont="1" applyFill="1"/>
    <xf numFmtId="38" fontId="0" fillId="0" borderId="0" xfId="0" applyNumberFormat="1" applyFill="1"/>
    <xf numFmtId="0" fontId="2" fillId="0" borderId="0" xfId="1" applyNumberFormat="1" applyFont="1" applyFill="1" applyBorder="1"/>
    <xf numFmtId="38" fontId="2" fillId="0" borderId="0" xfId="0" applyNumberFormat="1" applyFont="1" applyFill="1"/>
    <xf numFmtId="9" fontId="3" fillId="0" borderId="15" xfId="7" applyFont="1" applyFill="1" applyBorder="1" applyAlignment="1">
      <alignment horizontal="left"/>
    </xf>
    <xf numFmtId="0" fontId="3" fillId="0" borderId="0" xfId="0" applyFont="1" applyFill="1" applyBorder="1" applyAlignment="1">
      <alignment horizontal="centerContinuous"/>
    </xf>
    <xf numFmtId="10" fontId="14" fillId="0" borderId="1" xfId="7" applyNumberFormat="1" applyFont="1" applyFill="1" applyBorder="1"/>
    <xf numFmtId="10" fontId="14" fillId="0" borderId="0" xfId="7" applyNumberFormat="1" applyFont="1" applyFill="1"/>
    <xf numFmtId="10" fontId="14" fillId="0" borderId="0" xfId="7" applyNumberFormat="1" applyFont="1" applyFill="1" applyBorder="1"/>
    <xf numFmtId="40" fontId="6" fillId="0" borderId="0" xfId="0" applyNumberFormat="1" applyFont="1" applyFill="1"/>
    <xf numFmtId="40" fontId="15" fillId="0" borderId="0" xfId="0" applyNumberFormat="1" applyFont="1" applyFill="1"/>
    <xf numFmtId="10" fontId="10" fillId="0" borderId="0" xfId="7" applyNumberFormat="1" applyFont="1" applyFill="1"/>
    <xf numFmtId="0" fontId="9" fillId="0" borderId="0" xfId="0" applyFont="1" applyFill="1"/>
    <xf numFmtId="166" fontId="1" fillId="0" borderId="0" xfId="7" applyNumberFormat="1" applyFill="1"/>
    <xf numFmtId="175" fontId="2" fillId="0" borderId="0" xfId="1" applyNumberFormat="1" applyFont="1" applyFill="1"/>
    <xf numFmtId="10" fontId="2" fillId="0" borderId="1" xfId="7" applyNumberFormat="1" applyFont="1" applyFill="1" applyBorder="1" applyAlignment="1">
      <alignment horizontal="center" wrapText="1"/>
    </xf>
    <xf numFmtId="164" fontId="2" fillId="0" borderId="1" xfId="1" applyNumberFormat="1" applyFont="1" applyFill="1" applyBorder="1"/>
    <xf numFmtId="164" fontId="2" fillId="0" borderId="14" xfId="1" applyNumberFormat="1" applyFont="1" applyFill="1" applyBorder="1"/>
    <xf numFmtId="3" fontId="16" fillId="0" borderId="0" xfId="0" applyNumberFormat="1" applyFont="1" applyFill="1" applyAlignment="1"/>
    <xf numFmtId="0" fontId="0" fillId="0" borderId="0" xfId="0" applyFill="1" applyBorder="1"/>
    <xf numFmtId="10" fontId="0" fillId="0" borderId="0" xfId="0" applyNumberFormat="1" applyFill="1"/>
    <xf numFmtId="10" fontId="10" fillId="0" borderId="0" xfId="0" applyNumberFormat="1" applyFont="1" applyFill="1"/>
    <xf numFmtId="165" fontId="10" fillId="0" borderId="0" xfId="0" applyNumberFormat="1" applyFont="1" applyFill="1"/>
    <xf numFmtId="9" fontId="3" fillId="0" borderId="15" xfId="7" quotePrefix="1" applyFont="1" applyFill="1" applyBorder="1" applyAlignment="1">
      <alignment horizontal="left"/>
    </xf>
    <xf numFmtId="9" fontId="14" fillId="0" borderId="0" xfId="7" quotePrefix="1" applyFont="1" applyFill="1" applyAlignment="1">
      <alignment horizontal="left"/>
    </xf>
    <xf numFmtId="43" fontId="0" fillId="0" borderId="0" xfId="0" applyNumberFormat="1" applyFill="1"/>
    <xf numFmtId="172" fontId="0" fillId="0" borderId="12" xfId="0" applyNumberFormat="1" applyFill="1" applyBorder="1"/>
    <xf numFmtId="172" fontId="10" fillId="0" borderId="12" xfId="0" applyNumberFormat="1" applyFont="1" applyFill="1" applyBorder="1"/>
    <xf numFmtId="165" fontId="0" fillId="0" borderId="0" xfId="0" applyNumberFormat="1" applyFill="1"/>
    <xf numFmtId="39" fontId="0" fillId="0" borderId="0" xfId="0" applyNumberFormat="1" applyFill="1"/>
    <xf numFmtId="40" fontId="3" fillId="0" borderId="0" xfId="0" applyNumberFormat="1" applyFont="1" applyFill="1" applyAlignment="1">
      <alignment horizontal="centerContinuous"/>
    </xf>
    <xf numFmtId="0" fontId="3" fillId="0" borderId="15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3" fontId="0" fillId="0" borderId="0" xfId="1" applyFont="1" applyFill="1"/>
    <xf numFmtId="0" fontId="3" fillId="0" borderId="0" xfId="0" applyFont="1" applyFill="1" applyAlignment="1">
      <alignment horizontal="left"/>
    </xf>
    <xf numFmtId="0" fontId="0" fillId="0" borderId="0" xfId="0" applyFont="1" applyFill="1"/>
    <xf numFmtId="0" fontId="3" fillId="0" borderId="15" xfId="0" quotePrefix="1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164" fontId="23" fillId="0" borderId="0" xfId="1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10" fontId="23" fillId="0" borderId="0" xfId="7" applyNumberFormat="1" applyFont="1" applyFill="1" applyBorder="1" applyAlignment="1">
      <alignment horizontal="center"/>
    </xf>
    <xf numFmtId="9" fontId="23" fillId="0" borderId="0" xfId="7" applyFont="1" applyFill="1" applyAlignment="1">
      <alignment horizontal="center"/>
    </xf>
    <xf numFmtId="0" fontId="23" fillId="0" borderId="0" xfId="0" applyFont="1" applyFill="1"/>
    <xf numFmtId="0" fontId="1" fillId="0" borderId="0" xfId="0" applyFont="1" applyFill="1" applyAlignment="1">
      <alignment horizontal="center"/>
    </xf>
    <xf numFmtId="167" fontId="0" fillId="0" borderId="0" xfId="0" applyNumberFormat="1" applyFill="1"/>
    <xf numFmtId="167" fontId="0" fillId="0" borderId="0" xfId="0" applyNumberFormat="1" applyFill="1" applyAlignment="1">
      <alignment horizontal="right"/>
    </xf>
    <xf numFmtId="167" fontId="0" fillId="0" borderId="0" xfId="0" quotePrefix="1" applyNumberFormat="1" applyFill="1" applyAlignment="1">
      <alignment horizontal="right"/>
    </xf>
    <xf numFmtId="0" fontId="17" fillId="0" borderId="0" xfId="0" applyFont="1" applyFill="1" applyAlignment="1">
      <alignment horizontal="center"/>
    </xf>
    <xf numFmtId="0" fontId="17" fillId="0" borderId="0" xfId="0" applyFont="1" applyFill="1"/>
    <xf numFmtId="0" fontId="10" fillId="0" borderId="2" xfId="0" applyFont="1" applyFill="1" applyBorder="1" applyAlignment="1">
      <alignment horizontal="centerContinuous"/>
    </xf>
    <xf numFmtId="0" fontId="10" fillId="0" borderId="3" xfId="0" applyFont="1" applyFill="1" applyBorder="1" applyAlignment="1">
      <alignment horizontal="centerContinuous"/>
    </xf>
    <xf numFmtId="10" fontId="10" fillId="0" borderId="4" xfId="7" applyNumberFormat="1" applyFont="1" applyFill="1" applyBorder="1" applyAlignment="1">
      <alignment horizontal="centerContinuous"/>
    </xf>
    <xf numFmtId="166" fontId="10" fillId="0" borderId="4" xfId="7" applyNumberFormat="1" applyFont="1" applyFill="1" applyBorder="1" applyAlignment="1">
      <alignment horizontal="centerContinuous"/>
    </xf>
    <xf numFmtId="0" fontId="10" fillId="0" borderId="5" xfId="0" applyFont="1" applyFill="1" applyBorder="1" applyAlignment="1">
      <alignment horizontal="centerContinuous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10" fontId="10" fillId="0" borderId="0" xfId="7" applyNumberFormat="1" applyFont="1" applyFill="1" applyAlignment="1">
      <alignment horizontal="center" wrapText="1"/>
    </xf>
    <xf numFmtId="166" fontId="10" fillId="0" borderId="0" xfId="7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10" fontId="1" fillId="0" borderId="0" xfId="7" applyNumberFormat="1" applyFont="1" applyFill="1" applyAlignment="1">
      <alignment horizontal="center" wrapText="1"/>
    </xf>
    <xf numFmtId="166" fontId="1" fillId="0" borderId="0" xfId="7" applyNumberFormat="1" applyFont="1" applyFill="1" applyAlignment="1">
      <alignment horizontal="center" wrapText="1"/>
    </xf>
    <xf numFmtId="167" fontId="0" fillId="0" borderId="2" xfId="0" applyNumberFormat="1" applyFill="1" applyBorder="1"/>
    <xf numFmtId="167" fontId="0" fillId="0" borderId="3" xfId="0" applyNumberFormat="1" applyFill="1" applyBorder="1"/>
    <xf numFmtId="166" fontId="1" fillId="0" borderId="4" xfId="7" applyNumberFormat="1" applyFill="1" applyBorder="1"/>
    <xf numFmtId="166" fontId="1" fillId="0" borderId="0" xfId="7" applyNumberFormat="1" applyFill="1" applyBorder="1"/>
    <xf numFmtId="167" fontId="0" fillId="0" borderId="6" xfId="0" applyNumberFormat="1" applyFill="1" applyBorder="1"/>
    <xf numFmtId="166" fontId="1" fillId="0" borderId="8" xfId="7" applyNumberFormat="1" applyFill="1" applyBorder="1"/>
    <xf numFmtId="167" fontId="0" fillId="0" borderId="9" xfId="0" applyNumberFormat="1" applyFill="1" applyBorder="1"/>
    <xf numFmtId="167" fontId="0" fillId="0" borderId="0" xfId="0" applyNumberFormat="1" applyFill="1" applyBorder="1"/>
    <xf numFmtId="166" fontId="1" fillId="0" borderId="10" xfId="7" applyNumberFormat="1" applyFill="1" applyBorder="1"/>
    <xf numFmtId="167" fontId="0" fillId="0" borderId="11" xfId="0" applyNumberFormat="1" applyFill="1" applyBorder="1"/>
    <xf numFmtId="167" fontId="0" fillId="0" borderId="12" xfId="0" applyNumberFormat="1" applyFill="1" applyBorder="1"/>
    <xf numFmtId="166" fontId="1" fillId="0" borderId="13" xfId="7" applyNumberFormat="1" applyFill="1" applyBorder="1"/>
    <xf numFmtId="166" fontId="1" fillId="0" borderId="0" xfId="7" applyNumberFormat="1" applyFont="1" applyFill="1" applyBorder="1"/>
    <xf numFmtId="0" fontId="0" fillId="0" borderId="7" xfId="0" applyFill="1" applyBorder="1"/>
    <xf numFmtId="166" fontId="0" fillId="0" borderId="0" xfId="0" applyNumberFormat="1" applyFill="1"/>
    <xf numFmtId="167" fontId="1" fillId="0" borderId="0" xfId="0" applyNumberFormat="1" applyFont="1" applyFill="1" applyBorder="1"/>
    <xf numFmtId="0" fontId="0" fillId="0" borderId="0" xfId="0" quotePrefix="1" applyFill="1" applyAlignment="1">
      <alignment horizontal="right"/>
    </xf>
    <xf numFmtId="176" fontId="0" fillId="0" borderId="0" xfId="0" applyNumberFormat="1" applyFill="1"/>
    <xf numFmtId="41" fontId="0" fillId="0" borderId="0" xfId="0" applyNumberFormat="1" applyFill="1"/>
    <xf numFmtId="41" fontId="1" fillId="0" borderId="0" xfId="0" applyNumberFormat="1" applyFont="1" applyFill="1"/>
    <xf numFmtId="172" fontId="1" fillId="0" borderId="0" xfId="0" applyNumberFormat="1" applyFont="1" applyFill="1"/>
    <xf numFmtId="41" fontId="13" fillId="0" borderId="0" xfId="0" applyNumberFormat="1" applyFont="1" applyFill="1" applyAlignment="1">
      <alignment horizontal="center"/>
    </xf>
    <xf numFmtId="41" fontId="10" fillId="0" borderId="0" xfId="0" quotePrefix="1" applyNumberFormat="1" applyFont="1" applyFill="1" applyAlignment="1">
      <alignment horizontal="center" wrapText="1"/>
    </xf>
    <xf numFmtId="41" fontId="1" fillId="0" borderId="0" xfId="0" applyNumberFormat="1" applyFont="1" applyFill="1" applyBorder="1"/>
    <xf numFmtId="0" fontId="1" fillId="0" borderId="12" xfId="0" applyFont="1" applyFill="1" applyBorder="1" applyAlignment="1">
      <alignment horizontal="center" wrapText="1"/>
    </xf>
    <xf numFmtId="41" fontId="1" fillId="0" borderId="12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49" fontId="2" fillId="0" borderId="0" xfId="1" applyNumberFormat="1" applyFont="1" applyFill="1" applyAlignment="1">
      <alignment horizontal="center"/>
    </xf>
    <xf numFmtId="164" fontId="3" fillId="0" borderId="1" xfId="1" applyNumberFormat="1" applyFont="1" applyFill="1" applyBorder="1"/>
    <xf numFmtId="164" fontId="3" fillId="0" borderId="14" xfId="1" applyNumberFormat="1" applyFont="1" applyFill="1" applyBorder="1"/>
    <xf numFmtId="177" fontId="0" fillId="0" borderId="0" xfId="0" applyNumberFormat="1" applyFill="1" applyAlignment="1" applyProtection="1">
      <alignment horizontal="center" vertical="center"/>
      <protection locked="0"/>
    </xf>
    <xf numFmtId="10" fontId="14" fillId="3" borderId="1" xfId="7" applyNumberFormat="1" applyFont="1" applyFill="1" applyBorder="1"/>
    <xf numFmtId="10" fontId="14" fillId="4" borderId="1" xfId="7" applyNumberFormat="1" applyFont="1" applyFill="1" applyBorder="1"/>
    <xf numFmtId="10" fontId="14" fillId="5" borderId="1" xfId="7" applyNumberFormat="1" applyFont="1" applyFill="1" applyBorder="1"/>
    <xf numFmtId="10" fontId="14" fillId="5" borderId="0" xfId="7" applyNumberFormat="1" applyFont="1" applyFill="1" applyBorder="1"/>
    <xf numFmtId="0" fontId="2" fillId="5" borderId="0" xfId="0" applyFont="1" applyFill="1"/>
    <xf numFmtId="0" fontId="0" fillId="5" borderId="0" xfId="0" applyFill="1" applyBorder="1"/>
    <xf numFmtId="10" fontId="3" fillId="5" borderId="1" xfId="7" applyNumberFormat="1" applyFont="1" applyFill="1" applyBorder="1"/>
    <xf numFmtId="10" fontId="3" fillId="5" borderId="0" xfId="7" applyNumberFormat="1" applyFont="1" applyFill="1" applyBorder="1"/>
    <xf numFmtId="164" fontId="0" fillId="0" borderId="0" xfId="0" applyNumberFormat="1" applyFill="1"/>
    <xf numFmtId="0" fontId="10" fillId="6" borderId="12" xfId="0" applyFont="1" applyFill="1" applyBorder="1" applyAlignment="1">
      <alignment horizontal="center" wrapText="1"/>
    </xf>
    <xf numFmtId="41" fontId="1" fillId="6" borderId="12" xfId="0" applyNumberFormat="1" applyFont="1" applyFill="1" applyBorder="1" applyAlignment="1">
      <alignment horizontal="center" wrapText="1"/>
    </xf>
    <xf numFmtId="0" fontId="10" fillId="6" borderId="0" xfId="0" quotePrefix="1" applyFont="1" applyFill="1" applyAlignment="1">
      <alignment horizontal="center" wrapText="1"/>
    </xf>
    <xf numFmtId="41" fontId="10" fillId="6" borderId="0" xfId="0" quotePrefix="1" applyNumberFormat="1" applyFont="1" applyFill="1" applyAlignment="1">
      <alignment horizontal="center" wrapText="1"/>
    </xf>
    <xf numFmtId="0" fontId="10" fillId="6" borderId="0" xfId="0" applyFont="1" applyFill="1"/>
    <xf numFmtId="41" fontId="1" fillId="6" borderId="0" xfId="0" applyNumberFormat="1" applyFont="1" applyFill="1"/>
    <xf numFmtId="10" fontId="10" fillId="6" borderId="0" xfId="0" applyNumberFormat="1" applyFont="1" applyFill="1"/>
    <xf numFmtId="0" fontId="10" fillId="7" borderId="12" xfId="0" applyFont="1" applyFill="1" applyBorder="1" applyAlignment="1">
      <alignment horizontal="center" wrapText="1"/>
    </xf>
    <xf numFmtId="0" fontId="0" fillId="7" borderId="0" xfId="0" applyFill="1"/>
    <xf numFmtId="0" fontId="0" fillId="7" borderId="0" xfId="0" applyFill="1" applyAlignment="1">
      <alignment wrapText="1"/>
    </xf>
    <xf numFmtId="10" fontId="0" fillId="7" borderId="0" xfId="0" applyNumberFormat="1" applyFill="1"/>
    <xf numFmtId="177" fontId="1" fillId="7" borderId="0" xfId="0" applyNumberFormat="1" applyFont="1" applyFill="1" applyAlignment="1" applyProtection="1">
      <alignment horizontal="center" vertical="center"/>
      <protection locked="0"/>
    </xf>
    <xf numFmtId="164" fontId="2" fillId="0" borderId="0" xfId="1" applyNumberFormat="1" applyFont="1" applyFill="1" applyAlignment="1">
      <alignment horizontal="centerContinuous"/>
    </xf>
    <xf numFmtId="166" fontId="0" fillId="0" borderId="0" xfId="7" applyNumberFormat="1" applyFont="1" applyFill="1"/>
    <xf numFmtId="166" fontId="0" fillId="0" borderId="16" xfId="7" applyNumberFormat="1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174" fontId="11" fillId="0" borderId="0" xfId="7" applyNumberFormat="1" applyFont="1" applyFill="1" applyAlignment="1">
      <alignment horizontal="left"/>
    </xf>
    <xf numFmtId="167" fontId="1" fillId="8" borderId="2" xfId="0" applyNumberFormat="1" applyFont="1" applyFill="1" applyBorder="1"/>
    <xf numFmtId="167" fontId="1" fillId="8" borderId="3" xfId="0" applyNumberFormat="1" applyFont="1" applyFill="1" applyBorder="1"/>
    <xf numFmtId="10" fontId="1" fillId="8" borderId="3" xfId="7" applyNumberFormat="1" applyFont="1" applyFill="1" applyBorder="1"/>
    <xf numFmtId="166" fontId="1" fillId="8" borderId="4" xfId="7" applyNumberFormat="1" applyFont="1" applyFill="1" applyBorder="1"/>
    <xf numFmtId="166" fontId="1" fillId="8" borderId="0" xfId="0" applyNumberFormat="1" applyFont="1" applyFill="1"/>
    <xf numFmtId="173" fontId="1" fillId="8" borderId="0" xfId="7" applyNumberFormat="1" applyFont="1" applyFill="1" applyBorder="1"/>
    <xf numFmtId="0" fontId="1" fillId="8" borderId="0" xfId="0" applyFont="1" applyFill="1"/>
    <xf numFmtId="49" fontId="23" fillId="0" borderId="0" xfId="1" applyNumberFormat="1" applyFont="1" applyFill="1" applyAlignment="1">
      <alignment horizontal="center"/>
    </xf>
    <xf numFmtId="49" fontId="24" fillId="0" borderId="0" xfId="1" applyNumberFormat="1" applyFont="1" applyFill="1" applyAlignment="1">
      <alignment horizontal="center"/>
    </xf>
    <xf numFmtId="9" fontId="23" fillId="0" borderId="0" xfId="7" applyFont="1" applyFill="1"/>
    <xf numFmtId="9" fontId="23" fillId="0" borderId="0" xfId="7" quotePrefix="1" applyFont="1" applyFill="1" applyAlignment="1">
      <alignment horizontal="left"/>
    </xf>
    <xf numFmtId="10" fontId="11" fillId="0" borderId="0" xfId="7" applyNumberFormat="1" applyFont="1" applyFill="1" applyBorder="1"/>
    <xf numFmtId="10" fontId="23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0" fontId="0" fillId="7" borderId="0" xfId="7" applyNumberFormat="1" applyFont="1" applyFill="1"/>
    <xf numFmtId="178" fontId="1" fillId="0" borderId="0" xfId="7" applyNumberFormat="1" applyFill="1"/>
    <xf numFmtId="49" fontId="4" fillId="5" borderId="0" xfId="1" applyNumberFormat="1" applyFont="1" applyFill="1" applyAlignment="1">
      <alignment horizontal="center"/>
    </xf>
    <xf numFmtId="9" fontId="3" fillId="5" borderId="0" xfId="7" applyFont="1" applyFill="1"/>
    <xf numFmtId="9" fontId="3" fillId="5" borderId="0" xfId="7" quotePrefix="1" applyFont="1" applyFill="1" applyAlignment="1">
      <alignment horizontal="left"/>
    </xf>
    <xf numFmtId="10" fontId="1" fillId="7" borderId="0" xfId="0" applyNumberFormat="1" applyFont="1" applyFill="1"/>
    <xf numFmtId="0" fontId="10" fillId="7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9" fontId="13" fillId="0" borderId="0" xfId="1" applyNumberFormat="1" applyFont="1" applyFill="1" applyAlignment="1">
      <alignment horizontal="left"/>
    </xf>
    <xf numFmtId="164" fontId="13" fillId="0" borderId="0" xfId="1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40" fontId="12" fillId="2" borderId="0" xfId="6" applyBorder="1" applyAlignment="1">
      <alignment horizontal="centerContinuous"/>
    </xf>
    <xf numFmtId="0" fontId="2" fillId="0" borderId="0" xfId="0" applyFont="1" applyFill="1" applyAlignment="1">
      <alignment horizontal="left"/>
    </xf>
    <xf numFmtId="0" fontId="3" fillId="0" borderId="0" xfId="7" applyNumberFormat="1" applyFont="1" applyFill="1" applyBorder="1"/>
    <xf numFmtId="0" fontId="3" fillId="0" borderId="0" xfId="7" applyNumberFormat="1" applyFont="1" applyFill="1"/>
    <xf numFmtId="0" fontId="23" fillId="0" borderId="0" xfId="0" applyFont="1" applyFill="1" applyAlignment="1">
      <alignment horizontal="right"/>
    </xf>
    <xf numFmtId="0" fontId="13" fillId="3" borderId="15" xfId="0" applyFont="1" applyFill="1" applyBorder="1" applyAlignment="1">
      <alignment horizontal="center"/>
    </xf>
    <xf numFmtId="0" fontId="1" fillId="6" borderId="12" xfId="0" quotePrefix="1" applyFont="1" applyFill="1" applyBorder="1" applyAlignment="1">
      <alignment horizontal="center" wrapText="1"/>
    </xf>
    <xf numFmtId="0" fontId="0" fillId="6" borderId="0" xfId="0" applyFill="1"/>
    <xf numFmtId="0" fontId="1" fillId="6" borderId="12" xfId="0" applyFont="1" applyFill="1" applyBorder="1" applyAlignment="1">
      <alignment horizontal="center" wrapText="1"/>
    </xf>
    <xf numFmtId="0" fontId="0" fillId="6" borderId="0" xfId="0" quotePrefix="1" applyFill="1" applyAlignment="1">
      <alignment horizontal="center" wrapText="1"/>
    </xf>
    <xf numFmtId="37" fontId="0" fillId="6" borderId="0" xfId="0" applyNumberFormat="1" applyFill="1"/>
    <xf numFmtId="166" fontId="10" fillId="6" borderId="0" xfId="0" applyNumberFormat="1" applyFont="1" applyFill="1"/>
    <xf numFmtId="165" fontId="0" fillId="6" borderId="0" xfId="0" applyNumberFormat="1" applyFill="1"/>
    <xf numFmtId="37" fontId="0" fillId="6" borderId="12" xfId="0" applyNumberFormat="1" applyFill="1" applyBorder="1"/>
    <xf numFmtId="0" fontId="0" fillId="6" borderId="12" xfId="0" applyFill="1" applyBorder="1" applyAlignment="1">
      <alignment horizontal="center" wrapText="1"/>
    </xf>
    <xf numFmtId="0" fontId="0" fillId="6" borderId="0" xfId="0" quotePrefix="1" applyFill="1" applyAlignment="1">
      <alignment horizontal="center"/>
    </xf>
    <xf numFmtId="42" fontId="0" fillId="6" borderId="0" xfId="0" applyNumberFormat="1" applyFill="1"/>
    <xf numFmtId="10" fontId="0" fillId="6" borderId="0" xfId="0" applyNumberFormat="1" applyFill="1"/>
    <xf numFmtId="42" fontId="1" fillId="6" borderId="0" xfId="0" applyNumberFormat="1" applyFont="1" applyFill="1"/>
    <xf numFmtId="167" fontId="0" fillId="9" borderId="2" xfId="0" applyNumberFormat="1" applyFill="1" applyBorder="1"/>
    <xf numFmtId="9" fontId="3" fillId="0" borderId="0" xfId="0" applyNumberFormat="1" applyFont="1" applyFill="1"/>
    <xf numFmtId="164" fontId="23" fillId="0" borderId="0" xfId="1" applyNumberFormat="1" applyFont="1" applyFill="1" applyAlignment="1">
      <alignment horizontal="right"/>
    </xf>
    <xf numFmtId="10" fontId="23" fillId="0" borderId="0" xfId="7" applyNumberFormat="1" applyFont="1" applyFill="1" applyBorder="1" applyAlignment="1">
      <alignment horizontal="right"/>
    </xf>
    <xf numFmtId="9" fontId="23" fillId="0" borderId="0" xfId="7" applyFont="1" applyFill="1" applyBorder="1"/>
    <xf numFmtId="180" fontId="0" fillId="0" borderId="0" xfId="0" applyNumberFormat="1" applyFill="1"/>
    <xf numFmtId="169" fontId="0" fillId="6" borderId="0" xfId="0" applyNumberFormat="1" applyFill="1"/>
    <xf numFmtId="37" fontId="1" fillId="6" borderId="0" xfId="1" applyNumberFormat="1" applyFill="1"/>
    <xf numFmtId="39" fontId="0" fillId="6" borderId="12" xfId="0" applyNumberFormat="1" applyFill="1" applyBorder="1"/>
    <xf numFmtId="169" fontId="0" fillId="6" borderId="12" xfId="0" applyNumberFormat="1" applyFill="1" applyBorder="1"/>
    <xf numFmtId="39" fontId="0" fillId="6" borderId="0" xfId="0" applyNumberFormat="1" applyFill="1"/>
    <xf numFmtId="43" fontId="0" fillId="6" borderId="0" xfId="0" applyNumberFormat="1" applyFill="1"/>
    <xf numFmtId="43" fontId="1" fillId="6" borderId="0" xfId="0" applyNumberFormat="1" applyFont="1" applyFill="1"/>
    <xf numFmtId="43" fontId="0" fillId="6" borderId="12" xfId="0" applyNumberFormat="1" applyFill="1" applyBorder="1"/>
    <xf numFmtId="171" fontId="0" fillId="6" borderId="12" xfId="0" applyNumberFormat="1" applyFill="1" applyBorder="1"/>
    <xf numFmtId="38" fontId="0" fillId="6" borderId="0" xfId="0" applyNumberFormat="1" applyFill="1"/>
    <xf numFmtId="40" fontId="0" fillId="6" borderId="12" xfId="0" applyNumberFormat="1" applyFill="1" applyBorder="1"/>
    <xf numFmtId="164" fontId="1" fillId="6" borderId="0" xfId="1" applyNumberFormat="1" applyFill="1"/>
    <xf numFmtId="170" fontId="0" fillId="6" borderId="0" xfId="0" applyNumberFormat="1" applyFill="1"/>
    <xf numFmtId="170" fontId="0" fillId="6" borderId="12" xfId="0" applyNumberFormat="1" applyFill="1" applyBorder="1"/>
    <xf numFmtId="40" fontId="0" fillId="6" borderId="0" xfId="0" applyNumberFormat="1" applyFill="1"/>
    <xf numFmtId="43" fontId="1" fillId="6" borderId="0" xfId="1" applyFill="1"/>
    <xf numFmtId="0" fontId="1" fillId="6" borderId="0" xfId="0" applyFont="1" applyFill="1"/>
    <xf numFmtId="43" fontId="0" fillId="6" borderId="0" xfId="1" applyFont="1" applyFill="1"/>
    <xf numFmtId="38" fontId="0" fillId="6" borderId="12" xfId="0" applyNumberFormat="1" applyFill="1" applyBorder="1"/>
    <xf numFmtId="37" fontId="1" fillId="6" borderId="0" xfId="0" applyNumberFormat="1" applyFont="1" applyFill="1"/>
    <xf numFmtId="172" fontId="0" fillId="6" borderId="0" xfId="0" applyNumberFormat="1" applyFill="1"/>
    <xf numFmtId="172" fontId="0" fillId="6" borderId="12" xfId="0" applyNumberFormat="1" applyFill="1" applyBorder="1"/>
    <xf numFmtId="164" fontId="0" fillId="6" borderId="0" xfId="0" applyNumberFormat="1" applyFill="1"/>
    <xf numFmtId="0" fontId="0" fillId="6" borderId="0" xfId="0" applyFill="1" applyAlignment="1">
      <alignment wrapText="1"/>
    </xf>
    <xf numFmtId="3" fontId="0" fillId="6" borderId="0" xfId="0" applyNumberFormat="1" applyFill="1"/>
    <xf numFmtId="3" fontId="0" fillId="6" borderId="12" xfId="0" applyNumberFormat="1" applyFill="1" applyBorder="1"/>
    <xf numFmtId="170" fontId="10" fillId="6" borderId="12" xfId="0" applyNumberFormat="1" applyFont="1" applyFill="1" applyBorder="1"/>
    <xf numFmtId="0" fontId="10" fillId="6" borderId="12" xfId="0" applyFont="1" applyFill="1" applyBorder="1"/>
    <xf numFmtId="10" fontId="1" fillId="0" borderId="0" xfId="0" applyNumberFormat="1" applyFont="1" applyFill="1"/>
    <xf numFmtId="10" fontId="0" fillId="0" borderId="0" xfId="7" applyNumberFormat="1" applyFont="1" applyFill="1"/>
    <xf numFmtId="165" fontId="1" fillId="0" borderId="0" xfId="0" applyNumberFormat="1" applyFont="1" applyFill="1"/>
    <xf numFmtId="171" fontId="0" fillId="0" borderId="0" xfId="0" applyNumberFormat="1" applyFill="1"/>
    <xf numFmtId="177" fontId="37" fillId="27" borderId="0" xfId="0" applyNumberFormat="1" applyFont="1" applyFill="1" applyProtection="1">
      <protection locked="0"/>
    </xf>
    <xf numFmtId="177" fontId="37" fillId="0" borderId="0" xfId="0" applyNumberFormat="1" applyFont="1" applyFill="1" applyProtection="1">
      <protection locked="0"/>
    </xf>
    <xf numFmtId="167" fontId="37" fillId="28" borderId="22" xfId="0" applyNumberFormat="1" applyFont="1" applyFill="1" applyBorder="1" applyProtection="1">
      <protection locked="0"/>
    </xf>
    <xf numFmtId="181" fontId="37" fillId="28" borderId="0" xfId="0" applyNumberFormat="1" applyFont="1" applyFill="1" applyProtection="1">
      <protection locked="0"/>
    </xf>
    <xf numFmtId="177" fontId="37" fillId="28" borderId="0" xfId="0" applyNumberFormat="1" applyFont="1" applyFill="1" applyProtection="1">
      <protection locked="0"/>
    </xf>
    <xf numFmtId="182" fontId="37" fillId="28" borderId="0" xfId="0" applyNumberFormat="1" applyFont="1" applyFill="1" applyProtection="1">
      <protection locked="0"/>
    </xf>
    <xf numFmtId="43" fontId="38" fillId="27" borderId="5" xfId="0" quotePrefix="1" applyNumberFormat="1" applyFont="1" applyFill="1" applyBorder="1" applyAlignment="1" applyProtection="1">
      <alignment vertical="top"/>
      <protection locked="0"/>
    </xf>
    <xf numFmtId="0" fontId="37" fillId="28" borderId="22" xfId="0" applyFont="1" applyFill="1" applyBorder="1" applyProtection="1">
      <protection locked="0"/>
    </xf>
    <xf numFmtId="49" fontId="37" fillId="28" borderId="22" xfId="0" applyNumberFormat="1" applyFont="1" applyFill="1" applyBorder="1" applyProtection="1">
      <protection locked="0"/>
    </xf>
    <xf numFmtId="49" fontId="3" fillId="0" borderId="0" xfId="1" applyNumberFormat="1" applyFont="1" applyFill="1" applyAlignment="1">
      <alignment horizontal="center"/>
    </xf>
    <xf numFmtId="0" fontId="3" fillId="0" borderId="0" xfId="0" applyFont="1" applyFill="1"/>
    <xf numFmtId="43" fontId="3" fillId="0" borderId="0" xfId="0" applyNumberFormat="1" applyFont="1" applyFill="1"/>
    <xf numFmtId="43" fontId="3" fillId="0" borderId="0" xfId="1" applyNumberFormat="1" applyFont="1" applyFill="1"/>
    <xf numFmtId="2" fontId="10" fillId="0" borderId="0" xfId="0" applyNumberFormat="1" applyFont="1" applyFill="1"/>
    <xf numFmtId="10" fontId="3" fillId="0" borderId="15" xfId="7" applyNumberFormat="1" applyFont="1" applyFill="1" applyBorder="1"/>
    <xf numFmtId="0" fontId="2" fillId="0" borderId="12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quotePrefix="1" applyFont="1" applyFill="1" applyAlignment="1">
      <alignment horizontal="center"/>
    </xf>
    <xf numFmtId="0" fontId="10" fillId="0" borderId="0" xfId="0" applyFont="1" applyFill="1" applyAlignment="1"/>
  </cellXfs>
  <cellStyles count="38">
    <cellStyle name="Comma" xfId="1" builtinId="3"/>
    <cellStyle name="Comma 2" xfId="2" xr:uid="{00000000-0005-0000-0000-000001000000}"/>
    <cellStyle name="Comma 3" xfId="3" xr:uid="{00000000-0005-0000-0000-000002000000}"/>
    <cellStyle name="Comma 4" xfId="10" xr:uid="{00000000-0005-0000-0000-000003000000}"/>
    <cellStyle name="Normal" xfId="0" builtinId="0"/>
    <cellStyle name="Normal 2" xfId="4" xr:uid="{00000000-0005-0000-0000-000005000000}"/>
    <cellStyle name="Normal 3" xfId="5" xr:uid="{00000000-0005-0000-0000-000006000000}"/>
    <cellStyle name="Normal 4" xfId="8" xr:uid="{00000000-0005-0000-0000-000007000000}"/>
    <cellStyle name="Normal 5" xfId="9" xr:uid="{00000000-0005-0000-0000-000008000000}"/>
    <cellStyle name="Output Amounts" xfId="6" xr:uid="{00000000-0005-0000-0000-000011000000}"/>
    <cellStyle name="Percent" xfId="7" builtinId="5"/>
    <cellStyle name="SAPBorder" xfId="11" xr:uid="{00000000-0005-0000-0000-000013000000}"/>
    <cellStyle name="SAPDataCell" xfId="12" xr:uid="{00000000-0005-0000-0000-000014000000}"/>
    <cellStyle name="SAPDataTotalCell" xfId="13" xr:uid="{00000000-0005-0000-0000-000015000000}"/>
    <cellStyle name="SAPDimensionCell" xfId="14" xr:uid="{00000000-0005-0000-0000-000016000000}"/>
    <cellStyle name="SAPEditableDataCell" xfId="15" xr:uid="{00000000-0005-0000-0000-000017000000}"/>
    <cellStyle name="SAPEditableDataTotalCell" xfId="16" xr:uid="{00000000-0005-0000-0000-000018000000}"/>
    <cellStyle name="SAPEmphasized" xfId="17" xr:uid="{00000000-0005-0000-0000-000019000000}"/>
    <cellStyle name="SAPExceptionLevel1" xfId="18" xr:uid="{00000000-0005-0000-0000-00001A000000}"/>
    <cellStyle name="SAPExceptionLevel2" xfId="19" xr:uid="{00000000-0005-0000-0000-00001B000000}"/>
    <cellStyle name="SAPExceptionLevel3" xfId="20" xr:uid="{00000000-0005-0000-0000-00001C000000}"/>
    <cellStyle name="SAPExceptionLevel4" xfId="21" xr:uid="{00000000-0005-0000-0000-00001D000000}"/>
    <cellStyle name="SAPExceptionLevel5" xfId="22" xr:uid="{00000000-0005-0000-0000-00001E000000}"/>
    <cellStyle name="SAPExceptionLevel6" xfId="23" xr:uid="{00000000-0005-0000-0000-00001F000000}"/>
    <cellStyle name="SAPExceptionLevel7" xfId="24" xr:uid="{00000000-0005-0000-0000-000020000000}"/>
    <cellStyle name="SAPExceptionLevel8" xfId="25" xr:uid="{00000000-0005-0000-0000-000021000000}"/>
    <cellStyle name="SAPExceptionLevel9" xfId="26" xr:uid="{00000000-0005-0000-0000-000022000000}"/>
    <cellStyle name="SAPHierarchyCell0" xfId="27" xr:uid="{00000000-0005-0000-0000-000023000000}"/>
    <cellStyle name="SAPHierarchyCell1" xfId="28" xr:uid="{00000000-0005-0000-0000-000024000000}"/>
    <cellStyle name="SAPHierarchyCell2" xfId="29" xr:uid="{00000000-0005-0000-0000-000025000000}"/>
    <cellStyle name="SAPHierarchyCell3" xfId="30" xr:uid="{00000000-0005-0000-0000-000026000000}"/>
    <cellStyle name="SAPHierarchyCell4" xfId="31" xr:uid="{00000000-0005-0000-0000-000027000000}"/>
    <cellStyle name="SAPLockedDataCell" xfId="32" xr:uid="{00000000-0005-0000-0000-000028000000}"/>
    <cellStyle name="SAPLockedDataTotalCell" xfId="33" xr:uid="{00000000-0005-0000-0000-000029000000}"/>
    <cellStyle name="SAPMemberCell" xfId="34" xr:uid="{00000000-0005-0000-0000-00002A000000}"/>
    <cellStyle name="SAPMemberTotalCell" xfId="35" xr:uid="{00000000-0005-0000-0000-00002B000000}"/>
    <cellStyle name="SAPReadonlyDataCell" xfId="36" xr:uid="{00000000-0005-0000-0000-00002C000000}"/>
    <cellStyle name="SAPReadonlyDataTotalCell" xfId="37" xr:uid="{00000000-0005-0000-0000-00002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Extra%20files%20for%20calculating%20allocation%20basis%20for%20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G"/>
      <sheetName val="Short Summary"/>
    </sheetNames>
    <sheetDataSet>
      <sheetData sheetId="0"/>
      <sheetData sheetId="1" refreshError="1">
        <row r="7">
          <cell r="C7" t="str">
            <v>0050000</v>
          </cell>
          <cell r="D7" t="str">
            <v xml:space="preserve">Chairman </v>
          </cell>
          <cell r="E7" t="str">
            <v>Residual</v>
          </cell>
        </row>
        <row r="8">
          <cell r="C8" t="str">
            <v>0052200</v>
          </cell>
          <cell r="D8" t="str">
            <v>Governmental Affairs</v>
          </cell>
          <cell r="E8" t="str">
            <v>Residual</v>
          </cell>
        </row>
        <row r="9">
          <cell r="C9" t="str">
            <v>0052100</v>
          </cell>
          <cell r="D9" t="str">
            <v>Operations</v>
          </cell>
          <cell r="E9" t="str">
            <v>Cust, Capital Adds, Employees, O&amp;M</v>
          </cell>
        </row>
        <row r="10">
          <cell r="C10" t="str">
            <v>0050500</v>
          </cell>
          <cell r="D10" t="str">
            <v>President &amp; COO</v>
          </cell>
          <cell r="E10" t="str">
            <v>Residual</v>
          </cell>
        </row>
        <row r="11">
          <cell r="C11" t="str">
            <v>0113000</v>
          </cell>
          <cell r="D11" t="str">
            <v>Assistant Controller General Acctg</v>
          </cell>
          <cell r="E11" t="str">
            <v>Avg WLC #108,109,110,&amp;111</v>
          </cell>
        </row>
        <row r="12">
          <cell r="C12" t="str">
            <v>0112900</v>
          </cell>
          <cell r="D12" t="str">
            <v>VP &amp; Controller</v>
          </cell>
          <cell r="E12" t="str">
            <v>Avg all Accounting WLC's</v>
          </cell>
        </row>
        <row r="13">
          <cell r="C13" t="str">
            <v>0113500</v>
          </cell>
          <cell r="D13" t="str">
            <v>Assistant Controller, Utility Acctg</v>
          </cell>
          <cell r="E13" t="str">
            <v>50% Cust, 17% Gas Purch Vol, 33% Cap Adds</v>
          </cell>
        </row>
        <row r="14">
          <cell r="C14" t="str">
            <v>0113100</v>
          </cell>
          <cell r="D14" t="str">
            <v>General Accounting</v>
          </cell>
          <cell r="E14" t="str">
            <v>Residual</v>
          </cell>
        </row>
        <row r="15">
          <cell r="C15" t="str">
            <v>0113200</v>
          </cell>
          <cell r="D15" t="str">
            <v>Payroll Accounting</v>
          </cell>
          <cell r="E15" t="str">
            <v>Employees</v>
          </cell>
        </row>
        <row r="16">
          <cell r="C16" t="str">
            <v>0113300</v>
          </cell>
          <cell r="D16" t="str">
            <v>Accounts Payable</v>
          </cell>
          <cell r="E16" t="str">
            <v>Purchase Orders</v>
          </cell>
        </row>
        <row r="17">
          <cell r="C17" t="str">
            <v>0113400</v>
          </cell>
          <cell r="D17" t="str">
            <v>Accounting Systems</v>
          </cell>
          <cell r="E17" t="str">
            <v>Employees</v>
          </cell>
        </row>
        <row r="18">
          <cell r="C18" t="str">
            <v>0113600</v>
          </cell>
          <cell r="D18" t="str">
            <v>Plant Accounting</v>
          </cell>
          <cell r="E18" t="str">
            <v>Capital Additions</v>
          </cell>
        </row>
        <row r="19">
          <cell r="C19" t="str">
            <v>0113700</v>
          </cell>
          <cell r="D19" t="str">
            <v>Gas Accounting</v>
          </cell>
          <cell r="E19" t="str">
            <v>%'s provided by department</v>
          </cell>
        </row>
        <row r="20">
          <cell r="C20" t="str">
            <v>0113800</v>
          </cell>
          <cell r="D20" t="str">
            <v>Customer Billing</v>
          </cell>
          <cell r="E20" t="str">
            <v>%'s provided by department</v>
          </cell>
        </row>
        <row r="21">
          <cell r="C21" t="str">
            <v>0113900</v>
          </cell>
          <cell r="D21" t="str">
            <v>Financial Reporting</v>
          </cell>
          <cell r="E21" t="str">
            <v>Residual</v>
          </cell>
        </row>
        <row r="22">
          <cell r="C22" t="str">
            <v>0052000</v>
          </cell>
          <cell r="D22" t="str">
            <v>Legal</v>
          </cell>
          <cell r="E22" t="str">
            <v>Residual</v>
          </cell>
        </row>
        <row r="23">
          <cell r="C23" t="str">
            <v>0057900</v>
          </cell>
          <cell r="D23" t="str">
            <v>Corporate Secretary</v>
          </cell>
          <cell r="E23" t="str">
            <v>Residual</v>
          </cell>
        </row>
        <row r="24">
          <cell r="C24" t="str">
            <v>0052500</v>
          </cell>
          <cell r="D24" t="str">
            <v>Utility Services</v>
          </cell>
          <cell r="E24" t="str">
            <v>Customers,Gross Plant, &amp; Employees</v>
          </cell>
        </row>
        <row r="25">
          <cell r="C25" t="str">
            <v>0054000</v>
          </cell>
          <cell r="D25" t="str">
            <v>Rates &amp; Regulatory Affairs</v>
          </cell>
          <cell r="E25" t="str">
            <v>%'s provided by department</v>
          </cell>
        </row>
        <row r="26">
          <cell r="C26" t="str">
            <v>0051600</v>
          </cell>
          <cell r="D26" t="str">
            <v>Intrastate Gas Supply</v>
          </cell>
          <cell r="E26" t="str">
            <v>%'s provided by department</v>
          </cell>
        </row>
        <row r="27">
          <cell r="C27" t="str">
            <v>0114300</v>
          </cell>
          <cell r="D27" t="str">
            <v>Budget &amp; Planning</v>
          </cell>
          <cell r="E27" t="str">
            <v>Residual</v>
          </cell>
        </row>
        <row r="28">
          <cell r="C28" t="str">
            <v>0054400</v>
          </cell>
          <cell r="D28" t="str">
            <v>Financial Planning</v>
          </cell>
          <cell r="E28" t="str">
            <v>Residual</v>
          </cell>
        </row>
        <row r="29">
          <cell r="C29" t="str">
            <v>0052400</v>
          </cell>
          <cell r="D29" t="str">
            <v>Public Affairs</v>
          </cell>
          <cell r="E29" t="str">
            <v>Residual</v>
          </cell>
        </row>
        <row r="30">
          <cell r="C30" t="str">
            <v>0054700</v>
          </cell>
          <cell r="D30" t="str">
            <v>Chief Financial Officer</v>
          </cell>
          <cell r="E30" t="str">
            <v>Residual</v>
          </cell>
        </row>
        <row r="31">
          <cell r="C31" t="str">
            <v>0114800</v>
          </cell>
          <cell r="D31" t="str">
            <v>Dallas Treasurer</v>
          </cell>
          <cell r="E31" t="str">
            <v>Residual</v>
          </cell>
        </row>
        <row r="32">
          <cell r="C32" t="str">
            <v>0054900</v>
          </cell>
          <cell r="D32" t="str">
            <v>Investor Relations</v>
          </cell>
          <cell r="E32" t="str">
            <v>Residual</v>
          </cell>
        </row>
        <row r="33">
          <cell r="C33" t="str">
            <v>0114600</v>
          </cell>
          <cell r="D33" t="str">
            <v>Dallas Taxation</v>
          </cell>
          <cell r="E33" t="str">
            <v>Residual</v>
          </cell>
        </row>
        <row r="34">
          <cell r="C34" t="str">
            <v>0114500</v>
          </cell>
          <cell r="D34" t="str">
            <v>Dallas Treasury</v>
          </cell>
          <cell r="E34" t="str">
            <v>Customers &amp; Gas Purchase Volumes</v>
          </cell>
        </row>
        <row r="35">
          <cell r="C35" t="str">
            <v>0056000</v>
          </cell>
          <cell r="D35" t="str">
            <v>Marketing</v>
          </cell>
          <cell r="E35" t="str">
            <v>Resident./Comm. Cust's</v>
          </cell>
        </row>
        <row r="36">
          <cell r="C36" t="str">
            <v>0056200</v>
          </cell>
          <cell r="D36" t="str">
            <v>Technical Services</v>
          </cell>
          <cell r="E36" t="str">
            <v>Capital Additions and O&amp;M Expenses</v>
          </cell>
        </row>
        <row r="37">
          <cell r="C37" t="str">
            <v>0116400</v>
          </cell>
          <cell r="D37" t="str">
            <v>Internal Audit</v>
          </cell>
          <cell r="E37" t="str">
            <v>Residual</v>
          </cell>
        </row>
        <row r="38">
          <cell r="C38" t="str">
            <v>0051900</v>
          </cell>
          <cell r="D38" t="str">
            <v>Gas Supply</v>
          </cell>
          <cell r="E38" t="str">
            <v>%'s provided by department</v>
          </cell>
        </row>
        <row r="39">
          <cell r="C39" t="str">
            <v>0051500</v>
          </cell>
          <cell r="D39" t="str">
            <v>Interstate Gas Supply</v>
          </cell>
          <cell r="E39" t="str">
            <v>%'s provided by department</v>
          </cell>
        </row>
        <row r="40">
          <cell r="C40" t="str">
            <v>0056100</v>
          </cell>
          <cell r="D40" t="str">
            <v>Professional Development</v>
          </cell>
          <cell r="E40" t="str">
            <v>Capital Additions and O&amp;M Expenses</v>
          </cell>
        </row>
        <row r="41">
          <cell r="C41" t="str">
            <v>0117100</v>
          </cell>
          <cell r="D41" t="str">
            <v>Corporate Services</v>
          </cell>
          <cell r="E41" t="str">
            <v>Residual</v>
          </cell>
        </row>
        <row r="42">
          <cell r="C42" t="str">
            <v>0117200</v>
          </cell>
          <cell r="D42" t="str">
            <v>Compensation &amp; Employment</v>
          </cell>
          <cell r="E42" t="str">
            <v>Employees</v>
          </cell>
        </row>
        <row r="43">
          <cell r="C43" t="str">
            <v>0117300</v>
          </cell>
          <cell r="D43" t="str">
            <v>Human Resources</v>
          </cell>
          <cell r="E43" t="str">
            <v>Employees</v>
          </cell>
        </row>
        <row r="44">
          <cell r="C44" t="str">
            <v>0117500</v>
          </cell>
          <cell r="D44" t="str">
            <v>Employee Benefits</v>
          </cell>
          <cell r="E44" t="str">
            <v>Employees</v>
          </cell>
        </row>
        <row r="45">
          <cell r="C45" t="str">
            <v>0117600</v>
          </cell>
          <cell r="D45" t="str">
            <v>Purchasing</v>
          </cell>
          <cell r="E45" t="str">
            <v>Purchase Orders</v>
          </cell>
        </row>
        <row r="46">
          <cell r="C46" t="str">
            <v>0117700</v>
          </cell>
          <cell r="D46" t="str">
            <v>Corp. &amp; Employee Communications</v>
          </cell>
          <cell r="E46" t="str">
            <v>Customers &amp; Employees</v>
          </cell>
        </row>
        <row r="47">
          <cell r="C47" t="str">
            <v>0115000</v>
          </cell>
          <cell r="D47" t="str">
            <v>Information Services</v>
          </cell>
          <cell r="E47" t="str">
            <v>Avg of all IS Departments (Customers)</v>
          </cell>
        </row>
        <row r="48">
          <cell r="C48" t="str">
            <v>0118000</v>
          </cell>
          <cell r="D48" t="str">
            <v>Remittance Processing</v>
          </cell>
          <cell r="E48" t="str">
            <v>Customers</v>
          </cell>
        </row>
        <row r="49">
          <cell r="C49" t="str">
            <v>0118100</v>
          </cell>
          <cell r="D49" t="str">
            <v>Employee Development</v>
          </cell>
          <cell r="E49" t="str">
            <v>Employees</v>
          </cell>
        </row>
        <row r="50">
          <cell r="C50" t="str">
            <v>0118200</v>
          </cell>
          <cell r="D50" t="str">
            <v>Central Records</v>
          </cell>
          <cell r="E50" t="str">
            <v>Customers</v>
          </cell>
        </row>
        <row r="51">
          <cell r="C51" t="str">
            <v>0118300</v>
          </cell>
          <cell r="D51" t="str">
            <v>Stores</v>
          </cell>
          <cell r="E51" t="str">
            <v>None</v>
          </cell>
        </row>
        <row r="52">
          <cell r="C52" t="str">
            <v>0115600</v>
          </cell>
          <cell r="D52" t="str">
            <v>Telecommunication Services</v>
          </cell>
          <cell r="E52" t="str">
            <v>Customers</v>
          </cell>
        </row>
        <row r="53">
          <cell r="C53" t="str">
            <v>0115400</v>
          </cell>
          <cell r="D53" t="str">
            <v>Information Support</v>
          </cell>
          <cell r="E53" t="str">
            <v>Customers</v>
          </cell>
        </row>
        <row r="54">
          <cell r="C54" t="str">
            <v>0115300</v>
          </cell>
          <cell r="D54" t="str">
            <v>Development Services</v>
          </cell>
          <cell r="E54" t="str">
            <v>Customers</v>
          </cell>
        </row>
        <row r="55">
          <cell r="C55" t="str">
            <v>0115100</v>
          </cell>
          <cell r="D55" t="str">
            <v>Production Services</v>
          </cell>
          <cell r="E55" t="str">
            <v>Customers</v>
          </cell>
        </row>
        <row r="56">
          <cell r="C56" t="str">
            <v>0118600</v>
          </cell>
          <cell r="D56" t="str">
            <v>Purchasing &amp; Stores</v>
          </cell>
          <cell r="E56" t="str">
            <v>Purchase Orders &amp; Residual</v>
          </cell>
        </row>
        <row r="57">
          <cell r="C57" t="str">
            <v>0118500</v>
          </cell>
          <cell r="D57" t="str">
            <v>Mail &amp; Supply</v>
          </cell>
          <cell r="E57" t="str">
            <v>Employees</v>
          </cell>
        </row>
        <row r="58">
          <cell r="C58" t="str">
            <v>0115500</v>
          </cell>
          <cell r="D58" t="str">
            <v>Office Systems</v>
          </cell>
          <cell r="E58" t="str">
            <v>Customers</v>
          </cell>
        </row>
        <row r="59">
          <cell r="C59" t="str">
            <v>0119000</v>
          </cell>
          <cell r="D59" t="str">
            <v>Employee Relocation Expense</v>
          </cell>
          <cell r="E59" t="str">
            <v>Residual for 02/Direct for others</v>
          </cell>
        </row>
        <row r="60">
          <cell r="C60" t="str">
            <v>0119200</v>
          </cell>
          <cell r="D60" t="str">
            <v>Controller Miscellaneous</v>
          </cell>
          <cell r="E60" t="str">
            <v>Residual</v>
          </cell>
        </row>
        <row r="61">
          <cell r="C61" t="str">
            <v>0119600</v>
          </cell>
          <cell r="D61" t="str">
            <v>Retirement Cost</v>
          </cell>
          <cell r="E61" t="str">
            <v>Residual</v>
          </cell>
        </row>
        <row r="62">
          <cell r="C62" t="str">
            <v>0119210</v>
          </cell>
          <cell r="D62" t="str">
            <v>Performance Plan</v>
          </cell>
          <cell r="E62" t="str">
            <v>Residual</v>
          </cell>
        </row>
        <row r="63">
          <cell r="C63" t="str">
            <v>0119800</v>
          </cell>
          <cell r="D63" t="str">
            <v>A&amp;G O/H Capitl'd (Div 02)</v>
          </cell>
          <cell r="E63" t="str">
            <v>Residual</v>
          </cell>
        </row>
        <row r="64">
          <cell r="C64" t="str">
            <v>0119800</v>
          </cell>
          <cell r="D64" t="str">
            <v>A&amp;G O/H Capitalized</v>
          </cell>
          <cell r="E64" t="str">
            <v>% of Capital Expenditures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8">
    <tabColor rgb="FF00B0F0"/>
    <pageSetUpPr fitToPage="1"/>
  </sheetPr>
  <dimension ref="A1:AG209"/>
  <sheetViews>
    <sheetView showGridLines="0" tabSelected="1" zoomScale="85" zoomScaleNormal="85" zoomScaleSheetLayoutView="100" workbookViewId="0">
      <pane xSplit="3" ySplit="9" topLeftCell="D10" activePane="bottomRight" state="frozen"/>
      <selection pane="topRight" activeCell="F1" sqref="F1"/>
      <selection pane="bottomLeft" activeCell="A10" sqref="A10"/>
      <selection pane="bottomRight" activeCell="I8" sqref="I8"/>
    </sheetView>
  </sheetViews>
  <sheetFormatPr defaultColWidth="9.140625" defaultRowHeight="12.75" x14ac:dyDescent="0.2"/>
  <cols>
    <col min="1" max="1" width="4" style="17" customWidth="1"/>
    <col min="2" max="2" width="37.28515625" style="4" customWidth="1"/>
    <col min="3" max="3" width="4" style="4" customWidth="1"/>
    <col min="4" max="4" width="19.85546875" style="4" bestFit="1" customWidth="1"/>
    <col min="5" max="5" width="17.42578125" style="7" customWidth="1"/>
    <col min="6" max="6" width="15.85546875" style="4" customWidth="1"/>
    <col min="7" max="8" width="15.42578125" style="4" customWidth="1"/>
    <col min="9" max="9" width="16.85546875" style="4" customWidth="1"/>
    <col min="10" max="10" width="15.42578125" style="4" customWidth="1"/>
    <col min="11" max="12" width="16.85546875" style="4" customWidth="1"/>
    <col min="13" max="13" width="17" style="4" customWidth="1"/>
    <col min="14" max="14" width="14.28515625" style="9" bestFit="1" customWidth="1"/>
    <col min="15" max="15" width="14.28515625" style="4" bestFit="1" customWidth="1"/>
    <col min="16" max="16" width="15" style="4" bestFit="1" customWidth="1"/>
    <col min="17" max="17" width="16" style="9" bestFit="1" customWidth="1"/>
    <col min="18" max="18" width="11.5703125" style="9" bestFit="1" customWidth="1"/>
    <col min="19" max="19" width="10.5703125" style="9" bestFit="1" customWidth="1"/>
    <col min="20" max="20" width="11.28515625" style="9" bestFit="1" customWidth="1"/>
    <col min="21" max="21" width="11.5703125" style="9" bestFit="1" customWidth="1"/>
    <col min="22" max="22" width="15" style="4" bestFit="1" customWidth="1"/>
    <col min="23" max="23" width="14.28515625" style="4" bestFit="1" customWidth="1"/>
    <col min="24" max="24" width="11.5703125" style="4" bestFit="1" customWidth="1"/>
    <col min="25" max="26" width="12.140625" style="4" customWidth="1"/>
    <col min="27" max="27" width="10.7109375" style="4" customWidth="1"/>
    <col min="28" max="28" width="13.5703125" style="4" customWidth="1"/>
    <col min="29" max="29" width="11" style="4" customWidth="1"/>
    <col min="30" max="30" width="11.7109375" style="4" customWidth="1"/>
    <col min="31" max="31" width="10.85546875" style="4" customWidth="1"/>
    <col min="32" max="32" width="11.5703125" style="4" customWidth="1"/>
    <col min="33" max="33" width="7.7109375" style="4" bestFit="1" customWidth="1"/>
    <col min="34" max="16384" width="9.140625" style="4"/>
  </cols>
  <sheetData>
    <row r="1" spans="1:33" s="228" customFormat="1" x14ac:dyDescent="0.2">
      <c r="A1" s="10" t="s">
        <v>225</v>
      </c>
      <c r="B1" s="10"/>
      <c r="C1" s="10"/>
      <c r="D1" s="10"/>
      <c r="E1" s="194"/>
      <c r="F1" s="10"/>
      <c r="G1" s="10"/>
      <c r="H1" s="10"/>
      <c r="I1" s="32"/>
      <c r="J1" s="32"/>
      <c r="K1" s="10"/>
      <c r="L1" s="10"/>
      <c r="M1" s="10"/>
      <c r="N1" s="32"/>
      <c r="O1" s="115"/>
      <c r="V1" s="115"/>
      <c r="W1" s="115"/>
      <c r="X1" s="115"/>
      <c r="Z1" s="115"/>
      <c r="AA1" s="115"/>
      <c r="AC1" s="115"/>
      <c r="AD1" s="115"/>
      <c r="AE1" s="115"/>
      <c r="AF1" s="115"/>
    </row>
    <row r="2" spans="1:33" s="228" customFormat="1" ht="15" x14ac:dyDescent="0.25">
      <c r="A2" s="37" t="s">
        <v>0</v>
      </c>
      <c r="B2" s="10"/>
      <c r="C2" s="10"/>
      <c r="D2" s="10"/>
      <c r="E2" s="36"/>
      <c r="F2" s="10"/>
      <c r="G2" s="10"/>
      <c r="H2" s="10"/>
      <c r="I2" s="32"/>
      <c r="J2" s="32"/>
      <c r="K2" s="10"/>
      <c r="L2" s="10"/>
      <c r="M2" s="227"/>
      <c r="N2" s="32"/>
      <c r="O2" s="115"/>
      <c r="V2" s="115"/>
      <c r="W2" s="115"/>
      <c r="X2" s="115"/>
      <c r="Z2" s="115"/>
      <c r="AA2" s="115"/>
      <c r="AC2" s="115"/>
      <c r="AD2" s="115"/>
      <c r="AE2" s="115"/>
      <c r="AF2" s="115"/>
    </row>
    <row r="3" spans="1:33" s="228" customFormat="1" x14ac:dyDescent="0.2">
      <c r="A3" s="37" t="s">
        <v>226</v>
      </c>
      <c r="B3" s="10"/>
      <c r="C3" s="10"/>
      <c r="D3" s="10"/>
      <c r="E3" s="36"/>
      <c r="F3" s="10"/>
      <c r="G3" s="10"/>
      <c r="H3" s="10"/>
      <c r="I3" s="10"/>
      <c r="J3" s="32"/>
      <c r="K3" s="10"/>
      <c r="L3" s="10"/>
      <c r="M3" s="110"/>
      <c r="N3" s="32"/>
      <c r="O3" s="115"/>
      <c r="V3" s="115"/>
      <c r="W3" s="115"/>
      <c r="X3" s="115"/>
      <c r="Z3" s="115"/>
      <c r="AA3" s="115"/>
      <c r="AC3" s="115"/>
      <c r="AD3" s="115"/>
      <c r="AE3" s="115"/>
      <c r="AF3" s="115"/>
    </row>
    <row r="4" spans="1:33" s="11" customFormat="1" x14ac:dyDescent="0.2">
      <c r="B4" s="10"/>
      <c r="C4" s="10"/>
      <c r="D4" s="10"/>
      <c r="E4" s="36"/>
      <c r="F4" s="10"/>
      <c r="G4" s="10"/>
      <c r="H4" s="10"/>
      <c r="I4" s="10"/>
      <c r="K4" s="10"/>
      <c r="L4" s="10"/>
      <c r="M4" s="10"/>
      <c r="N4" s="32"/>
      <c r="O4" s="10"/>
      <c r="P4" s="32"/>
      <c r="Q4" s="32"/>
      <c r="R4" s="32"/>
      <c r="S4" s="32"/>
      <c r="T4" s="32"/>
      <c r="U4" s="32"/>
      <c r="V4" s="115"/>
      <c r="W4" s="10"/>
      <c r="X4" s="10"/>
      <c r="Y4" s="32"/>
      <c r="Z4" s="10"/>
      <c r="AA4" s="10"/>
      <c r="AB4" s="32"/>
      <c r="AC4" s="10"/>
      <c r="AD4" s="10"/>
      <c r="AE4" s="10"/>
      <c r="AF4" s="10"/>
      <c r="AG4" s="32"/>
    </row>
    <row r="5" spans="1:33" s="11" customFormat="1" x14ac:dyDescent="0.2">
      <c r="A5" s="38"/>
      <c r="E5" s="39"/>
      <c r="M5" s="299" t="s">
        <v>224</v>
      </c>
      <c r="N5" s="299"/>
      <c r="O5" s="299"/>
      <c r="P5" s="299"/>
      <c r="Q5" s="299"/>
      <c r="V5" s="98"/>
    </row>
    <row r="6" spans="1:33" s="222" customFormat="1" ht="14.25" x14ac:dyDescent="0.2">
      <c r="A6" s="223"/>
      <c r="E6" s="224">
        <v>30</v>
      </c>
      <c r="F6" s="222">
        <v>60</v>
      </c>
      <c r="G6" s="222">
        <v>20</v>
      </c>
      <c r="H6" s="222">
        <v>20</v>
      </c>
      <c r="I6" s="222">
        <v>50</v>
      </c>
      <c r="J6" s="222">
        <v>70</v>
      </c>
      <c r="K6" s="222">
        <v>80</v>
      </c>
      <c r="L6" s="222">
        <v>180</v>
      </c>
      <c r="M6" s="232">
        <v>220</v>
      </c>
      <c r="N6" s="232">
        <v>232</v>
      </c>
      <c r="O6" s="232">
        <v>233</v>
      </c>
      <c r="P6" s="232">
        <v>303</v>
      </c>
      <c r="Q6" s="232">
        <v>312</v>
      </c>
      <c r="R6" s="222">
        <v>232</v>
      </c>
      <c r="S6" s="222">
        <v>234</v>
      </c>
      <c r="T6" s="222">
        <v>303</v>
      </c>
      <c r="U6" s="222">
        <v>221</v>
      </c>
      <c r="V6" s="222">
        <v>231</v>
      </c>
      <c r="W6" s="222">
        <v>233</v>
      </c>
      <c r="X6" s="222">
        <v>236</v>
      </c>
      <c r="Y6" s="222">
        <v>237</v>
      </c>
      <c r="Z6" s="222">
        <v>220</v>
      </c>
      <c r="AA6" s="222">
        <v>301</v>
      </c>
      <c r="AB6" s="222">
        <v>302</v>
      </c>
      <c r="AC6" s="222">
        <v>306</v>
      </c>
      <c r="AD6" s="222">
        <v>312</v>
      </c>
    </row>
    <row r="7" spans="1:33" s="5" customFormat="1" ht="15.75" x14ac:dyDescent="0.25">
      <c r="A7" s="38"/>
      <c r="B7" s="111" t="s">
        <v>79</v>
      </c>
      <c r="C7" s="118"/>
      <c r="D7" s="118"/>
      <c r="P7" s="5" t="s">
        <v>213</v>
      </c>
      <c r="Q7" s="11" t="s">
        <v>215</v>
      </c>
    </row>
    <row r="8" spans="1:33" s="5" customFormat="1" ht="25.5" x14ac:dyDescent="0.2">
      <c r="A8" s="40" t="s">
        <v>8</v>
      </c>
      <c r="B8" s="41"/>
      <c r="C8" s="18"/>
      <c r="D8" s="6" t="s">
        <v>1</v>
      </c>
      <c r="E8" s="70" t="s">
        <v>13</v>
      </c>
      <c r="F8" s="6" t="s">
        <v>10</v>
      </c>
      <c r="G8" s="6" t="s">
        <v>11</v>
      </c>
      <c r="H8" s="6" t="s">
        <v>12</v>
      </c>
      <c r="I8" s="95" t="s">
        <v>82</v>
      </c>
      <c r="J8" s="6" t="s">
        <v>81</v>
      </c>
      <c r="K8" s="6" t="s">
        <v>14</v>
      </c>
      <c r="L8" s="8" t="s">
        <v>83</v>
      </c>
      <c r="M8" s="225" t="s">
        <v>207</v>
      </c>
      <c r="N8" s="226" t="s">
        <v>209</v>
      </c>
      <c r="O8" s="226" t="s">
        <v>210</v>
      </c>
      <c r="P8" s="226" t="s">
        <v>208</v>
      </c>
      <c r="Q8" s="226" t="s">
        <v>214</v>
      </c>
      <c r="R8" s="8" t="s">
        <v>102</v>
      </c>
      <c r="S8" s="8" t="s">
        <v>103</v>
      </c>
      <c r="T8" s="8" t="s">
        <v>86</v>
      </c>
      <c r="U8" s="8" t="s">
        <v>100</v>
      </c>
      <c r="V8" s="8" t="s">
        <v>101</v>
      </c>
      <c r="W8" s="8" t="s">
        <v>84</v>
      </c>
      <c r="X8" s="8" t="s">
        <v>85</v>
      </c>
      <c r="Y8" s="8" t="s">
        <v>104</v>
      </c>
      <c r="Z8" s="8">
        <v>220</v>
      </c>
      <c r="AA8" s="8" t="s">
        <v>178</v>
      </c>
      <c r="AB8" s="8" t="s">
        <v>105</v>
      </c>
      <c r="AC8" s="8" t="s">
        <v>106</v>
      </c>
      <c r="AD8" s="8" t="s">
        <v>107</v>
      </c>
    </row>
    <row r="9" spans="1:33" x14ac:dyDescent="0.2">
      <c r="D9" s="42"/>
      <c r="E9" s="43"/>
      <c r="P9" s="9"/>
      <c r="S9" s="4"/>
      <c r="U9" s="4"/>
      <c r="X9" s="9"/>
      <c r="Z9" s="9"/>
    </row>
    <row r="10" spans="1:33" s="3" customFormat="1" x14ac:dyDescent="0.2">
      <c r="A10" s="17"/>
      <c r="B10" s="2" t="s">
        <v>2</v>
      </c>
      <c r="C10" s="3" t="s">
        <v>3</v>
      </c>
      <c r="D10" s="71">
        <f>E10+F10+G10+H10+I10+J10+K10+L10+M10+N10+O10+P10+Q10</f>
        <v>15863222630.969997</v>
      </c>
      <c r="E10" s="96">
        <v>1092949490.3900001</v>
      </c>
      <c r="F10" s="96">
        <v>750894078.5</v>
      </c>
      <c r="G10" s="96">
        <v>384369334.97000003</v>
      </c>
      <c r="H10" s="96">
        <v>858046078.57000005</v>
      </c>
      <c r="I10" s="96">
        <v>1571399765.04</v>
      </c>
      <c r="J10" s="96">
        <v>886564153.44000006</v>
      </c>
      <c r="K10" s="96">
        <v>6360262428.21</v>
      </c>
      <c r="L10" s="96">
        <v>3894610534.6199999</v>
      </c>
      <c r="M10" s="96">
        <f>Z10</f>
        <v>5232712.42</v>
      </c>
      <c r="N10" s="96">
        <f>R10</f>
        <v>11339002.470000001</v>
      </c>
      <c r="O10" s="96">
        <f>W10</f>
        <v>15857921.939999999</v>
      </c>
      <c r="P10" s="96">
        <f>T10+S10+V10+X10</f>
        <v>31644761.740000002</v>
      </c>
      <c r="Q10" s="7">
        <f>AD10+U10+Y10+AB10+AC10+AA10</f>
        <v>52368.66</v>
      </c>
      <c r="R10" s="96">
        <v>11339002.470000001</v>
      </c>
      <c r="S10" s="96">
        <v>8480854.7100000009</v>
      </c>
      <c r="T10" s="96">
        <v>23163907.030000001</v>
      </c>
      <c r="U10" s="96"/>
      <c r="V10" s="96"/>
      <c r="W10" s="96">
        <v>15857921.939999999</v>
      </c>
      <c r="X10" s="96"/>
      <c r="Y10" s="96"/>
      <c r="Z10" s="96">
        <v>5232712.42</v>
      </c>
      <c r="AA10" s="96">
        <v>52368.66</v>
      </c>
      <c r="AB10" s="96"/>
      <c r="AC10" s="96"/>
      <c r="AD10" s="96"/>
    </row>
    <row r="11" spans="1:33" s="3" customFormat="1" x14ac:dyDescent="0.2">
      <c r="A11" s="17"/>
      <c r="B11" s="3" t="s">
        <v>4</v>
      </c>
      <c r="C11" s="3" t="s">
        <v>5</v>
      </c>
      <c r="D11" s="71">
        <f>E11+F11+G11+H11+I11+J11+K11+L11+M11+N11+O11+P11+Q11</f>
        <v>3217572.6666666665</v>
      </c>
      <c r="E11" s="97">
        <v>307488</v>
      </c>
      <c r="F11" s="96">
        <v>260779</v>
      </c>
      <c r="G11" s="96">
        <v>73477</v>
      </c>
      <c r="H11" s="96">
        <v>280594</v>
      </c>
      <c r="I11" s="96">
        <v>354687</v>
      </c>
      <c r="J11" s="96">
        <v>247704</v>
      </c>
      <c r="K11" s="96">
        <v>1692259</v>
      </c>
      <c r="L11" s="96">
        <v>321.66666666666669</v>
      </c>
      <c r="M11" s="96">
        <f t="shared" ref="M11:M12" si="0">Z11</f>
        <v>256</v>
      </c>
      <c r="N11" s="96">
        <f t="shared" ref="N11:N12" si="1">R11</f>
        <v>0</v>
      </c>
      <c r="O11" s="96">
        <f t="shared" ref="O11:O12" si="2">W11</f>
        <v>0</v>
      </c>
      <c r="P11" s="96">
        <f t="shared" ref="P11:P12" si="3">T11+S11+V11+X11</f>
        <v>7</v>
      </c>
      <c r="Q11" s="7">
        <f>AD11+U11+Y11+AB11+AC11+AA11</f>
        <v>0</v>
      </c>
      <c r="R11" s="96"/>
      <c r="S11" s="96"/>
      <c r="T11" s="96">
        <v>7</v>
      </c>
      <c r="U11" s="96"/>
      <c r="V11" s="96"/>
      <c r="W11" s="96"/>
      <c r="X11" s="96"/>
      <c r="Y11" s="96"/>
      <c r="Z11" s="96">
        <v>256</v>
      </c>
      <c r="AA11" s="96"/>
      <c r="AB11" s="96"/>
      <c r="AC11" s="96"/>
      <c r="AD11" s="96"/>
    </row>
    <row r="12" spans="1:33" s="3" customFormat="1" x14ac:dyDescent="0.2">
      <c r="A12" s="17"/>
      <c r="B12" s="2" t="s">
        <v>15</v>
      </c>
      <c r="C12" s="3" t="s">
        <v>3</v>
      </c>
      <c r="D12" s="71">
        <f>E12+F12+G12+H12+I12+J12+K12+L12+M12+N12+O12+P12+Q12</f>
        <v>482078049.23999995</v>
      </c>
      <c r="E12" s="97">
        <v>36316769.729999997</v>
      </c>
      <c r="F12" s="96">
        <v>30303178.539999999</v>
      </c>
      <c r="G12" s="97">
        <v>11437183.24</v>
      </c>
      <c r="H12" s="97">
        <v>27474255.489999998</v>
      </c>
      <c r="I12" s="96">
        <v>41742549.240000002</v>
      </c>
      <c r="J12" s="96">
        <v>37397296.719999999</v>
      </c>
      <c r="K12" s="96">
        <v>155042377.16999999</v>
      </c>
      <c r="L12" s="96">
        <v>139755611.15000001</v>
      </c>
      <c r="M12" s="96">
        <f t="shared" si="0"/>
        <v>812978.81</v>
      </c>
      <c r="N12" s="96">
        <f t="shared" si="1"/>
        <v>223537.32</v>
      </c>
      <c r="O12" s="96">
        <f t="shared" si="2"/>
        <v>155517.22</v>
      </c>
      <c r="P12" s="96">
        <f t="shared" si="3"/>
        <v>1350533.08</v>
      </c>
      <c r="Q12" s="7">
        <f t="shared" ref="Q12" si="4">AD12+U12+Y12+AB12+AC12+AA12</f>
        <v>66261.530000000013</v>
      </c>
      <c r="R12" s="96">
        <v>223537.32</v>
      </c>
      <c r="S12" s="96">
        <v>415025.33</v>
      </c>
      <c r="T12" s="96">
        <v>918948.96</v>
      </c>
      <c r="U12" s="96">
        <v>3348.44</v>
      </c>
      <c r="V12" s="96">
        <v>13583.26</v>
      </c>
      <c r="W12" s="96">
        <v>155517.22</v>
      </c>
      <c r="X12" s="96">
        <v>2975.53</v>
      </c>
      <c r="Y12" s="96">
        <v>523.29999999999995</v>
      </c>
      <c r="Z12" s="96">
        <v>812978.81</v>
      </c>
      <c r="AA12" s="96">
        <v>5602.9</v>
      </c>
      <c r="AB12" s="96">
        <v>2982.59</v>
      </c>
      <c r="AC12" s="96">
        <v>4611.79</v>
      </c>
      <c r="AD12" s="96">
        <v>49192.51</v>
      </c>
    </row>
    <row r="13" spans="1:33" s="3" customFormat="1" x14ac:dyDescent="0.2">
      <c r="A13" s="17"/>
      <c r="B13" s="44" t="s">
        <v>16</v>
      </c>
      <c r="D13" s="45"/>
      <c r="E13" s="1"/>
      <c r="F13" s="1"/>
      <c r="G13" s="1"/>
      <c r="H13" s="1"/>
      <c r="I13" s="1" t="s">
        <v>21</v>
      </c>
      <c r="J13" s="1"/>
      <c r="K13" s="1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</row>
    <row r="14" spans="1:33" x14ac:dyDescent="0.2">
      <c r="A14" s="46"/>
      <c r="D14" s="47"/>
      <c r="E14" s="94"/>
      <c r="F14" s="33"/>
      <c r="I14" s="33"/>
      <c r="P14" s="9"/>
      <c r="S14" s="4"/>
      <c r="U14" s="33"/>
      <c r="X14" s="9"/>
      <c r="Z14" s="9"/>
    </row>
    <row r="15" spans="1:33" s="12" customFormat="1" x14ac:dyDescent="0.2">
      <c r="A15" s="17"/>
      <c r="B15" s="2" t="s">
        <v>2</v>
      </c>
      <c r="C15" s="12" t="s">
        <v>6</v>
      </c>
      <c r="D15" s="73">
        <f>SUM(E15:Q15)</f>
        <v>1</v>
      </c>
      <c r="E15" s="74">
        <f>1-SUM(F15:Q15)</f>
        <v>6.899999999999995E-2</v>
      </c>
      <c r="F15" s="73">
        <f>ROUND(F10/$D$10,4)</f>
        <v>4.7300000000000002E-2</v>
      </c>
      <c r="G15" s="73">
        <f t="shared" ref="G15:AD15" si="5">ROUND(G10/$D10,4)</f>
        <v>2.4199999999999999E-2</v>
      </c>
      <c r="H15" s="73">
        <f t="shared" si="5"/>
        <v>5.4100000000000002E-2</v>
      </c>
      <c r="I15" s="73">
        <f t="shared" si="5"/>
        <v>9.9099999999999994E-2</v>
      </c>
      <c r="J15" s="73">
        <f t="shared" si="5"/>
        <v>5.5899999999999998E-2</v>
      </c>
      <c r="K15" s="73">
        <f t="shared" si="5"/>
        <v>0.40089999999999998</v>
      </c>
      <c r="L15" s="73">
        <f t="shared" si="5"/>
        <v>0.2455</v>
      </c>
      <c r="M15" s="73">
        <f t="shared" si="5"/>
        <v>2.9999999999999997E-4</v>
      </c>
      <c r="N15" s="73">
        <f t="shared" si="5"/>
        <v>6.9999999999999999E-4</v>
      </c>
      <c r="O15" s="73">
        <f t="shared" si="5"/>
        <v>1E-3</v>
      </c>
      <c r="P15" s="73">
        <f t="shared" si="5"/>
        <v>2E-3</v>
      </c>
      <c r="Q15" s="73">
        <f t="shared" ref="Q15:R17" si="6">ROUND(Q10/$D10,4)</f>
        <v>0</v>
      </c>
      <c r="R15" s="73">
        <f t="shared" si="6"/>
        <v>6.9999999999999999E-4</v>
      </c>
      <c r="S15" s="73">
        <f t="shared" si="5"/>
        <v>5.0000000000000001E-4</v>
      </c>
      <c r="T15" s="73">
        <f t="shared" si="5"/>
        <v>1.5E-3</v>
      </c>
      <c r="U15" s="73">
        <f t="shared" si="5"/>
        <v>0</v>
      </c>
      <c r="V15" s="73">
        <f t="shared" si="5"/>
        <v>0</v>
      </c>
      <c r="W15" s="73">
        <f t="shared" si="5"/>
        <v>1E-3</v>
      </c>
      <c r="X15" s="73">
        <f t="shared" si="5"/>
        <v>0</v>
      </c>
      <c r="Y15" s="73">
        <f t="shared" si="5"/>
        <v>0</v>
      </c>
      <c r="Z15" s="73">
        <f t="shared" si="5"/>
        <v>2.9999999999999997E-4</v>
      </c>
      <c r="AA15" s="73">
        <f t="shared" si="5"/>
        <v>0</v>
      </c>
      <c r="AB15" s="73">
        <f t="shared" si="5"/>
        <v>0</v>
      </c>
      <c r="AC15" s="73">
        <f t="shared" si="5"/>
        <v>0</v>
      </c>
      <c r="AD15" s="73">
        <f t="shared" si="5"/>
        <v>0</v>
      </c>
    </row>
    <row r="16" spans="1:33" s="12" customFormat="1" x14ac:dyDescent="0.2">
      <c r="A16" s="17"/>
      <c r="B16" s="3" t="s">
        <v>4</v>
      </c>
      <c r="C16" s="12" t="s">
        <v>6</v>
      </c>
      <c r="D16" s="75">
        <f>SUM(E16:Q16)</f>
        <v>1</v>
      </c>
      <c r="E16" s="74">
        <f>1-SUM(F16:Q16)</f>
        <v>9.5699999999999896E-2</v>
      </c>
      <c r="F16" s="73">
        <f>ROUND(F11/$D$11,4)</f>
        <v>8.1000000000000003E-2</v>
      </c>
      <c r="G16" s="73">
        <f t="shared" ref="G16:N17" si="7">ROUND(G11/$D11,4)</f>
        <v>2.2800000000000001E-2</v>
      </c>
      <c r="H16" s="73">
        <f t="shared" si="7"/>
        <v>8.72E-2</v>
      </c>
      <c r="I16" s="73">
        <f t="shared" si="7"/>
        <v>0.11020000000000001</v>
      </c>
      <c r="J16" s="73">
        <f t="shared" si="7"/>
        <v>7.6999999999999999E-2</v>
      </c>
      <c r="K16" s="73">
        <f t="shared" si="7"/>
        <v>0.52590000000000003</v>
      </c>
      <c r="L16" s="73">
        <f t="shared" si="7"/>
        <v>1E-4</v>
      </c>
      <c r="M16" s="73">
        <f t="shared" si="7"/>
        <v>1E-4</v>
      </c>
      <c r="N16" s="73">
        <f t="shared" si="7"/>
        <v>0</v>
      </c>
      <c r="O16" s="73">
        <f t="shared" ref="O16:O17" si="8">ROUND(O11/$D11,4)</f>
        <v>0</v>
      </c>
      <c r="P16" s="73">
        <f t="shared" ref="P16:P17" si="9">ROUND(P11/$D11,4)</f>
        <v>0</v>
      </c>
      <c r="Q16" s="73">
        <f t="shared" si="6"/>
        <v>0</v>
      </c>
      <c r="R16" s="73">
        <f t="shared" si="6"/>
        <v>0</v>
      </c>
      <c r="S16" s="73">
        <f t="shared" ref="S16:S17" si="10">ROUND(S11/$D11,4)</f>
        <v>0</v>
      </c>
      <c r="T16" s="73">
        <f t="shared" ref="T16:AD16" si="11">ROUND(T11/$D11,4)</f>
        <v>0</v>
      </c>
      <c r="U16" s="73">
        <f t="shared" si="11"/>
        <v>0</v>
      </c>
      <c r="V16" s="73">
        <f t="shared" si="11"/>
        <v>0</v>
      </c>
      <c r="W16" s="73">
        <f t="shared" si="11"/>
        <v>0</v>
      </c>
      <c r="X16" s="73">
        <f t="shared" si="11"/>
        <v>0</v>
      </c>
      <c r="Y16" s="73">
        <f t="shared" si="11"/>
        <v>0</v>
      </c>
      <c r="Z16" s="73">
        <f t="shared" si="11"/>
        <v>1E-4</v>
      </c>
      <c r="AA16" s="73">
        <f t="shared" si="11"/>
        <v>0</v>
      </c>
      <c r="AB16" s="73">
        <f t="shared" si="11"/>
        <v>0</v>
      </c>
      <c r="AC16" s="73">
        <f t="shared" si="11"/>
        <v>0</v>
      </c>
      <c r="AD16" s="73">
        <f t="shared" si="11"/>
        <v>0</v>
      </c>
    </row>
    <row r="17" spans="1:32" s="12" customFormat="1" x14ac:dyDescent="0.2">
      <c r="A17" s="17"/>
      <c r="B17" s="2" t="s">
        <v>7</v>
      </c>
      <c r="C17" s="12" t="s">
        <v>6</v>
      </c>
      <c r="D17" s="75">
        <f>SUM(E17:Q17)</f>
        <v>1.0000000000000002</v>
      </c>
      <c r="E17" s="74">
        <f>1-SUM(F17:Q17)</f>
        <v>7.5300000000000034E-2</v>
      </c>
      <c r="F17" s="73">
        <f>ROUND(F12/$D12,4)</f>
        <v>6.2899999999999998E-2</v>
      </c>
      <c r="G17" s="73">
        <f t="shared" si="7"/>
        <v>2.3699999999999999E-2</v>
      </c>
      <c r="H17" s="73">
        <f t="shared" si="7"/>
        <v>5.7000000000000002E-2</v>
      </c>
      <c r="I17" s="73">
        <f t="shared" si="7"/>
        <v>8.6599999999999996E-2</v>
      </c>
      <c r="J17" s="73">
        <f t="shared" si="7"/>
        <v>7.7600000000000002E-2</v>
      </c>
      <c r="K17" s="73">
        <f t="shared" si="7"/>
        <v>0.3216</v>
      </c>
      <c r="L17" s="73">
        <f t="shared" si="7"/>
        <v>0.28989999999999999</v>
      </c>
      <c r="M17" s="73">
        <f t="shared" si="7"/>
        <v>1.6999999999999999E-3</v>
      </c>
      <c r="N17" s="73">
        <f t="shared" si="7"/>
        <v>5.0000000000000001E-4</v>
      </c>
      <c r="O17" s="73">
        <f t="shared" si="8"/>
        <v>2.9999999999999997E-4</v>
      </c>
      <c r="P17" s="73">
        <f t="shared" si="9"/>
        <v>2.8E-3</v>
      </c>
      <c r="Q17" s="73">
        <f t="shared" si="6"/>
        <v>1E-4</v>
      </c>
      <c r="R17" s="73">
        <f t="shared" si="6"/>
        <v>5.0000000000000001E-4</v>
      </c>
      <c r="S17" s="73">
        <f t="shared" si="10"/>
        <v>8.9999999999999998E-4</v>
      </c>
      <c r="T17" s="73">
        <f t="shared" ref="T17:AD17" si="12">ROUND(T12/$D12,4)</f>
        <v>1.9E-3</v>
      </c>
      <c r="U17" s="73">
        <f t="shared" si="12"/>
        <v>0</v>
      </c>
      <c r="V17" s="73">
        <f t="shared" si="12"/>
        <v>0</v>
      </c>
      <c r="W17" s="73">
        <f t="shared" si="12"/>
        <v>2.9999999999999997E-4</v>
      </c>
      <c r="X17" s="73">
        <f t="shared" si="12"/>
        <v>0</v>
      </c>
      <c r="Y17" s="73">
        <f t="shared" si="12"/>
        <v>0</v>
      </c>
      <c r="Z17" s="73">
        <f t="shared" si="12"/>
        <v>1.6999999999999999E-3</v>
      </c>
      <c r="AA17" s="73">
        <f t="shared" si="12"/>
        <v>0</v>
      </c>
      <c r="AB17" s="73">
        <f t="shared" si="12"/>
        <v>0</v>
      </c>
      <c r="AC17" s="73">
        <f t="shared" si="12"/>
        <v>0</v>
      </c>
      <c r="AD17" s="73">
        <f t="shared" si="12"/>
        <v>1E-4</v>
      </c>
    </row>
    <row r="18" spans="1:32" s="12" customFormat="1" x14ac:dyDescent="0.2">
      <c r="A18" s="17"/>
      <c r="B18" s="48"/>
      <c r="D18" s="76"/>
      <c r="E18" s="77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</row>
    <row r="19" spans="1:32" s="218" customFormat="1" x14ac:dyDescent="0.2">
      <c r="A19" s="217"/>
      <c r="B19" s="219" t="s">
        <v>227</v>
      </c>
      <c r="C19" s="218" t="s">
        <v>6</v>
      </c>
      <c r="D19" s="179">
        <f>SUM(E19:Q19)</f>
        <v>1</v>
      </c>
      <c r="E19" s="175">
        <f>1-SUM(F19:Q19)</f>
        <v>8.010000000000006E-2</v>
      </c>
      <c r="F19" s="175">
        <f t="shared" ref="F19:L19" si="13">ROUND(AVERAGE(F15:F17),4)</f>
        <v>6.3700000000000007E-2</v>
      </c>
      <c r="G19" s="175">
        <f t="shared" si="13"/>
        <v>2.3599999999999999E-2</v>
      </c>
      <c r="H19" s="175">
        <f t="shared" si="13"/>
        <v>6.6100000000000006E-2</v>
      </c>
      <c r="I19" s="175">
        <f t="shared" si="13"/>
        <v>9.8599999999999993E-2</v>
      </c>
      <c r="J19" s="175">
        <f t="shared" si="13"/>
        <v>7.0199999999999999E-2</v>
      </c>
      <c r="K19" s="175">
        <f t="shared" si="13"/>
        <v>0.41610000000000003</v>
      </c>
      <c r="L19" s="175">
        <f t="shared" si="13"/>
        <v>0.17849999999999999</v>
      </c>
      <c r="M19" s="175">
        <f>ROUND(AVERAGE(M15:M17),4)</f>
        <v>6.9999999999999999E-4</v>
      </c>
      <c r="N19" s="175">
        <f>ROUND(AVERAGE(N15:N17),4)</f>
        <v>4.0000000000000002E-4</v>
      </c>
      <c r="O19" s="175">
        <f t="shared" ref="O19" si="14">ROUND(AVERAGE(O15:O17),4)</f>
        <v>4.0000000000000002E-4</v>
      </c>
      <c r="P19" s="175">
        <f t="shared" ref="P19:AD19" si="15">ROUND(AVERAGE(P15:P17),4)</f>
        <v>1.6000000000000001E-3</v>
      </c>
      <c r="Q19" s="175">
        <f>ROUND(AVERAGE(Q15:Q17),4)</f>
        <v>0</v>
      </c>
      <c r="R19" s="175">
        <f t="shared" si="15"/>
        <v>4.0000000000000002E-4</v>
      </c>
      <c r="S19" s="175">
        <f t="shared" si="15"/>
        <v>5.0000000000000001E-4</v>
      </c>
      <c r="T19" s="175">
        <f t="shared" si="15"/>
        <v>1.1000000000000001E-3</v>
      </c>
      <c r="U19" s="175">
        <f t="shared" si="15"/>
        <v>0</v>
      </c>
      <c r="V19" s="175">
        <f t="shared" si="15"/>
        <v>0</v>
      </c>
      <c r="W19" s="175">
        <f t="shared" si="15"/>
        <v>4.0000000000000002E-4</v>
      </c>
      <c r="X19" s="175">
        <f t="shared" si="15"/>
        <v>0</v>
      </c>
      <c r="Y19" s="175">
        <f t="shared" si="15"/>
        <v>0</v>
      </c>
      <c r="Z19" s="175">
        <f t="shared" si="15"/>
        <v>6.9999999999999999E-4</v>
      </c>
      <c r="AA19" s="175">
        <f t="shared" si="15"/>
        <v>0</v>
      </c>
      <c r="AB19" s="175">
        <f t="shared" si="15"/>
        <v>0</v>
      </c>
      <c r="AC19" s="175">
        <f t="shared" si="15"/>
        <v>0</v>
      </c>
      <c r="AD19" s="175">
        <f t="shared" si="15"/>
        <v>0</v>
      </c>
    </row>
    <row r="20" spans="1:32" s="12" customFormat="1" x14ac:dyDescent="0.2">
      <c r="A20" s="17"/>
      <c r="B20" s="48"/>
      <c r="D20" s="76"/>
      <c r="E20" s="77"/>
      <c r="F20" s="76"/>
      <c r="G20" s="76"/>
      <c r="H20" s="76"/>
      <c r="I20" s="76"/>
      <c r="J20" s="76"/>
      <c r="K20" s="76"/>
      <c r="L20" s="76"/>
      <c r="M20" s="229"/>
      <c r="N20" s="229"/>
      <c r="O20" s="229"/>
      <c r="P20" s="230"/>
      <c r="Q20" s="229"/>
      <c r="R20" s="229"/>
      <c r="S20" s="229"/>
      <c r="T20" s="229"/>
      <c r="U20" s="229"/>
      <c r="V20" s="229"/>
      <c r="W20" s="229"/>
      <c r="X20" s="230"/>
      <c r="Y20" s="230"/>
      <c r="Z20" s="230"/>
      <c r="AA20" s="230"/>
      <c r="AB20" s="230"/>
      <c r="AC20" s="230"/>
      <c r="AD20" s="230"/>
      <c r="AE20" s="230"/>
      <c r="AF20" s="230"/>
    </row>
    <row r="21" spans="1:32" s="210" customFormat="1" ht="15.75" x14ac:dyDescent="0.25">
      <c r="A21" s="209"/>
      <c r="B21" s="211"/>
      <c r="D21" s="212"/>
      <c r="E21" s="248"/>
      <c r="F21" s="231"/>
      <c r="G21" s="231"/>
      <c r="H21" s="231"/>
      <c r="I21" s="231"/>
      <c r="J21" s="231"/>
      <c r="K21" s="231"/>
      <c r="L21" s="231"/>
      <c r="M21" s="231"/>
      <c r="N21" s="231"/>
      <c r="O21" s="249"/>
      <c r="P21" s="231"/>
      <c r="Q21" s="231"/>
      <c r="R21" s="250"/>
      <c r="S21" s="250"/>
      <c r="T21" s="250"/>
      <c r="V21" s="212"/>
      <c r="W21" s="120"/>
    </row>
    <row r="22" spans="1:32" s="12" customFormat="1" x14ac:dyDescent="0.2">
      <c r="A22" s="17"/>
      <c r="B22" s="84" t="s">
        <v>78</v>
      </c>
      <c r="D22" s="13"/>
      <c r="L22" s="14"/>
      <c r="M22" s="13"/>
      <c r="N22" s="13"/>
      <c r="O22" s="13"/>
      <c r="Q22" s="14"/>
      <c r="R22" s="14"/>
      <c r="S22" s="14"/>
      <c r="T22" s="14"/>
      <c r="U22" s="14"/>
      <c r="V22" s="13"/>
      <c r="W22" s="13"/>
      <c r="X22" s="13"/>
    </row>
    <row r="23" spans="1:32" s="15" customFormat="1" x14ac:dyDescent="0.2">
      <c r="A23" s="50"/>
      <c r="E23" s="51"/>
      <c r="G23" s="80"/>
      <c r="N23" s="34"/>
      <c r="Q23" s="34"/>
      <c r="R23" s="34"/>
      <c r="S23" s="34"/>
      <c r="T23" s="34"/>
      <c r="U23" s="34"/>
    </row>
    <row r="24" spans="1:32" s="15" customFormat="1" x14ac:dyDescent="0.2">
      <c r="A24" s="50"/>
      <c r="B24" s="2" t="s">
        <v>2</v>
      </c>
      <c r="C24" s="3" t="s">
        <v>3</v>
      </c>
      <c r="D24" s="71">
        <f>SUM(E24:K24)</f>
        <v>11904485329.119999</v>
      </c>
      <c r="E24" s="96">
        <f t="shared" ref="E24:K26" si="16">E10</f>
        <v>1092949490.3900001</v>
      </c>
      <c r="F24" s="96">
        <f t="shared" si="16"/>
        <v>750894078.5</v>
      </c>
      <c r="G24" s="96">
        <f t="shared" si="16"/>
        <v>384369334.97000003</v>
      </c>
      <c r="H24" s="96">
        <f t="shared" si="16"/>
        <v>858046078.57000005</v>
      </c>
      <c r="I24" s="96">
        <f t="shared" si="16"/>
        <v>1571399765.04</v>
      </c>
      <c r="J24" s="96">
        <f t="shared" si="16"/>
        <v>886564153.44000006</v>
      </c>
      <c r="K24" s="96">
        <f t="shared" si="16"/>
        <v>6360262428.21</v>
      </c>
      <c r="L24" s="1"/>
      <c r="M24" s="83"/>
      <c r="N24" s="81"/>
      <c r="O24" s="83"/>
      <c r="P24" s="83"/>
      <c r="Q24" s="81"/>
      <c r="R24" s="34"/>
      <c r="S24" s="34"/>
      <c r="T24" s="34"/>
      <c r="U24" s="34"/>
    </row>
    <row r="25" spans="1:32" s="15" customFormat="1" x14ac:dyDescent="0.2">
      <c r="A25" s="50"/>
      <c r="B25" s="3" t="s">
        <v>4</v>
      </c>
      <c r="C25" s="3" t="s">
        <v>5</v>
      </c>
      <c r="D25" s="71">
        <f>SUM(E25:K25)</f>
        <v>3216988</v>
      </c>
      <c r="E25" s="97">
        <f t="shared" si="16"/>
        <v>307488</v>
      </c>
      <c r="F25" s="96">
        <f t="shared" si="16"/>
        <v>260779</v>
      </c>
      <c r="G25" s="96">
        <f t="shared" si="16"/>
        <v>73477</v>
      </c>
      <c r="H25" s="96">
        <f t="shared" si="16"/>
        <v>280594</v>
      </c>
      <c r="I25" s="96">
        <f t="shared" si="16"/>
        <v>354687</v>
      </c>
      <c r="J25" s="96">
        <f t="shared" si="16"/>
        <v>247704</v>
      </c>
      <c r="K25" s="96">
        <f t="shared" si="16"/>
        <v>1692259</v>
      </c>
      <c r="L25" s="1"/>
      <c r="M25" s="83"/>
      <c r="N25" s="81"/>
      <c r="O25" s="83"/>
      <c r="P25" s="83"/>
      <c r="Q25" s="81"/>
      <c r="R25" s="34"/>
      <c r="S25" s="34"/>
      <c r="T25" s="34"/>
      <c r="U25" s="34"/>
    </row>
    <row r="26" spans="1:32" s="15" customFormat="1" x14ac:dyDescent="0.2">
      <c r="A26" s="50"/>
      <c r="B26" s="2" t="s">
        <v>15</v>
      </c>
      <c r="C26" s="3" t="s">
        <v>3</v>
      </c>
      <c r="D26" s="71">
        <f>SUM(E26:K26)</f>
        <v>339713610.13</v>
      </c>
      <c r="E26" s="97">
        <f t="shared" si="16"/>
        <v>36316769.729999997</v>
      </c>
      <c r="F26" s="96">
        <f t="shared" si="16"/>
        <v>30303178.539999999</v>
      </c>
      <c r="G26" s="97">
        <f t="shared" si="16"/>
        <v>11437183.24</v>
      </c>
      <c r="H26" s="97">
        <f t="shared" si="16"/>
        <v>27474255.489999998</v>
      </c>
      <c r="I26" s="96">
        <f t="shared" si="16"/>
        <v>41742549.240000002</v>
      </c>
      <c r="J26" s="96">
        <f t="shared" si="16"/>
        <v>37397296.719999999</v>
      </c>
      <c r="K26" s="96">
        <f t="shared" si="16"/>
        <v>155042377.16999999</v>
      </c>
      <c r="L26" s="1"/>
      <c r="M26" s="83"/>
      <c r="N26" s="81"/>
      <c r="O26" s="83"/>
      <c r="P26" s="83"/>
      <c r="Q26" s="81"/>
      <c r="R26" s="34"/>
      <c r="S26" s="34"/>
      <c r="T26" s="34"/>
      <c r="U26" s="34"/>
    </row>
    <row r="27" spans="1:32" s="15" customFormat="1" x14ac:dyDescent="0.2">
      <c r="A27" s="50"/>
      <c r="B27" s="44" t="s">
        <v>16</v>
      </c>
      <c r="C27" s="3"/>
      <c r="E27" s="1"/>
      <c r="F27" s="1"/>
      <c r="G27" s="1"/>
      <c r="H27" s="1"/>
      <c r="I27" s="1"/>
      <c r="J27" s="1"/>
      <c r="K27" s="1"/>
      <c r="L27" s="1"/>
      <c r="N27" s="34"/>
      <c r="Q27" s="34"/>
      <c r="R27" s="34"/>
      <c r="S27" s="34"/>
      <c r="T27" s="34"/>
      <c r="U27" s="34"/>
    </row>
    <row r="28" spans="1:32" s="15" customFormat="1" x14ac:dyDescent="0.2">
      <c r="A28" s="50"/>
      <c r="E28" s="51"/>
      <c r="G28" s="80"/>
      <c r="L28" s="78"/>
      <c r="N28" s="34"/>
      <c r="Q28" s="34"/>
      <c r="R28" s="34"/>
      <c r="S28" s="34"/>
      <c r="T28" s="34"/>
      <c r="U28" s="34"/>
    </row>
    <row r="29" spans="1:32" s="15" customFormat="1" x14ac:dyDescent="0.2">
      <c r="A29" s="50"/>
      <c r="B29" s="2" t="s">
        <v>2</v>
      </c>
      <c r="C29" s="12" t="s">
        <v>6</v>
      </c>
      <c r="D29" s="86">
        <f>SUM(E29:K29)</f>
        <v>1</v>
      </c>
      <c r="E29" s="86">
        <f>1-SUM(F29:K29)</f>
        <v>9.1700000000000004E-2</v>
      </c>
      <c r="F29" s="86">
        <f>ROUND(F24/$D$24,4)</f>
        <v>6.3100000000000003E-2</v>
      </c>
      <c r="G29" s="86">
        <f>ROUND(G24/$D$24,4)</f>
        <v>3.2300000000000002E-2</v>
      </c>
      <c r="H29" s="86">
        <f t="shared" ref="H29:K29" si="17">ROUND(H24/$D$24,4)</f>
        <v>7.2099999999999997E-2</v>
      </c>
      <c r="I29" s="86">
        <f t="shared" si="17"/>
        <v>0.13200000000000001</v>
      </c>
      <c r="J29" s="86">
        <f t="shared" si="17"/>
        <v>7.4499999999999997E-2</v>
      </c>
      <c r="K29" s="86">
        <f t="shared" si="17"/>
        <v>0.5343</v>
      </c>
      <c r="L29" s="88"/>
      <c r="M29" s="89"/>
      <c r="N29" s="90"/>
      <c r="Q29" s="90"/>
      <c r="R29" s="90"/>
      <c r="S29" s="90"/>
      <c r="T29" s="90"/>
      <c r="U29" s="90"/>
      <c r="V29" s="89"/>
      <c r="W29" s="89"/>
      <c r="X29" s="89"/>
    </row>
    <row r="30" spans="1:32" s="15" customFormat="1" x14ac:dyDescent="0.2">
      <c r="A30" s="50"/>
      <c r="B30" s="3" t="s">
        <v>4</v>
      </c>
      <c r="C30" s="12" t="s">
        <v>6</v>
      </c>
      <c r="D30" s="86">
        <f t="shared" ref="D30:D31" si="18">SUM(E30:K30)</f>
        <v>1</v>
      </c>
      <c r="E30" s="173">
        <f>1-SUM(F30:K30)</f>
        <v>9.5599999999999907E-2</v>
      </c>
      <c r="F30" s="173">
        <f>ROUND(F25/$D$25,4)</f>
        <v>8.1100000000000005E-2</v>
      </c>
      <c r="G30" s="173">
        <f>ROUND(G25/$D$25,4)</f>
        <v>2.2800000000000001E-2</v>
      </c>
      <c r="H30" s="173">
        <f t="shared" ref="H30:K30" si="19">ROUND(H25/$D$25,4)</f>
        <v>8.72E-2</v>
      </c>
      <c r="I30" s="173">
        <f t="shared" si="19"/>
        <v>0.1103</v>
      </c>
      <c r="J30" s="173">
        <f t="shared" si="19"/>
        <v>7.6999999999999999E-2</v>
      </c>
      <c r="K30" s="173">
        <f t="shared" si="19"/>
        <v>0.52600000000000002</v>
      </c>
      <c r="L30" s="88"/>
      <c r="N30" s="34"/>
      <c r="Q30" s="34"/>
      <c r="R30" s="34"/>
      <c r="S30" s="34"/>
      <c r="T30" s="34"/>
      <c r="U30" s="34"/>
    </row>
    <row r="31" spans="1:32" s="15" customFormat="1" x14ac:dyDescent="0.2">
      <c r="A31" s="50"/>
      <c r="B31" s="2" t="s">
        <v>7</v>
      </c>
      <c r="C31" s="12" t="s">
        <v>6</v>
      </c>
      <c r="D31" s="86">
        <f t="shared" si="18"/>
        <v>1</v>
      </c>
      <c r="E31" s="86">
        <f>1-SUM(F31:K31)</f>
        <v>0.10680000000000001</v>
      </c>
      <c r="F31" s="86">
        <f>ROUND(F26/$D$26,4)</f>
        <v>8.9200000000000002E-2</v>
      </c>
      <c r="G31" s="86">
        <f>ROUND(G26/$D$26,4)</f>
        <v>3.3700000000000001E-2</v>
      </c>
      <c r="H31" s="86">
        <f t="shared" ref="H31:K31" si="20">ROUND(H26/$D$26,4)</f>
        <v>8.09E-2</v>
      </c>
      <c r="I31" s="86">
        <f t="shared" si="20"/>
        <v>0.1229</v>
      </c>
      <c r="J31" s="86">
        <f t="shared" si="20"/>
        <v>0.1101</v>
      </c>
      <c r="K31" s="86">
        <f t="shared" si="20"/>
        <v>0.45639999999999997</v>
      </c>
      <c r="L31" s="88"/>
      <c r="N31" s="34"/>
      <c r="Q31" s="34"/>
      <c r="R31" s="34"/>
      <c r="S31" s="34"/>
      <c r="T31" s="34"/>
      <c r="U31" s="34"/>
    </row>
    <row r="32" spans="1:32" s="15" customFormat="1" x14ac:dyDescent="0.2">
      <c r="A32" s="50"/>
      <c r="B32" s="48"/>
      <c r="C32" s="12"/>
      <c r="D32" s="79"/>
      <c r="E32" s="87"/>
      <c r="F32" s="87"/>
      <c r="G32" s="87"/>
      <c r="H32" s="87"/>
      <c r="I32" s="87"/>
      <c r="J32" s="87"/>
      <c r="K32" s="87"/>
      <c r="L32" s="88"/>
      <c r="N32" s="34"/>
      <c r="Q32" s="34"/>
      <c r="R32" s="34"/>
      <c r="S32" s="34"/>
      <c r="T32" s="34"/>
      <c r="U32" s="34"/>
    </row>
    <row r="33" spans="1:33" s="15" customFormat="1" x14ac:dyDescent="0.2">
      <c r="A33" s="50"/>
      <c r="B33" s="48" t="str">
        <f>B19</f>
        <v>Total Composite Factor for FY 2021</v>
      </c>
      <c r="C33" s="12" t="s">
        <v>6</v>
      </c>
      <c r="D33" s="86">
        <f>SUM(E33:K33)</f>
        <v>1</v>
      </c>
      <c r="E33" s="175">
        <f>1-SUM(F33:K33)</f>
        <v>9.7999999999999865E-2</v>
      </c>
      <c r="F33" s="175">
        <f t="shared" ref="F33:K33" si="21">ROUND(AVERAGE(F29:F31),4)</f>
        <v>7.7799999999999994E-2</v>
      </c>
      <c r="G33" s="175">
        <f t="shared" si="21"/>
        <v>2.9600000000000001E-2</v>
      </c>
      <c r="H33" s="175">
        <f t="shared" si="21"/>
        <v>8.0100000000000005E-2</v>
      </c>
      <c r="I33" s="175">
        <f t="shared" si="21"/>
        <v>0.1217</v>
      </c>
      <c r="J33" s="175">
        <f t="shared" si="21"/>
        <v>8.72E-2</v>
      </c>
      <c r="K33" s="175">
        <f t="shared" si="21"/>
        <v>0.50560000000000005</v>
      </c>
      <c r="L33" s="88"/>
      <c r="N33" s="34"/>
      <c r="Q33" s="34"/>
      <c r="R33" s="34"/>
      <c r="S33" s="34"/>
      <c r="T33" s="34"/>
      <c r="U33" s="34"/>
    </row>
    <row r="34" spans="1:33" s="15" customFormat="1" x14ac:dyDescent="0.2">
      <c r="A34" s="50"/>
      <c r="B34" s="48"/>
      <c r="C34" s="12"/>
      <c r="D34" s="88"/>
      <c r="E34" s="88"/>
      <c r="F34" s="88"/>
      <c r="G34" s="88"/>
      <c r="H34" s="88"/>
      <c r="I34" s="88"/>
      <c r="J34" s="88"/>
      <c r="K34" s="88"/>
      <c r="L34" s="88"/>
      <c r="N34" s="34"/>
      <c r="Q34" s="34"/>
      <c r="R34" s="34"/>
      <c r="S34" s="34"/>
      <c r="T34" s="34"/>
      <c r="U34" s="34"/>
    </row>
    <row r="35" spans="1:33" x14ac:dyDescent="0.2">
      <c r="E35" s="4"/>
      <c r="H35" s="79"/>
    </row>
    <row r="36" spans="1:33" x14ac:dyDescent="0.2">
      <c r="B36" s="84" t="s">
        <v>80</v>
      </c>
      <c r="C36" s="12"/>
      <c r="D36" s="13"/>
      <c r="E36" s="4"/>
    </row>
    <row r="37" spans="1:33" x14ac:dyDescent="0.2">
      <c r="B37" s="15"/>
      <c r="C37" s="15"/>
      <c r="D37" s="15"/>
      <c r="E37" s="51"/>
      <c r="F37" s="15"/>
      <c r="G37" s="80"/>
      <c r="H37" s="15"/>
      <c r="I37" s="15"/>
      <c r="J37" s="15"/>
      <c r="K37" s="15"/>
    </row>
    <row r="38" spans="1:33" x14ac:dyDescent="0.2">
      <c r="B38" s="2" t="s">
        <v>2</v>
      </c>
      <c r="C38" s="3" t="s">
        <v>3</v>
      </c>
      <c r="D38" s="71">
        <f>SUM(E38:L38)</f>
        <v>15799095863.739998</v>
      </c>
      <c r="E38" s="96">
        <f t="shared" ref="E38:L40" si="22">E10</f>
        <v>1092949490.3900001</v>
      </c>
      <c r="F38" s="96">
        <f t="shared" si="22"/>
        <v>750894078.5</v>
      </c>
      <c r="G38" s="96">
        <f t="shared" si="22"/>
        <v>384369334.97000003</v>
      </c>
      <c r="H38" s="96">
        <f t="shared" si="22"/>
        <v>858046078.57000005</v>
      </c>
      <c r="I38" s="96">
        <f t="shared" si="22"/>
        <v>1571399765.04</v>
      </c>
      <c r="J38" s="96">
        <f t="shared" si="22"/>
        <v>886564153.44000006</v>
      </c>
      <c r="K38" s="96">
        <f t="shared" si="22"/>
        <v>6360262428.21</v>
      </c>
      <c r="L38" s="96">
        <f t="shared" si="22"/>
        <v>3894610534.6199999</v>
      </c>
    </row>
    <row r="39" spans="1:33" s="9" customFormat="1" x14ac:dyDescent="0.2">
      <c r="A39" s="17"/>
      <c r="B39" s="3" t="s">
        <v>4</v>
      </c>
      <c r="C39" s="3" t="s">
        <v>5</v>
      </c>
      <c r="D39" s="71">
        <f t="shared" ref="D39" si="23">SUM(E39:L39)</f>
        <v>3217309.6666666665</v>
      </c>
      <c r="E39" s="96">
        <f t="shared" si="22"/>
        <v>307488</v>
      </c>
      <c r="F39" s="96">
        <f t="shared" si="22"/>
        <v>260779</v>
      </c>
      <c r="G39" s="96">
        <f t="shared" si="22"/>
        <v>73477</v>
      </c>
      <c r="H39" s="96">
        <f t="shared" si="22"/>
        <v>280594</v>
      </c>
      <c r="I39" s="96">
        <f t="shared" si="22"/>
        <v>354687</v>
      </c>
      <c r="J39" s="96">
        <f t="shared" si="22"/>
        <v>247704</v>
      </c>
      <c r="K39" s="96">
        <f t="shared" si="22"/>
        <v>1692259</v>
      </c>
      <c r="L39" s="96">
        <f t="shared" si="22"/>
        <v>321.66666666666669</v>
      </c>
      <c r="M39" s="4"/>
      <c r="O39" s="4"/>
      <c r="P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s="9" customFormat="1" x14ac:dyDescent="0.2">
      <c r="A40" s="17"/>
      <c r="B40" s="2" t="s">
        <v>15</v>
      </c>
      <c r="C40" s="3" t="s">
        <v>3</v>
      </c>
      <c r="D40" s="71">
        <f>SUM(E40:L40)</f>
        <v>479469221.27999997</v>
      </c>
      <c r="E40" s="96">
        <f t="shared" si="22"/>
        <v>36316769.729999997</v>
      </c>
      <c r="F40" s="96">
        <f t="shared" si="22"/>
        <v>30303178.539999999</v>
      </c>
      <c r="G40" s="96">
        <f t="shared" si="22"/>
        <v>11437183.24</v>
      </c>
      <c r="H40" s="96">
        <f t="shared" si="22"/>
        <v>27474255.489999998</v>
      </c>
      <c r="I40" s="96">
        <f t="shared" si="22"/>
        <v>41742549.240000002</v>
      </c>
      <c r="J40" s="96">
        <f t="shared" si="22"/>
        <v>37397296.719999999</v>
      </c>
      <c r="K40" s="96">
        <f t="shared" si="22"/>
        <v>155042377.16999999</v>
      </c>
      <c r="L40" s="96">
        <f t="shared" si="22"/>
        <v>139755611.15000001</v>
      </c>
      <c r="M40" s="4"/>
      <c r="O40" s="4"/>
      <c r="P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s="9" customFormat="1" x14ac:dyDescent="0.2">
      <c r="A41" s="17"/>
      <c r="B41" s="44" t="s">
        <v>16</v>
      </c>
      <c r="C41" s="3"/>
      <c r="D41" s="15"/>
      <c r="E41" s="1"/>
      <c r="F41" s="1"/>
      <c r="G41" s="1"/>
      <c r="H41" s="1"/>
      <c r="I41" s="1"/>
      <c r="J41" s="1"/>
      <c r="K41" s="1"/>
      <c r="L41" s="16"/>
      <c r="M41" s="4"/>
      <c r="O41" s="4"/>
      <c r="P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s="9" customFormat="1" x14ac:dyDescent="0.2">
      <c r="A42" s="17"/>
      <c r="B42" s="15"/>
      <c r="C42" s="15"/>
      <c r="D42" s="15"/>
      <c r="E42" s="51"/>
      <c r="F42" s="15"/>
      <c r="G42" s="80"/>
      <c r="H42" s="15"/>
      <c r="I42" s="15"/>
      <c r="J42" s="15"/>
      <c r="K42" s="15"/>
      <c r="L42" s="4"/>
      <c r="M42" s="4"/>
      <c r="O42" s="4"/>
      <c r="P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s="9" customFormat="1" x14ac:dyDescent="0.2">
      <c r="A43" s="17"/>
      <c r="B43" s="2" t="s">
        <v>2</v>
      </c>
      <c r="C43" s="12" t="s">
        <v>6</v>
      </c>
      <c r="D43" s="86">
        <f>SUM(E43:L43)</f>
        <v>1</v>
      </c>
      <c r="E43" s="86">
        <f>1-SUM(F43:L43)</f>
        <v>6.9199999999999928E-2</v>
      </c>
      <c r="F43" s="86">
        <f>ROUND(F38/$D$38,4)</f>
        <v>4.7500000000000001E-2</v>
      </c>
      <c r="G43" s="86">
        <f t="shared" ref="G43:L43" si="24">ROUND(G38/$D$38,4)</f>
        <v>2.4299999999999999E-2</v>
      </c>
      <c r="H43" s="86">
        <f t="shared" si="24"/>
        <v>5.4300000000000001E-2</v>
      </c>
      <c r="I43" s="86">
        <f t="shared" si="24"/>
        <v>9.9500000000000005E-2</v>
      </c>
      <c r="J43" s="86">
        <f t="shared" si="24"/>
        <v>5.6099999999999997E-2</v>
      </c>
      <c r="K43" s="86">
        <f t="shared" si="24"/>
        <v>0.40260000000000001</v>
      </c>
      <c r="L43" s="86">
        <f t="shared" si="24"/>
        <v>0.2465</v>
      </c>
      <c r="M43" s="4"/>
      <c r="O43" s="4"/>
      <c r="P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s="9" customFormat="1" x14ac:dyDescent="0.2">
      <c r="A44" s="17"/>
      <c r="B44" s="3" t="s">
        <v>4</v>
      </c>
      <c r="C44" s="12" t="s">
        <v>6</v>
      </c>
      <c r="D44" s="86">
        <f t="shared" ref="D44:D45" si="25">SUM(E44:L44)</f>
        <v>1</v>
      </c>
      <c r="E44" s="86">
        <f>1-SUM(F44:L44)</f>
        <v>9.560001998564216E-2</v>
      </c>
      <c r="F44" s="86">
        <f>ROUND(F39/$D$39,4)</f>
        <v>8.1100000000000005E-2</v>
      </c>
      <c r="G44" s="86">
        <f t="shared" ref="G44:K44" si="26">ROUND(G39/$D$39,4)</f>
        <v>2.2800000000000001E-2</v>
      </c>
      <c r="H44" s="86">
        <f t="shared" si="26"/>
        <v>8.72E-2</v>
      </c>
      <c r="I44" s="86">
        <f t="shared" si="26"/>
        <v>0.11020000000000001</v>
      </c>
      <c r="J44" s="86">
        <f t="shared" si="26"/>
        <v>7.6999999999999999E-2</v>
      </c>
      <c r="K44" s="86">
        <f t="shared" si="26"/>
        <v>0.52600000000000002</v>
      </c>
      <c r="L44" s="86">
        <f>(L39/$D$39)</f>
        <v>9.9980014357751711E-5</v>
      </c>
      <c r="M44" s="4"/>
      <c r="O44" s="4"/>
      <c r="P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s="9" customFormat="1" x14ac:dyDescent="0.2">
      <c r="A45" s="17"/>
      <c r="B45" s="2" t="s">
        <v>7</v>
      </c>
      <c r="C45" s="12" t="s">
        <v>6</v>
      </c>
      <c r="D45" s="86">
        <f t="shared" si="25"/>
        <v>1</v>
      </c>
      <c r="E45" s="86">
        <f>1-SUM(F45:L45)</f>
        <v>7.5600000000000001E-2</v>
      </c>
      <c r="F45" s="86">
        <f>ROUND(F40/$D$40,4)</f>
        <v>6.3200000000000006E-2</v>
      </c>
      <c r="G45" s="86">
        <f t="shared" ref="G45:L45" si="27">ROUND(G40/$D$40,4)</f>
        <v>2.3900000000000001E-2</v>
      </c>
      <c r="H45" s="86">
        <f t="shared" si="27"/>
        <v>5.7299999999999997E-2</v>
      </c>
      <c r="I45" s="86">
        <f t="shared" si="27"/>
        <v>8.7099999999999997E-2</v>
      </c>
      <c r="J45" s="86">
        <f t="shared" si="27"/>
        <v>7.8E-2</v>
      </c>
      <c r="K45" s="86">
        <f t="shared" si="27"/>
        <v>0.32340000000000002</v>
      </c>
      <c r="L45" s="86">
        <f t="shared" si="27"/>
        <v>0.29149999999999998</v>
      </c>
      <c r="M45" s="4"/>
      <c r="O45" s="4"/>
      <c r="P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s="9" customFormat="1" x14ac:dyDescent="0.2">
      <c r="A46" s="17"/>
      <c r="B46" s="48"/>
      <c r="C46" s="12"/>
      <c r="D46" s="79"/>
      <c r="E46" s="87"/>
      <c r="F46" s="87"/>
      <c r="G46" s="87"/>
      <c r="H46" s="87"/>
      <c r="I46" s="87"/>
      <c r="J46" s="87"/>
      <c r="K46" s="87"/>
      <c r="L46" s="76"/>
      <c r="M46" s="4"/>
      <c r="O46" s="4"/>
      <c r="P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s="9" customFormat="1" x14ac:dyDescent="0.2">
      <c r="A47" s="17"/>
      <c r="B47" s="104" t="str">
        <f>B19</f>
        <v>Total Composite Factor for FY 2021</v>
      </c>
      <c r="C47" s="12" t="s">
        <v>6</v>
      </c>
      <c r="D47" s="86">
        <f>SUM(E47:Q47)</f>
        <v>1</v>
      </c>
      <c r="E47" s="175">
        <f>1-SUM(F47:L47)</f>
        <v>8.010000000000006E-2</v>
      </c>
      <c r="F47" s="175">
        <f t="shared" ref="F47:L47" si="28">ROUND(AVERAGE(F43:F45),4)</f>
        <v>6.3899999999999998E-2</v>
      </c>
      <c r="G47" s="175">
        <f t="shared" si="28"/>
        <v>2.3699999999999999E-2</v>
      </c>
      <c r="H47" s="175">
        <f t="shared" si="28"/>
        <v>6.6299999999999998E-2</v>
      </c>
      <c r="I47" s="175">
        <f t="shared" si="28"/>
        <v>9.8900000000000002E-2</v>
      </c>
      <c r="J47" s="175">
        <f t="shared" si="28"/>
        <v>7.0400000000000004E-2</v>
      </c>
      <c r="K47" s="175">
        <f t="shared" si="28"/>
        <v>0.4173</v>
      </c>
      <c r="L47" s="175">
        <f t="shared" si="28"/>
        <v>0.1794</v>
      </c>
      <c r="M47" s="4"/>
      <c r="O47" s="4"/>
      <c r="P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9" spans="1:33" s="123" customFormat="1" ht="15.75" x14ac:dyDescent="0.25">
      <c r="A49" s="208"/>
      <c r="E49" s="213"/>
      <c r="F49" s="121"/>
      <c r="G49" s="121"/>
      <c r="H49" s="121"/>
      <c r="I49" s="121"/>
      <c r="J49" s="122"/>
      <c r="K49" s="122"/>
      <c r="L49" s="120"/>
    </row>
    <row r="50" spans="1:33" s="9" customFormat="1" x14ac:dyDescent="0.2">
      <c r="A50" s="17"/>
      <c r="B50" s="84" t="s">
        <v>111</v>
      </c>
      <c r="C50" s="12"/>
      <c r="D50" s="13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s="9" customFormat="1" x14ac:dyDescent="0.2">
      <c r="A51" s="17"/>
      <c r="B51" s="15"/>
      <c r="C51" s="15"/>
      <c r="D51" s="15"/>
      <c r="E51" s="51"/>
      <c r="F51" s="15"/>
      <c r="G51" s="80"/>
      <c r="H51" s="15"/>
      <c r="I51" s="15"/>
      <c r="J51" s="15"/>
      <c r="K51" s="15"/>
      <c r="L51" s="4"/>
      <c r="M51" s="4"/>
      <c r="O51" s="4"/>
      <c r="P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s="9" customFormat="1" x14ac:dyDescent="0.2">
      <c r="A52" s="17"/>
      <c r="B52" s="2" t="s">
        <v>2</v>
      </c>
      <c r="C52" s="3" t="s">
        <v>3</v>
      </c>
      <c r="D52" s="71">
        <f>SUM(E52:P52)</f>
        <v>15830740625.479998</v>
      </c>
      <c r="E52" s="96">
        <f t="shared" ref="E52:L54" si="29">E10</f>
        <v>1092949490.3900001</v>
      </c>
      <c r="F52" s="96">
        <f t="shared" si="29"/>
        <v>750894078.5</v>
      </c>
      <c r="G52" s="96">
        <f t="shared" si="29"/>
        <v>384369334.97000003</v>
      </c>
      <c r="H52" s="96">
        <f t="shared" si="29"/>
        <v>858046078.57000005</v>
      </c>
      <c r="I52" s="96">
        <f t="shared" si="29"/>
        <v>1571399765.04</v>
      </c>
      <c r="J52" s="96">
        <f t="shared" si="29"/>
        <v>886564153.44000006</v>
      </c>
      <c r="K52" s="96">
        <f t="shared" si="29"/>
        <v>6360262428.21</v>
      </c>
      <c r="L52" s="96">
        <f t="shared" si="29"/>
        <v>3894610534.6199999</v>
      </c>
      <c r="M52" s="4"/>
      <c r="N52" s="99"/>
      <c r="O52" s="43"/>
      <c r="P52" s="96">
        <f>P10</f>
        <v>31644761.740000002</v>
      </c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s="9" customFormat="1" x14ac:dyDescent="0.2">
      <c r="A53" s="17"/>
      <c r="B53" s="3" t="s">
        <v>4</v>
      </c>
      <c r="C53" s="3" t="s">
        <v>5</v>
      </c>
      <c r="D53" s="71">
        <f t="shared" ref="D53:D54" si="30">SUM(E53:P53)</f>
        <v>3217316.6666666665</v>
      </c>
      <c r="E53" s="96">
        <f t="shared" si="29"/>
        <v>307488</v>
      </c>
      <c r="F53" s="96">
        <f t="shared" si="29"/>
        <v>260779</v>
      </c>
      <c r="G53" s="96">
        <f t="shared" si="29"/>
        <v>73477</v>
      </c>
      <c r="H53" s="96">
        <f t="shared" si="29"/>
        <v>280594</v>
      </c>
      <c r="I53" s="96">
        <f t="shared" si="29"/>
        <v>354687</v>
      </c>
      <c r="J53" s="96">
        <f t="shared" si="29"/>
        <v>247704</v>
      </c>
      <c r="K53" s="96">
        <f t="shared" si="29"/>
        <v>1692259</v>
      </c>
      <c r="L53" s="96">
        <f t="shared" si="29"/>
        <v>321.66666666666669</v>
      </c>
      <c r="M53" s="4"/>
      <c r="N53" s="99"/>
      <c r="O53" s="43"/>
      <c r="P53" s="96">
        <f>P11</f>
        <v>7</v>
      </c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s="9" customFormat="1" x14ac:dyDescent="0.2">
      <c r="A54" s="17"/>
      <c r="B54" s="2" t="s">
        <v>15</v>
      </c>
      <c r="C54" s="3" t="s">
        <v>3</v>
      </c>
      <c r="D54" s="71">
        <f t="shared" si="30"/>
        <v>480819754.35999995</v>
      </c>
      <c r="E54" s="96">
        <f t="shared" si="29"/>
        <v>36316769.729999997</v>
      </c>
      <c r="F54" s="96">
        <f t="shared" si="29"/>
        <v>30303178.539999999</v>
      </c>
      <c r="G54" s="96">
        <f t="shared" si="29"/>
        <v>11437183.24</v>
      </c>
      <c r="H54" s="96">
        <f t="shared" si="29"/>
        <v>27474255.489999998</v>
      </c>
      <c r="I54" s="96">
        <f t="shared" si="29"/>
        <v>41742549.240000002</v>
      </c>
      <c r="J54" s="96">
        <f t="shared" si="29"/>
        <v>37397296.719999999</v>
      </c>
      <c r="K54" s="96">
        <f t="shared" si="29"/>
        <v>155042377.16999999</v>
      </c>
      <c r="L54" s="96">
        <f t="shared" si="29"/>
        <v>139755611.15000001</v>
      </c>
      <c r="M54" s="4"/>
      <c r="N54" s="99"/>
      <c r="O54" s="43"/>
      <c r="P54" s="96">
        <f>P12</f>
        <v>1350533.08</v>
      </c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s="9" customFormat="1" x14ac:dyDescent="0.2">
      <c r="A55" s="17"/>
      <c r="B55" s="44" t="s">
        <v>16</v>
      </c>
      <c r="C55" s="3"/>
      <c r="D55" s="15"/>
      <c r="E55" s="1"/>
      <c r="F55" s="1"/>
      <c r="G55" s="1"/>
      <c r="H55" s="1"/>
      <c r="I55" s="1"/>
      <c r="J55" s="1"/>
      <c r="K55" s="1"/>
      <c r="L55" s="16"/>
      <c r="M55" s="4"/>
      <c r="N55" s="99"/>
      <c r="O55" s="16"/>
      <c r="P55" s="16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s="9" customFormat="1" x14ac:dyDescent="0.2">
      <c r="A56" s="17"/>
      <c r="B56" s="15"/>
      <c r="C56" s="15"/>
      <c r="D56" s="15"/>
      <c r="E56" s="51"/>
      <c r="F56" s="15"/>
      <c r="G56" s="80"/>
      <c r="H56" s="15"/>
      <c r="I56" s="15"/>
      <c r="J56" s="15"/>
      <c r="K56" s="15"/>
      <c r="L56" s="4"/>
      <c r="M56" s="4"/>
      <c r="N56" s="99"/>
      <c r="O56" s="42"/>
      <c r="P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s="9" customFormat="1" x14ac:dyDescent="0.2">
      <c r="A57" s="17"/>
      <c r="B57" s="2" t="s">
        <v>2</v>
      </c>
      <c r="C57" s="12" t="s">
        <v>6</v>
      </c>
      <c r="D57" s="86">
        <f>SUM(E57:P57)</f>
        <v>0.99999999999999989</v>
      </c>
      <c r="E57" s="86">
        <f>1-SUM(F57:AG57)</f>
        <v>6.899999999999995E-2</v>
      </c>
      <c r="F57" s="86">
        <f t="shared" ref="F57:L57" si="31">ROUND(F52/$D$52,4)</f>
        <v>4.7399999999999998E-2</v>
      </c>
      <c r="G57" s="86">
        <f t="shared" si="31"/>
        <v>2.4299999999999999E-2</v>
      </c>
      <c r="H57" s="86">
        <f t="shared" si="31"/>
        <v>5.4199999999999998E-2</v>
      </c>
      <c r="I57" s="86">
        <f t="shared" si="31"/>
        <v>9.9299999999999999E-2</v>
      </c>
      <c r="J57" s="86">
        <f t="shared" si="31"/>
        <v>5.6000000000000001E-2</v>
      </c>
      <c r="K57" s="86">
        <f t="shared" si="31"/>
        <v>0.40179999999999999</v>
      </c>
      <c r="L57" s="86">
        <f t="shared" si="31"/>
        <v>0.246</v>
      </c>
      <c r="M57" s="4"/>
      <c r="N57" s="99"/>
      <c r="O57" s="88"/>
      <c r="P57" s="86">
        <f>ROUND(P52/$D$52,4)</f>
        <v>2E-3</v>
      </c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s="9" customFormat="1" x14ac:dyDescent="0.2">
      <c r="A58" s="17"/>
      <c r="B58" s="3" t="s">
        <v>4</v>
      </c>
      <c r="C58" s="12" t="s">
        <v>6</v>
      </c>
      <c r="D58" s="86">
        <f t="shared" ref="D58" si="32">SUM(E58:P58)</f>
        <v>1</v>
      </c>
      <c r="E58" s="86">
        <f>1-SUM(F58:AG58)</f>
        <v>9.5599999999999907E-2</v>
      </c>
      <c r="F58" s="86">
        <f t="shared" ref="F58:L58" si="33">ROUND(F53/$D$53,4)</f>
        <v>8.1100000000000005E-2</v>
      </c>
      <c r="G58" s="86">
        <f t="shared" si="33"/>
        <v>2.2800000000000001E-2</v>
      </c>
      <c r="H58" s="86">
        <f t="shared" si="33"/>
        <v>8.72E-2</v>
      </c>
      <c r="I58" s="86">
        <f t="shared" si="33"/>
        <v>0.11020000000000001</v>
      </c>
      <c r="J58" s="86">
        <f t="shared" si="33"/>
        <v>7.6999999999999999E-2</v>
      </c>
      <c r="K58" s="86">
        <f t="shared" si="33"/>
        <v>0.52600000000000002</v>
      </c>
      <c r="L58" s="86">
        <f t="shared" si="33"/>
        <v>1E-4</v>
      </c>
      <c r="M58" s="4"/>
      <c r="N58" s="99"/>
      <c r="O58" s="88"/>
      <c r="P58" s="86">
        <f>ROUND(P53/$D$53,4)</f>
        <v>0</v>
      </c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s="9" customFormat="1" x14ac:dyDescent="0.2">
      <c r="A59" s="17"/>
      <c r="B59" s="2" t="s">
        <v>7</v>
      </c>
      <c r="C59" s="12" t="s">
        <v>6</v>
      </c>
      <c r="D59" s="86">
        <f>SUM(E59:P59)</f>
        <v>0.99999999999999989</v>
      </c>
      <c r="E59" s="86">
        <f>1-SUM(F59:AG59)</f>
        <v>7.5500000000000012E-2</v>
      </c>
      <c r="F59" s="86">
        <f t="shared" ref="F59:L59" si="34">ROUND(F54/$D$54,4)</f>
        <v>6.3E-2</v>
      </c>
      <c r="G59" s="86">
        <f t="shared" si="34"/>
        <v>2.3800000000000002E-2</v>
      </c>
      <c r="H59" s="86">
        <f t="shared" si="34"/>
        <v>5.7099999999999998E-2</v>
      </c>
      <c r="I59" s="86">
        <f t="shared" si="34"/>
        <v>8.6800000000000002E-2</v>
      </c>
      <c r="J59" s="86">
        <f t="shared" si="34"/>
        <v>7.7799999999999994E-2</v>
      </c>
      <c r="K59" s="86">
        <f t="shared" si="34"/>
        <v>0.32250000000000001</v>
      </c>
      <c r="L59" s="86">
        <f t="shared" si="34"/>
        <v>0.29070000000000001</v>
      </c>
      <c r="M59" s="4"/>
      <c r="N59" s="99"/>
      <c r="O59" s="88"/>
      <c r="P59" s="86">
        <f>ROUND(P54/$D$54,4)</f>
        <v>2.8E-3</v>
      </c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s="9" customFormat="1" x14ac:dyDescent="0.2">
      <c r="A60" s="17"/>
      <c r="B60" s="48"/>
      <c r="C60" s="12"/>
      <c r="D60" s="79"/>
      <c r="E60" s="87"/>
      <c r="F60" s="87"/>
      <c r="G60" s="87"/>
      <c r="H60" s="87"/>
      <c r="I60" s="87"/>
      <c r="J60" s="87"/>
      <c r="K60" s="87"/>
      <c r="L60" s="76"/>
      <c r="M60" s="4"/>
      <c r="N60" s="99"/>
      <c r="O60" s="76"/>
      <c r="P60" s="76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s="9" customFormat="1" x14ac:dyDescent="0.2">
      <c r="A61" s="17"/>
      <c r="B61" s="104" t="str">
        <f>B19</f>
        <v>Total Composite Factor for FY 2021</v>
      </c>
      <c r="C61" s="12" t="s">
        <v>6</v>
      </c>
      <c r="D61" s="86">
        <f>SUM(E61:P61)</f>
        <v>1</v>
      </c>
      <c r="E61" s="175">
        <f>1-SUM(F61:P61)</f>
        <v>7.9999999999999849E-2</v>
      </c>
      <c r="F61" s="175">
        <f>ROUND(AVERAGE(F57:F59),4)</f>
        <v>6.3799999999999996E-2</v>
      </c>
      <c r="G61" s="175">
        <f>ROUND(AVERAGE(G57:G59),4)</f>
        <v>2.3599999999999999E-2</v>
      </c>
      <c r="H61" s="175">
        <f t="shared" ref="H61:L61" si="35">ROUND(AVERAGE(H57:H59),4)</f>
        <v>6.6199999999999995E-2</v>
      </c>
      <c r="I61" s="175">
        <f t="shared" si="35"/>
        <v>9.8799999999999999E-2</v>
      </c>
      <c r="J61" s="175">
        <f t="shared" si="35"/>
        <v>7.0300000000000001E-2</v>
      </c>
      <c r="K61" s="175">
        <f t="shared" si="35"/>
        <v>0.4168</v>
      </c>
      <c r="L61" s="175">
        <f t="shared" si="35"/>
        <v>0.1789</v>
      </c>
      <c r="M61" s="177"/>
      <c r="N61" s="178"/>
      <c r="O61" s="176"/>
      <c r="P61" s="175">
        <f>ROUND(AVERAGE(P57:P59),4)</f>
        <v>1.6000000000000001E-3</v>
      </c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s="9" customFormat="1" x14ac:dyDescent="0.2">
      <c r="A62" s="17"/>
      <c r="B62" s="104"/>
      <c r="C62" s="12"/>
      <c r="D62" s="88"/>
      <c r="E62" s="88"/>
      <c r="F62" s="88"/>
      <c r="G62" s="88"/>
      <c r="H62" s="88"/>
      <c r="I62" s="88"/>
      <c r="J62" s="88"/>
      <c r="K62" s="88"/>
      <c r="L62" s="88"/>
      <c r="M62" s="4"/>
      <c r="N62" s="99"/>
      <c r="O62" s="88"/>
      <c r="P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4" spans="1:33" s="9" customFormat="1" x14ac:dyDescent="0.2">
      <c r="A64" s="17"/>
      <c r="B64" s="103" t="s">
        <v>93</v>
      </c>
      <c r="C64" s="12"/>
      <c r="D64" s="13"/>
      <c r="E64" s="4"/>
      <c r="F64" s="4"/>
      <c r="G64" s="4"/>
      <c r="H64" s="4"/>
      <c r="I64" s="4"/>
      <c r="J64" s="4"/>
      <c r="K64" s="12"/>
      <c r="L64" s="4"/>
      <c r="M64" s="4"/>
      <c r="O64" s="4"/>
      <c r="P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s="9" customFormat="1" x14ac:dyDescent="0.2">
      <c r="A65" s="17"/>
      <c r="B65" s="15"/>
      <c r="C65" s="15"/>
      <c r="D65" s="15"/>
      <c r="E65" s="51"/>
      <c r="F65" s="15"/>
      <c r="G65" s="80"/>
      <c r="H65" s="15"/>
      <c r="I65" s="15"/>
      <c r="J65" s="15"/>
      <c r="K65" s="15"/>
      <c r="L65" s="4"/>
      <c r="M65" s="4"/>
      <c r="O65" s="4"/>
      <c r="P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s="9" customFormat="1" x14ac:dyDescent="0.2">
      <c r="A66" s="17"/>
      <c r="B66" s="2" t="s">
        <v>2</v>
      </c>
      <c r="C66" s="3" t="s">
        <v>3</v>
      </c>
      <c r="D66" s="71">
        <f>SUM(E66:Q66)</f>
        <v>2730407722.3299999</v>
      </c>
      <c r="E66" s="96">
        <f t="shared" ref="E66:F68" si="36">E10</f>
        <v>1092949490.3900001</v>
      </c>
      <c r="F66" s="96">
        <f t="shared" si="36"/>
        <v>750894078.5</v>
      </c>
      <c r="G66" s="96"/>
      <c r="H66" s="96"/>
      <c r="I66" s="96"/>
      <c r="J66" s="96">
        <f>J10</f>
        <v>886564153.44000006</v>
      </c>
      <c r="K66" s="96"/>
      <c r="L66" s="96"/>
      <c r="M66" s="4"/>
      <c r="O66" s="4"/>
      <c r="P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s="42" customFormat="1" x14ac:dyDescent="0.2">
      <c r="A67" s="17"/>
      <c r="B67" s="3" t="s">
        <v>4</v>
      </c>
      <c r="C67" s="3" t="s">
        <v>5</v>
      </c>
      <c r="D67" s="71">
        <f>SUM(E67:Q67)</f>
        <v>815971</v>
      </c>
      <c r="E67" s="96">
        <f t="shared" si="36"/>
        <v>307488</v>
      </c>
      <c r="F67" s="96">
        <f t="shared" si="36"/>
        <v>260779</v>
      </c>
      <c r="G67" s="96"/>
      <c r="H67" s="96"/>
      <c r="I67" s="96"/>
      <c r="J67" s="96">
        <f>J11</f>
        <v>247704</v>
      </c>
      <c r="K67" s="96"/>
      <c r="L67" s="96"/>
      <c r="M67" s="4"/>
      <c r="N67" s="9"/>
      <c r="O67" s="4"/>
      <c r="P67" s="4"/>
      <c r="Q67" s="9"/>
      <c r="R67" s="9"/>
      <c r="S67" s="9"/>
      <c r="T67" s="9"/>
      <c r="U67" s="9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s="42" customFormat="1" x14ac:dyDescent="0.2">
      <c r="A68" s="17"/>
      <c r="B68" s="2" t="s">
        <v>15</v>
      </c>
      <c r="C68" s="3" t="s">
        <v>3</v>
      </c>
      <c r="D68" s="71">
        <f>SUM(E68:Q68)</f>
        <v>104017244.98999999</v>
      </c>
      <c r="E68" s="96">
        <f t="shared" si="36"/>
        <v>36316769.729999997</v>
      </c>
      <c r="F68" s="96">
        <f t="shared" si="36"/>
        <v>30303178.539999999</v>
      </c>
      <c r="G68" s="96"/>
      <c r="H68" s="96"/>
      <c r="I68" s="96"/>
      <c r="J68" s="96">
        <f>J12</f>
        <v>37397296.719999999</v>
      </c>
      <c r="K68" s="96"/>
      <c r="L68" s="96"/>
      <c r="M68" s="4"/>
      <c r="N68" s="9"/>
      <c r="O68" s="4"/>
      <c r="P68" s="4"/>
      <c r="Q68" s="9"/>
      <c r="R68" s="9"/>
      <c r="S68" s="9"/>
      <c r="T68" s="9"/>
      <c r="U68" s="9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s="42" customFormat="1" x14ac:dyDescent="0.2">
      <c r="A69" s="17"/>
      <c r="B69" s="44" t="s">
        <v>16</v>
      </c>
      <c r="C69" s="3"/>
      <c r="D69" s="15"/>
      <c r="E69" s="1"/>
      <c r="F69" s="1"/>
      <c r="G69" s="1"/>
      <c r="H69" s="1"/>
      <c r="I69" s="1"/>
      <c r="J69" s="1"/>
      <c r="K69" s="1"/>
      <c r="L69" s="16"/>
      <c r="M69" s="4"/>
      <c r="N69" s="9"/>
      <c r="O69" s="4"/>
      <c r="P69" s="4"/>
      <c r="Q69" s="9"/>
      <c r="R69" s="9"/>
      <c r="S69" s="9"/>
      <c r="T69" s="9"/>
      <c r="U69" s="9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s="42" customFormat="1" x14ac:dyDescent="0.2">
      <c r="A70" s="17"/>
      <c r="B70" s="15"/>
      <c r="C70" s="15"/>
      <c r="D70" s="15"/>
      <c r="E70" s="51"/>
      <c r="F70" s="15"/>
      <c r="G70" s="80"/>
      <c r="H70" s="15"/>
      <c r="I70" s="15"/>
      <c r="J70" s="15"/>
      <c r="K70" s="15"/>
      <c r="L70" s="4"/>
      <c r="M70" s="4"/>
      <c r="N70" s="9"/>
      <c r="O70" s="4"/>
      <c r="P70" s="4"/>
      <c r="Q70" s="9"/>
      <c r="R70" s="9"/>
      <c r="S70" s="9"/>
      <c r="T70" s="9"/>
      <c r="U70" s="9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s="42" customFormat="1" x14ac:dyDescent="0.2">
      <c r="A71" s="17"/>
      <c r="B71" s="2" t="s">
        <v>2</v>
      </c>
      <c r="C71" s="12" t="s">
        <v>6</v>
      </c>
      <c r="D71" s="86">
        <f>SUM(E71:Q71)</f>
        <v>1</v>
      </c>
      <c r="E71" s="86">
        <f>1-SUM(F71:AG71)</f>
        <v>0.40029999999999999</v>
      </c>
      <c r="F71" s="86">
        <f>ROUND(F66/$D$66,4)</f>
        <v>0.27500000000000002</v>
      </c>
      <c r="G71" s="86"/>
      <c r="H71" s="86"/>
      <c r="I71" s="86"/>
      <c r="J71" s="86">
        <f>ROUND(J66/$D$66,4)</f>
        <v>0.32469999999999999</v>
      </c>
      <c r="K71" s="86"/>
      <c r="L71" s="86"/>
      <c r="M71" s="4"/>
      <c r="N71" s="9"/>
      <c r="O71" s="4"/>
      <c r="P71" s="4"/>
      <c r="Q71" s="9"/>
      <c r="R71" s="9"/>
      <c r="S71" s="9"/>
      <c r="T71" s="9"/>
      <c r="U71" s="9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s="42" customFormat="1" x14ac:dyDescent="0.2">
      <c r="A72" s="17"/>
      <c r="B72" s="3" t="s">
        <v>4</v>
      </c>
      <c r="C72" s="12" t="s">
        <v>6</v>
      </c>
      <c r="D72" s="86">
        <f>SUM(E72:Q72)</f>
        <v>1</v>
      </c>
      <c r="E72" s="86">
        <f>1-SUM(F72:AG72)</f>
        <v>0.37680000000000002</v>
      </c>
      <c r="F72" s="86">
        <f>ROUND(F67/$D$67,4)</f>
        <v>0.3196</v>
      </c>
      <c r="G72" s="86"/>
      <c r="H72" s="86"/>
      <c r="I72" s="86"/>
      <c r="J72" s="86">
        <f>ROUND(J67/$D$67,4)</f>
        <v>0.30359999999999998</v>
      </c>
      <c r="K72" s="86"/>
      <c r="L72" s="86"/>
      <c r="M72" s="4"/>
      <c r="N72" s="9"/>
      <c r="O72" s="4"/>
      <c r="P72" s="4"/>
      <c r="Q72" s="9"/>
      <c r="R72" s="9"/>
      <c r="S72" s="9"/>
      <c r="T72" s="9"/>
      <c r="U72" s="9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3" s="42" customFormat="1" x14ac:dyDescent="0.2">
      <c r="A73" s="17"/>
      <c r="B73" s="2" t="s">
        <v>7</v>
      </c>
      <c r="C73" s="12" t="s">
        <v>6</v>
      </c>
      <c r="D73" s="86">
        <f>SUM(E73:Q73)</f>
        <v>1</v>
      </c>
      <c r="E73" s="86">
        <f>1-SUM(F73:AG73)</f>
        <v>0.34919999999999995</v>
      </c>
      <c r="F73" s="86">
        <f>ROUND(F68/$D$68,4)</f>
        <v>0.2913</v>
      </c>
      <c r="G73" s="86"/>
      <c r="H73" s="86"/>
      <c r="I73" s="86"/>
      <c r="J73" s="86">
        <f>ROUND(J68/$D$68,4)</f>
        <v>0.35949999999999999</v>
      </c>
      <c r="K73" s="86"/>
      <c r="L73" s="86"/>
      <c r="M73" s="4"/>
      <c r="N73" s="9"/>
      <c r="O73" s="4"/>
      <c r="P73" s="4"/>
      <c r="Q73" s="9"/>
      <c r="R73" s="9"/>
      <c r="S73" s="9"/>
      <c r="T73" s="9"/>
      <c r="U73" s="9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s="42" customFormat="1" x14ac:dyDescent="0.2">
      <c r="A74" s="17"/>
      <c r="B74" s="48"/>
      <c r="C74" s="12"/>
      <c r="D74" s="79"/>
      <c r="E74" s="87"/>
      <c r="F74" s="87"/>
      <c r="G74" s="87"/>
      <c r="H74" s="87"/>
      <c r="I74" s="87"/>
      <c r="J74" s="87"/>
      <c r="K74" s="87"/>
      <c r="L74" s="76"/>
      <c r="M74" s="4"/>
      <c r="N74" s="9"/>
      <c r="O74" s="4"/>
      <c r="P74" s="4"/>
      <c r="Q74" s="9"/>
      <c r="R74" s="9"/>
      <c r="S74" s="9"/>
      <c r="T74" s="9"/>
      <c r="U74" s="9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 s="42" customFormat="1" x14ac:dyDescent="0.2">
      <c r="A75" s="17"/>
      <c r="B75" s="104" t="str">
        <f>B19</f>
        <v>Total Composite Factor for FY 2021</v>
      </c>
      <c r="C75" s="12" t="s">
        <v>6</v>
      </c>
      <c r="D75" s="86">
        <f>SUM(E75:Q75)</f>
        <v>1</v>
      </c>
      <c r="E75" s="175">
        <f>1-SUM(F75:AG75)</f>
        <v>0.37539999999999996</v>
      </c>
      <c r="F75" s="175">
        <f>ROUND(AVERAGE(F71:F73),4)</f>
        <v>0.29530000000000001</v>
      </c>
      <c r="G75" s="175"/>
      <c r="H75" s="175"/>
      <c r="I75" s="175"/>
      <c r="J75" s="175">
        <f>ROUND(AVERAGE(J71:J73),4)</f>
        <v>0.32929999999999998</v>
      </c>
      <c r="K75" s="86"/>
      <c r="L75" s="86"/>
      <c r="M75" s="4"/>
      <c r="N75" s="9"/>
      <c r="O75" s="4"/>
      <c r="P75" s="4"/>
      <c r="Q75" s="9"/>
      <c r="R75" s="9"/>
      <c r="S75" s="9"/>
      <c r="T75" s="9"/>
      <c r="U75" s="9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7" spans="1:33" s="42" customFormat="1" x14ac:dyDescent="0.2">
      <c r="A77" s="17"/>
      <c r="B77" s="84" t="s">
        <v>94</v>
      </c>
      <c r="C77" s="12"/>
      <c r="D77" s="13"/>
      <c r="E77" s="49"/>
      <c r="F77" s="13"/>
      <c r="G77" s="4"/>
      <c r="H77" s="4"/>
      <c r="I77" s="13"/>
      <c r="J77" s="12"/>
      <c r="K77" s="12"/>
      <c r="L77" s="4"/>
      <c r="M77" s="4"/>
      <c r="N77" s="9"/>
      <c r="O77" s="4"/>
      <c r="P77" s="4"/>
      <c r="Q77" s="9"/>
      <c r="R77" s="9"/>
      <c r="S77" s="9"/>
      <c r="T77" s="9"/>
      <c r="U77" s="9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s="42" customFormat="1" x14ac:dyDescent="0.2">
      <c r="A78" s="17"/>
      <c r="B78" s="15"/>
      <c r="C78" s="15"/>
      <c r="D78" s="15"/>
      <c r="E78" s="51"/>
      <c r="F78" s="15"/>
      <c r="G78" s="80"/>
      <c r="H78" s="15"/>
      <c r="I78" s="15"/>
      <c r="J78" s="15"/>
      <c r="K78" s="15"/>
      <c r="L78" s="4"/>
      <c r="M78" s="4"/>
      <c r="N78" s="9"/>
      <c r="O78" s="4"/>
      <c r="P78" s="4"/>
      <c r="Q78" s="9"/>
      <c r="R78" s="9"/>
      <c r="S78" s="9"/>
      <c r="T78" s="9"/>
      <c r="U78" s="9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1:33" s="42" customFormat="1" x14ac:dyDescent="0.2">
      <c r="A79" s="17"/>
      <c r="B79" s="2" t="s">
        <v>2</v>
      </c>
      <c r="C79" s="3" t="s">
        <v>3</v>
      </c>
      <c r="D79" s="71">
        <f>SUM(E79:Q79)</f>
        <v>1242415413.54</v>
      </c>
      <c r="E79" s="96"/>
      <c r="F79" s="96"/>
      <c r="G79" s="96">
        <f t="shared" ref="G79:H81" si="37">G10</f>
        <v>384369334.97000003</v>
      </c>
      <c r="H79" s="96">
        <f t="shared" si="37"/>
        <v>858046078.57000005</v>
      </c>
      <c r="I79" s="96"/>
      <c r="J79" s="96"/>
      <c r="K79" s="96"/>
      <c r="L79" s="96"/>
      <c r="M79" s="4"/>
      <c r="N79" s="9"/>
      <c r="O79" s="4"/>
      <c r="P79" s="4"/>
      <c r="Q79" s="9"/>
      <c r="R79" s="9"/>
      <c r="S79" s="9"/>
      <c r="T79" s="9"/>
      <c r="U79" s="9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1:33" s="42" customFormat="1" x14ac:dyDescent="0.2">
      <c r="A80" s="17"/>
      <c r="B80" s="3" t="s">
        <v>4</v>
      </c>
      <c r="C80" s="3" t="s">
        <v>5</v>
      </c>
      <c r="D80" s="71">
        <f>SUM(E80:Q80)</f>
        <v>354071</v>
      </c>
      <c r="E80" s="96"/>
      <c r="F80" s="96"/>
      <c r="G80" s="96">
        <f t="shared" si="37"/>
        <v>73477</v>
      </c>
      <c r="H80" s="96">
        <f t="shared" si="37"/>
        <v>280594</v>
      </c>
      <c r="I80" s="96"/>
      <c r="J80" s="96"/>
      <c r="K80" s="96"/>
      <c r="L80" s="96"/>
      <c r="M80" s="4"/>
      <c r="N80" s="9"/>
      <c r="O80" s="4"/>
      <c r="P80" s="4"/>
      <c r="Q80" s="9"/>
      <c r="R80" s="9"/>
      <c r="S80" s="9"/>
      <c r="T80" s="9"/>
      <c r="U80" s="9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1:33" s="42" customFormat="1" x14ac:dyDescent="0.2">
      <c r="A81" s="17"/>
      <c r="B81" s="2" t="s">
        <v>15</v>
      </c>
      <c r="C81" s="3" t="s">
        <v>3</v>
      </c>
      <c r="D81" s="71">
        <f>SUM(E81:Q81)</f>
        <v>38911438.729999997</v>
      </c>
      <c r="E81" s="96"/>
      <c r="F81" s="96"/>
      <c r="G81" s="96">
        <f t="shared" si="37"/>
        <v>11437183.24</v>
      </c>
      <c r="H81" s="96">
        <f t="shared" si="37"/>
        <v>27474255.489999998</v>
      </c>
      <c r="I81" s="96"/>
      <c r="J81" s="96"/>
      <c r="K81" s="96"/>
      <c r="L81" s="96"/>
      <c r="M81" s="4"/>
      <c r="N81" s="9"/>
      <c r="O81" s="4"/>
      <c r="P81" s="4"/>
      <c r="Q81" s="9"/>
      <c r="R81" s="9"/>
      <c r="S81" s="9"/>
      <c r="T81" s="9"/>
      <c r="U81" s="9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1:33" x14ac:dyDescent="0.2">
      <c r="B82" s="44" t="s">
        <v>16</v>
      </c>
      <c r="C82" s="3"/>
      <c r="D82" s="15"/>
      <c r="E82" s="1"/>
      <c r="F82" s="1"/>
      <c r="G82" s="1"/>
      <c r="H82" s="1"/>
      <c r="I82" s="1"/>
      <c r="J82" s="1"/>
      <c r="K82" s="1"/>
      <c r="L82" s="16"/>
    </row>
    <row r="83" spans="1:33" x14ac:dyDescent="0.2">
      <c r="B83" s="15"/>
      <c r="C83" s="15"/>
      <c r="D83" s="15"/>
      <c r="E83" s="51"/>
      <c r="F83" s="15"/>
      <c r="G83" s="80"/>
      <c r="H83" s="15"/>
      <c r="I83" s="15"/>
      <c r="J83" s="15"/>
      <c r="K83" s="15"/>
    </row>
    <row r="84" spans="1:33" x14ac:dyDescent="0.2">
      <c r="B84" s="2" t="s">
        <v>2</v>
      </c>
      <c r="C84" s="12" t="s">
        <v>6</v>
      </c>
      <c r="D84" s="86">
        <f>SUM(E84:Q84)</f>
        <v>1</v>
      </c>
      <c r="E84" s="86">
        <f>ROUND(E79/$D$52,4)</f>
        <v>0</v>
      </c>
      <c r="F84" s="86">
        <f>ROUND(F79/$D$66,4)</f>
        <v>0</v>
      </c>
      <c r="G84" s="86">
        <f>ROUND(G79/$D$79,4)</f>
        <v>0.30940000000000001</v>
      </c>
      <c r="H84" s="86">
        <f>ROUND(H79/$D$79,4)</f>
        <v>0.69059999999999999</v>
      </c>
      <c r="I84" s="86">
        <f>ROUND(I79/$D$52,4)</f>
        <v>0</v>
      </c>
      <c r="J84" s="86">
        <f>ROUND(J79/$D$66,4)</f>
        <v>0</v>
      </c>
      <c r="K84" s="86">
        <f>ROUND(K79/$D$52,4)</f>
        <v>0</v>
      </c>
      <c r="L84" s="86">
        <f>ROUND(L79/$D$52,4)</f>
        <v>0</v>
      </c>
    </row>
    <row r="85" spans="1:33" x14ac:dyDescent="0.2">
      <c r="B85" s="3" t="s">
        <v>4</v>
      </c>
      <c r="C85" s="12" t="s">
        <v>6</v>
      </c>
      <c r="D85" s="86">
        <f>SUM(E85:Q85)</f>
        <v>1</v>
      </c>
      <c r="E85" s="86">
        <f>ROUND(E80/$D$53,4)</f>
        <v>0</v>
      </c>
      <c r="F85" s="86">
        <f>ROUND(F80/$D$67,4)</f>
        <v>0</v>
      </c>
      <c r="G85" s="86">
        <f>ROUND(G80/$D$80,4)</f>
        <v>0.20749999999999999</v>
      </c>
      <c r="H85" s="86">
        <f>ROUND(H80/$D$80,4)</f>
        <v>0.79249999999999998</v>
      </c>
      <c r="I85" s="86">
        <f>ROUND(I80/$D$53,4)</f>
        <v>0</v>
      </c>
      <c r="J85" s="86">
        <f>ROUND(J80/$D$67,4)</f>
        <v>0</v>
      </c>
      <c r="K85" s="86">
        <f>ROUND(K80/$D$53,4)</f>
        <v>0</v>
      </c>
      <c r="L85" s="86">
        <f>ROUND(L80/$D$53,4)</f>
        <v>0</v>
      </c>
    </row>
    <row r="86" spans="1:33" x14ac:dyDescent="0.2">
      <c r="B86" s="2" t="s">
        <v>7</v>
      </c>
      <c r="C86" s="12" t="s">
        <v>6</v>
      </c>
      <c r="D86" s="86">
        <f>SUM(E86:Q86)</f>
        <v>1</v>
      </c>
      <c r="E86" s="86">
        <f>ROUND(E81/$D$54,4)</f>
        <v>0</v>
      </c>
      <c r="F86" s="86">
        <f>ROUND(F81/$D$68,4)</f>
        <v>0</v>
      </c>
      <c r="G86" s="86">
        <f>ROUND(G81/$D$81,4)</f>
        <v>0.29389999999999999</v>
      </c>
      <c r="H86" s="86">
        <f>ROUND(H81/$D$81,4)</f>
        <v>0.70609999999999995</v>
      </c>
      <c r="I86" s="86">
        <f>ROUND(I81/$D$54,4)</f>
        <v>0</v>
      </c>
      <c r="J86" s="86">
        <f>ROUND(J81/$D$68,4)</f>
        <v>0</v>
      </c>
      <c r="K86" s="86">
        <f>ROUND(K81/$D$54,4)</f>
        <v>0</v>
      </c>
      <c r="L86" s="86">
        <f>ROUND(L81/$D$54,4)</f>
        <v>0</v>
      </c>
    </row>
    <row r="87" spans="1:33" x14ac:dyDescent="0.2">
      <c r="B87" s="48"/>
      <c r="C87" s="12"/>
      <c r="D87" s="79"/>
      <c r="E87" s="87"/>
      <c r="F87" s="87"/>
      <c r="G87" s="87"/>
      <c r="H87" s="87"/>
      <c r="I87" s="87"/>
      <c r="J87" s="87"/>
      <c r="K87" s="87"/>
      <c r="L87" s="76"/>
    </row>
    <row r="88" spans="1:33" x14ac:dyDescent="0.2">
      <c r="B88" s="104" t="str">
        <f>B19</f>
        <v>Total Composite Factor for FY 2021</v>
      </c>
      <c r="C88" s="12" t="s">
        <v>6</v>
      </c>
      <c r="D88" s="86">
        <f>SUM(E88:Q88)</f>
        <v>1</v>
      </c>
      <c r="E88" s="86">
        <f t="shared" ref="E88:L88" si="38">ROUND(AVERAGE(E84:E86),4)</f>
        <v>0</v>
      </c>
      <c r="F88" s="86">
        <f t="shared" si="38"/>
        <v>0</v>
      </c>
      <c r="G88" s="174">
        <f t="shared" si="38"/>
        <v>0.27029999999999998</v>
      </c>
      <c r="H88" s="174">
        <f t="shared" si="38"/>
        <v>0.72970000000000002</v>
      </c>
      <c r="I88" s="86">
        <f t="shared" si="38"/>
        <v>0</v>
      </c>
      <c r="J88" s="86">
        <f t="shared" si="38"/>
        <v>0</v>
      </c>
      <c r="K88" s="86">
        <f t="shared" si="38"/>
        <v>0</v>
      </c>
      <c r="L88" s="86">
        <f t="shared" si="38"/>
        <v>0</v>
      </c>
    </row>
    <row r="90" spans="1:33" ht="15.75" x14ac:dyDescent="0.25">
      <c r="D90" s="120"/>
      <c r="G90" s="120"/>
      <c r="H90" s="120"/>
    </row>
    <row r="91" spans="1:33" s="12" customFormat="1" ht="15.75" x14ac:dyDescent="0.25">
      <c r="A91" s="17"/>
      <c r="B91" s="84" t="s">
        <v>96</v>
      </c>
      <c r="D91" s="13"/>
      <c r="K91" s="122"/>
      <c r="L91" s="14"/>
      <c r="M91" s="13"/>
      <c r="N91" s="13"/>
      <c r="O91" s="13"/>
      <c r="Q91" s="14"/>
      <c r="R91" s="14"/>
      <c r="S91" s="14"/>
      <c r="T91" s="14"/>
      <c r="U91" s="14"/>
      <c r="V91" s="13"/>
      <c r="W91" s="13"/>
      <c r="X91" s="13"/>
    </row>
    <row r="92" spans="1:33" s="15" customFormat="1" x14ac:dyDescent="0.2">
      <c r="A92" s="50"/>
      <c r="E92" s="51"/>
      <c r="G92" s="80"/>
      <c r="N92" s="34"/>
      <c r="Q92" s="34"/>
      <c r="R92" s="34"/>
      <c r="S92" s="34"/>
      <c r="T92" s="34"/>
      <c r="U92" s="34"/>
    </row>
    <row r="93" spans="1:33" s="15" customFormat="1" x14ac:dyDescent="0.2">
      <c r="A93" s="50"/>
      <c r="B93" s="2" t="s">
        <v>2</v>
      </c>
      <c r="C93" s="3" t="s">
        <v>3</v>
      </c>
      <c r="D93" s="71">
        <f>SUM(E93:Q93)</f>
        <v>5544222900.9099998</v>
      </c>
      <c r="E93" s="96">
        <f t="shared" ref="E93:J93" si="39">E10</f>
        <v>1092949490.3900001</v>
      </c>
      <c r="F93" s="96">
        <f t="shared" si="39"/>
        <v>750894078.5</v>
      </c>
      <c r="G93" s="96">
        <f t="shared" si="39"/>
        <v>384369334.97000003</v>
      </c>
      <c r="H93" s="96">
        <f t="shared" si="39"/>
        <v>858046078.57000005</v>
      </c>
      <c r="I93" s="96">
        <f t="shared" si="39"/>
        <v>1571399765.04</v>
      </c>
      <c r="J93" s="96">
        <f t="shared" si="39"/>
        <v>886564153.44000006</v>
      </c>
      <c r="K93" s="96"/>
      <c r="L93" s="1"/>
      <c r="N93" s="34"/>
      <c r="Q93" s="34"/>
      <c r="R93" s="34"/>
      <c r="S93" s="34"/>
      <c r="T93" s="34"/>
      <c r="U93" s="34"/>
    </row>
    <row r="94" spans="1:33" s="15" customFormat="1" x14ac:dyDescent="0.2">
      <c r="A94" s="50"/>
      <c r="B94" s="3" t="s">
        <v>4</v>
      </c>
      <c r="C94" s="3" t="s">
        <v>5</v>
      </c>
      <c r="D94" s="72">
        <f>SUM(E94:Q94)</f>
        <v>1524729</v>
      </c>
      <c r="E94" s="96">
        <f>+E11</f>
        <v>307488</v>
      </c>
      <c r="F94" s="96">
        <f t="shared" ref="F94:J95" si="40">F11</f>
        <v>260779</v>
      </c>
      <c r="G94" s="96">
        <f t="shared" si="40"/>
        <v>73477</v>
      </c>
      <c r="H94" s="96">
        <f t="shared" si="40"/>
        <v>280594</v>
      </c>
      <c r="I94" s="96">
        <f t="shared" si="40"/>
        <v>354687</v>
      </c>
      <c r="J94" s="96">
        <f t="shared" si="40"/>
        <v>247704</v>
      </c>
      <c r="K94" s="96"/>
      <c r="L94" s="1"/>
      <c r="N94" s="34"/>
      <c r="Q94" s="34"/>
      <c r="R94" s="34"/>
      <c r="S94" s="34"/>
      <c r="T94" s="34"/>
      <c r="U94" s="34"/>
    </row>
    <row r="95" spans="1:33" s="15" customFormat="1" x14ac:dyDescent="0.2">
      <c r="A95" s="50"/>
      <c r="B95" s="2" t="s">
        <v>15</v>
      </c>
      <c r="C95" s="3" t="s">
        <v>3</v>
      </c>
      <c r="D95" s="71">
        <f>SUM(E95:Q95)</f>
        <v>184671232.95999998</v>
      </c>
      <c r="E95" s="96">
        <f>+E12</f>
        <v>36316769.729999997</v>
      </c>
      <c r="F95" s="96">
        <f t="shared" si="40"/>
        <v>30303178.539999999</v>
      </c>
      <c r="G95" s="96">
        <f t="shared" si="40"/>
        <v>11437183.24</v>
      </c>
      <c r="H95" s="96">
        <f t="shared" si="40"/>
        <v>27474255.489999998</v>
      </c>
      <c r="I95" s="96">
        <f t="shared" si="40"/>
        <v>41742549.240000002</v>
      </c>
      <c r="J95" s="96">
        <f t="shared" si="40"/>
        <v>37397296.719999999</v>
      </c>
      <c r="K95" s="96"/>
      <c r="L95" s="1"/>
      <c r="N95" s="34"/>
      <c r="Q95" s="34"/>
      <c r="R95" s="34"/>
      <c r="S95" s="34"/>
      <c r="T95" s="34"/>
      <c r="U95" s="34"/>
    </row>
    <row r="96" spans="1:33" s="15" customFormat="1" x14ac:dyDescent="0.2">
      <c r="A96" s="50"/>
      <c r="B96" s="44" t="s">
        <v>16</v>
      </c>
      <c r="C96" s="3"/>
      <c r="E96" s="1"/>
      <c r="F96" s="1"/>
      <c r="G96" s="1"/>
      <c r="H96" s="1"/>
      <c r="I96" s="1"/>
      <c r="J96" s="1"/>
      <c r="K96" s="1"/>
      <c r="L96" s="1"/>
      <c r="N96" s="34"/>
      <c r="Q96" s="34"/>
      <c r="R96" s="34"/>
      <c r="S96" s="34"/>
      <c r="T96" s="34"/>
      <c r="U96" s="34"/>
    </row>
    <row r="97" spans="1:24" s="15" customFormat="1" x14ac:dyDescent="0.2">
      <c r="A97" s="50"/>
      <c r="E97" s="51"/>
      <c r="G97" s="80"/>
      <c r="L97" s="78"/>
      <c r="N97" s="34"/>
      <c r="Q97" s="34"/>
      <c r="R97" s="34"/>
      <c r="S97" s="34"/>
      <c r="T97" s="34"/>
      <c r="U97" s="34"/>
    </row>
    <row r="98" spans="1:24" s="15" customFormat="1" x14ac:dyDescent="0.2">
      <c r="A98" s="50"/>
      <c r="B98" s="2" t="s">
        <v>2</v>
      </c>
      <c r="C98" s="12" t="s">
        <v>6</v>
      </c>
      <c r="D98" s="86">
        <f>SUM(E98:Q98)</f>
        <v>1</v>
      </c>
      <c r="E98" s="86">
        <f>1-SUM(F98:AG98)</f>
        <v>0.19720000000000004</v>
      </c>
      <c r="F98" s="86">
        <f>ROUND(F93/$D$93,4)</f>
        <v>0.13539999999999999</v>
      </c>
      <c r="G98" s="86">
        <f>ROUND(G93/$D$93,4)</f>
        <v>6.93E-2</v>
      </c>
      <c r="H98" s="86">
        <f>ROUND(H93/$D$93,4)</f>
        <v>0.15479999999999999</v>
      </c>
      <c r="I98" s="86">
        <f>ROUND(I93/$D$93,4)</f>
        <v>0.28339999999999999</v>
      </c>
      <c r="J98" s="86">
        <f>ROUND(J93/$D$93,4)</f>
        <v>0.15989999999999999</v>
      </c>
      <c r="K98" s="86"/>
      <c r="L98" s="86"/>
      <c r="M98" s="89"/>
      <c r="N98" s="90"/>
      <c r="Q98" s="90"/>
      <c r="R98" s="90"/>
      <c r="S98" s="90"/>
      <c r="T98" s="90"/>
      <c r="U98" s="90"/>
      <c r="V98" s="89"/>
      <c r="W98" s="89"/>
      <c r="X98" s="89"/>
    </row>
    <row r="99" spans="1:24" s="15" customFormat="1" x14ac:dyDescent="0.2">
      <c r="A99" s="50"/>
      <c r="B99" s="3" t="s">
        <v>4</v>
      </c>
      <c r="C99" s="12" t="s">
        <v>6</v>
      </c>
      <c r="D99" s="86">
        <f>SUM(E99:Q99)</f>
        <v>1</v>
      </c>
      <c r="E99" s="86">
        <f>1-SUM(F99:AG99)</f>
        <v>0.20169999999999999</v>
      </c>
      <c r="F99" s="86">
        <f>ROUND(F94/$D$94,4)</f>
        <v>0.17100000000000001</v>
      </c>
      <c r="G99" s="86">
        <f>ROUND(G94/$D$94,4)</f>
        <v>4.82E-2</v>
      </c>
      <c r="H99" s="86">
        <f>ROUND(H94/$D$94,4)</f>
        <v>0.184</v>
      </c>
      <c r="I99" s="86">
        <f>ROUND(I94/$D$94,4)</f>
        <v>0.2326</v>
      </c>
      <c r="J99" s="86">
        <f>ROUND(J94/$D$94,4)</f>
        <v>0.16250000000000001</v>
      </c>
      <c r="K99" s="86"/>
      <c r="L99" s="86"/>
      <c r="N99" s="34"/>
      <c r="Q99" s="34"/>
      <c r="R99" s="34"/>
      <c r="S99" s="34"/>
      <c r="T99" s="34"/>
      <c r="U99" s="34"/>
    </row>
    <row r="100" spans="1:24" s="15" customFormat="1" x14ac:dyDescent="0.2">
      <c r="A100" s="50"/>
      <c r="B100" s="2" t="s">
        <v>7</v>
      </c>
      <c r="C100" s="12" t="s">
        <v>6</v>
      </c>
      <c r="D100" s="86">
        <f>SUM(E100:Q100)</f>
        <v>1</v>
      </c>
      <c r="E100" s="86">
        <f>1-SUM(F100:AG100)</f>
        <v>0.19669999999999999</v>
      </c>
      <c r="F100" s="86">
        <f>ROUND(F95/$D$95,4)</f>
        <v>0.1641</v>
      </c>
      <c r="G100" s="86">
        <f>ROUND(G95/$D$95,4)</f>
        <v>6.1899999999999997E-2</v>
      </c>
      <c r="H100" s="86">
        <f>ROUND(H95/$D$95,4)</f>
        <v>0.14879999999999999</v>
      </c>
      <c r="I100" s="86">
        <f>ROUND(I95/$D$95,4)</f>
        <v>0.22600000000000001</v>
      </c>
      <c r="J100" s="86">
        <f>ROUND(J95/$D$95,4)</f>
        <v>0.20250000000000001</v>
      </c>
      <c r="K100" s="86"/>
      <c r="L100" s="86"/>
      <c r="N100" s="34"/>
      <c r="Q100" s="34"/>
      <c r="R100" s="34"/>
      <c r="S100" s="34"/>
      <c r="T100" s="34"/>
      <c r="U100" s="34"/>
    </row>
    <row r="101" spans="1:24" s="15" customFormat="1" x14ac:dyDescent="0.2">
      <c r="A101" s="50"/>
      <c r="B101" s="48"/>
      <c r="C101" s="12"/>
      <c r="D101" s="79"/>
      <c r="E101" s="87"/>
      <c r="F101" s="87"/>
      <c r="G101" s="87"/>
      <c r="H101" s="87"/>
      <c r="I101" s="87"/>
      <c r="J101" s="87"/>
      <c r="K101" s="87"/>
      <c r="L101" s="76"/>
      <c r="N101" s="34"/>
      <c r="Q101" s="34"/>
      <c r="R101" s="34"/>
      <c r="S101" s="34"/>
      <c r="T101" s="34"/>
      <c r="U101" s="34"/>
    </row>
    <row r="102" spans="1:24" s="15" customFormat="1" x14ac:dyDescent="0.2">
      <c r="A102" s="50"/>
      <c r="B102" s="104" t="str">
        <f>B19</f>
        <v>Total Composite Factor for FY 2021</v>
      </c>
      <c r="C102" s="12" t="s">
        <v>6</v>
      </c>
      <c r="D102" s="86">
        <f>SUM(E102:Q102)</f>
        <v>1</v>
      </c>
      <c r="E102" s="174">
        <f>1-SUM(F102:W102)</f>
        <v>0.19860000000000011</v>
      </c>
      <c r="F102" s="174">
        <f>ROUND(AVERAGE(F98:F100),4)</f>
        <v>0.15679999999999999</v>
      </c>
      <c r="G102" s="174">
        <f>ROUND(AVERAGE(G98:G100),4)</f>
        <v>5.9799999999999999E-2</v>
      </c>
      <c r="H102" s="174">
        <f>ROUND(AVERAGE(H98:H100),4)</f>
        <v>0.16250000000000001</v>
      </c>
      <c r="I102" s="174">
        <f>ROUND(AVERAGE(I98:I100),4)</f>
        <v>0.24729999999999999</v>
      </c>
      <c r="J102" s="174">
        <f>ROUND(AVERAGE(J98:J100),4)</f>
        <v>0.17499999999999999</v>
      </c>
      <c r="K102" s="86"/>
      <c r="L102" s="86"/>
      <c r="N102" s="34"/>
      <c r="Q102" s="34"/>
      <c r="R102" s="34"/>
      <c r="S102" s="34"/>
      <c r="T102" s="34"/>
      <c r="U102" s="34"/>
    </row>
    <row r="103" spans="1:24" s="15" customFormat="1" x14ac:dyDescent="0.2">
      <c r="A103" s="50"/>
      <c r="B103" s="48"/>
      <c r="C103" s="12"/>
      <c r="E103" s="52"/>
      <c r="H103" s="79"/>
      <c r="N103" s="34"/>
      <c r="Q103" s="34"/>
      <c r="R103" s="34"/>
      <c r="S103" s="34"/>
      <c r="T103" s="34"/>
      <c r="U103" s="34"/>
    </row>
    <row r="104" spans="1:24" s="15" customFormat="1" x14ac:dyDescent="0.2">
      <c r="A104" s="50"/>
      <c r="B104" s="48"/>
      <c r="C104" s="12"/>
      <c r="E104" s="52"/>
      <c r="H104" s="79"/>
      <c r="N104" s="34"/>
      <c r="Q104" s="34"/>
      <c r="R104" s="34"/>
      <c r="S104" s="34"/>
      <c r="T104" s="34"/>
      <c r="U104" s="34"/>
    </row>
    <row r="105" spans="1:24" s="12" customFormat="1" x14ac:dyDescent="0.2">
      <c r="A105" s="17"/>
      <c r="B105" s="84" t="s">
        <v>95</v>
      </c>
      <c r="D105" s="13"/>
      <c r="M105" s="13"/>
      <c r="N105" s="13"/>
      <c r="O105" s="13"/>
      <c r="Q105" s="14"/>
      <c r="R105" s="14"/>
      <c r="S105" s="14"/>
      <c r="T105" s="14"/>
      <c r="U105" s="14"/>
      <c r="V105" s="13"/>
      <c r="W105" s="13"/>
      <c r="X105" s="13"/>
    </row>
    <row r="106" spans="1:24" s="15" customFormat="1" x14ac:dyDescent="0.2">
      <c r="A106" s="50"/>
      <c r="E106" s="51"/>
      <c r="G106" s="80"/>
      <c r="N106" s="34"/>
      <c r="Q106" s="34"/>
      <c r="R106" s="34"/>
      <c r="S106" s="34"/>
      <c r="T106" s="34"/>
      <c r="U106" s="34"/>
    </row>
    <row r="107" spans="1:24" s="15" customFormat="1" x14ac:dyDescent="0.2">
      <c r="A107" s="50"/>
      <c r="B107" s="2" t="s">
        <v>2</v>
      </c>
      <c r="C107" s="3" t="s">
        <v>3</v>
      </c>
      <c r="D107" s="71">
        <f>SUM(E107:Q107)</f>
        <v>11347822453.220001</v>
      </c>
      <c r="E107" s="96">
        <f>E10</f>
        <v>1092949490.3900001</v>
      </c>
      <c r="F107" s="96"/>
      <c r="G107" s="96"/>
      <c r="H107" s="96"/>
      <c r="I107" s="96"/>
      <c r="J107" s="96"/>
      <c r="K107" s="96">
        <f t="shared" ref="K107:L109" si="41">K10</f>
        <v>6360262428.21</v>
      </c>
      <c r="L107" s="96">
        <f t="shared" si="41"/>
        <v>3894610534.6199999</v>
      </c>
      <c r="N107" s="34"/>
      <c r="Q107" s="34"/>
      <c r="R107" s="34"/>
      <c r="S107" s="34"/>
      <c r="T107" s="34"/>
      <c r="U107" s="34"/>
    </row>
    <row r="108" spans="1:24" s="15" customFormat="1" x14ac:dyDescent="0.2">
      <c r="A108" s="50"/>
      <c r="B108" s="3" t="s">
        <v>4</v>
      </c>
      <c r="C108" s="3" t="s">
        <v>5</v>
      </c>
      <c r="D108" s="72">
        <f>SUM(E108:Q108)</f>
        <v>2000068.6666666667</v>
      </c>
      <c r="E108" s="96">
        <f>E11</f>
        <v>307488</v>
      </c>
      <c r="F108" s="96"/>
      <c r="G108" s="96"/>
      <c r="H108" s="96"/>
      <c r="I108" s="96"/>
      <c r="J108" s="96"/>
      <c r="K108" s="96">
        <f t="shared" si="41"/>
        <v>1692259</v>
      </c>
      <c r="L108" s="96">
        <f t="shared" si="41"/>
        <v>321.66666666666669</v>
      </c>
      <c r="N108" s="34"/>
      <c r="Q108" s="34"/>
      <c r="R108" s="34"/>
      <c r="S108" s="34"/>
      <c r="T108" s="34"/>
      <c r="U108" s="34"/>
    </row>
    <row r="109" spans="1:24" s="15" customFormat="1" x14ac:dyDescent="0.2">
      <c r="A109" s="50"/>
      <c r="B109" s="2" t="s">
        <v>15</v>
      </c>
      <c r="C109" s="3" t="s">
        <v>3</v>
      </c>
      <c r="D109" s="71">
        <f>SUM(E109:Q109)</f>
        <v>331114758.04999995</v>
      </c>
      <c r="E109" s="96">
        <f>E12</f>
        <v>36316769.729999997</v>
      </c>
      <c r="F109" s="96"/>
      <c r="G109" s="96"/>
      <c r="H109" s="96"/>
      <c r="I109" s="96"/>
      <c r="J109" s="96"/>
      <c r="K109" s="96">
        <f t="shared" si="41"/>
        <v>155042377.16999999</v>
      </c>
      <c r="L109" s="96">
        <f t="shared" si="41"/>
        <v>139755611.15000001</v>
      </c>
      <c r="N109" s="34"/>
      <c r="Q109" s="34"/>
      <c r="R109" s="34"/>
      <c r="S109" s="34"/>
      <c r="T109" s="34"/>
      <c r="U109" s="34"/>
    </row>
    <row r="110" spans="1:24" s="15" customFormat="1" x14ac:dyDescent="0.2">
      <c r="A110" s="50"/>
      <c r="B110" s="44" t="s">
        <v>16</v>
      </c>
      <c r="C110" s="3"/>
      <c r="E110" s="1"/>
      <c r="F110" s="1"/>
      <c r="G110" s="1"/>
      <c r="H110" s="1"/>
      <c r="I110" s="1"/>
      <c r="J110" s="1"/>
      <c r="K110" s="1"/>
      <c r="L110" s="16"/>
      <c r="N110" s="34"/>
      <c r="Q110" s="34"/>
      <c r="R110" s="34"/>
      <c r="S110" s="34"/>
      <c r="T110" s="34"/>
      <c r="U110" s="34"/>
    </row>
    <row r="111" spans="1:24" s="15" customFormat="1" x14ac:dyDescent="0.2">
      <c r="A111" s="50"/>
      <c r="E111" s="51"/>
      <c r="G111" s="80"/>
      <c r="L111" s="4"/>
      <c r="N111" s="34"/>
      <c r="Q111" s="34"/>
      <c r="R111" s="34"/>
      <c r="S111" s="34"/>
      <c r="T111" s="34"/>
      <c r="U111" s="34"/>
    </row>
    <row r="112" spans="1:24" s="15" customFormat="1" x14ac:dyDescent="0.2">
      <c r="A112" s="50"/>
      <c r="B112" s="2" t="s">
        <v>2</v>
      </c>
      <c r="C112" s="12" t="s">
        <v>6</v>
      </c>
      <c r="D112" s="86">
        <f>SUM(E112:Q112)</f>
        <v>1</v>
      </c>
      <c r="E112" s="86">
        <f>1-SUM(F112:AG112)</f>
        <v>9.6300000000000052E-2</v>
      </c>
      <c r="F112" s="86"/>
      <c r="G112" s="86"/>
      <c r="H112" s="86"/>
      <c r="I112" s="86"/>
      <c r="J112" s="86"/>
      <c r="K112" s="86">
        <f>ROUND(K107/$D$107,4)</f>
        <v>0.5605</v>
      </c>
      <c r="L112" s="86">
        <f>ROUND(L107/$D$107,4)</f>
        <v>0.34320000000000001</v>
      </c>
      <c r="M112" s="89"/>
      <c r="N112" s="90"/>
      <c r="Q112" s="90"/>
      <c r="R112" s="90"/>
      <c r="S112" s="90"/>
      <c r="T112" s="90"/>
      <c r="U112" s="90"/>
      <c r="V112" s="89"/>
      <c r="W112" s="89"/>
      <c r="X112" s="89"/>
    </row>
    <row r="113" spans="1:33" s="15" customFormat="1" x14ac:dyDescent="0.2">
      <c r="A113" s="50"/>
      <c r="B113" s="3" t="s">
        <v>4</v>
      </c>
      <c r="C113" s="12" t="s">
        <v>6</v>
      </c>
      <c r="D113" s="86">
        <f>SUM(E113:Q113)</f>
        <v>1</v>
      </c>
      <c r="E113" s="86">
        <f>1-SUM(F113:AG113)</f>
        <v>0.15370000000000006</v>
      </c>
      <c r="F113" s="86"/>
      <c r="G113" s="86"/>
      <c r="H113" s="86"/>
      <c r="I113" s="86"/>
      <c r="J113" s="86"/>
      <c r="K113" s="86">
        <f>ROUND(K108/$D$108,4)</f>
        <v>0.84609999999999996</v>
      </c>
      <c r="L113" s="86">
        <f>ROUND(L108/$D$108,4)</f>
        <v>2.0000000000000001E-4</v>
      </c>
      <c r="N113" s="34"/>
      <c r="Q113" s="34"/>
      <c r="R113" s="34"/>
      <c r="S113" s="34"/>
      <c r="T113" s="34"/>
      <c r="U113" s="34"/>
    </row>
    <row r="114" spans="1:33" s="15" customFormat="1" x14ac:dyDescent="0.2">
      <c r="A114" s="50"/>
      <c r="B114" s="2" t="s">
        <v>7</v>
      </c>
      <c r="C114" s="12" t="s">
        <v>6</v>
      </c>
      <c r="D114" s="86">
        <f>SUM(E114:Q114)</f>
        <v>1</v>
      </c>
      <c r="E114" s="86">
        <f>1-SUM(F114:AG114)</f>
        <v>0.10970000000000002</v>
      </c>
      <c r="F114" s="86"/>
      <c r="G114" s="86"/>
      <c r="H114" s="86"/>
      <c r="I114" s="86"/>
      <c r="J114" s="86"/>
      <c r="K114" s="86">
        <f>ROUND(K109/$D$109,4)</f>
        <v>0.46820000000000001</v>
      </c>
      <c r="L114" s="86">
        <f>ROUND(L109/$D$109,4)</f>
        <v>0.42209999999999998</v>
      </c>
      <c r="N114" s="34"/>
      <c r="Q114" s="34"/>
      <c r="R114" s="34"/>
      <c r="S114" s="34"/>
      <c r="T114" s="34"/>
      <c r="U114" s="34"/>
    </row>
    <row r="115" spans="1:33" s="15" customFormat="1" x14ac:dyDescent="0.2">
      <c r="A115" s="50"/>
      <c r="B115" s="48"/>
      <c r="C115" s="12"/>
      <c r="D115" s="79"/>
      <c r="E115" s="87"/>
      <c r="F115" s="87"/>
      <c r="G115" s="87"/>
      <c r="H115" s="87"/>
      <c r="I115" s="87"/>
      <c r="J115" s="87"/>
      <c r="K115" s="87"/>
      <c r="L115" s="76"/>
      <c r="N115" s="34"/>
      <c r="Q115" s="34"/>
      <c r="R115" s="34"/>
      <c r="S115" s="34"/>
      <c r="T115" s="34"/>
      <c r="U115" s="34"/>
    </row>
    <row r="116" spans="1:33" s="15" customFormat="1" x14ac:dyDescent="0.2">
      <c r="A116" s="50"/>
      <c r="B116" s="104" t="str">
        <f>B19</f>
        <v>Total Composite Factor for FY 2021</v>
      </c>
      <c r="C116" s="12" t="s">
        <v>6</v>
      </c>
      <c r="D116" s="86">
        <f>SUM(E116:Q116)</f>
        <v>1</v>
      </c>
      <c r="E116" s="175">
        <f>1-SUM(F116:AG116)</f>
        <v>0.11990000000000001</v>
      </c>
      <c r="F116" s="175"/>
      <c r="G116" s="175"/>
      <c r="H116" s="175"/>
      <c r="I116" s="175"/>
      <c r="J116" s="175"/>
      <c r="K116" s="175">
        <f>ROUND(AVERAGE(K112:K114),4)</f>
        <v>0.62490000000000001</v>
      </c>
      <c r="L116" s="175">
        <f>ROUND(AVERAGE(L112:L114),4)</f>
        <v>0.25519999999999998</v>
      </c>
      <c r="N116" s="34"/>
      <c r="Q116" s="34"/>
      <c r="R116" s="34"/>
      <c r="S116" s="34"/>
      <c r="T116" s="34"/>
      <c r="U116" s="34"/>
    </row>
    <row r="119" spans="1:33" s="5" customFormat="1" x14ac:dyDescent="0.2">
      <c r="A119" s="38"/>
      <c r="B119" s="111" t="s">
        <v>112</v>
      </c>
    </row>
    <row r="120" spans="1:33" s="5" customFormat="1" ht="25.5" x14ac:dyDescent="0.2">
      <c r="A120" s="40"/>
      <c r="B120" s="41"/>
      <c r="C120" s="18"/>
      <c r="D120" s="6" t="s">
        <v>1</v>
      </c>
      <c r="E120" s="70" t="s">
        <v>13</v>
      </c>
      <c r="F120" s="6" t="s">
        <v>10</v>
      </c>
      <c r="G120" s="6" t="s">
        <v>11</v>
      </c>
      <c r="H120" s="6" t="s">
        <v>12</v>
      </c>
      <c r="I120" s="95" t="s">
        <v>82</v>
      </c>
      <c r="J120" s="6" t="s">
        <v>81</v>
      </c>
      <c r="K120" s="6" t="s">
        <v>14</v>
      </c>
      <c r="L120" s="113"/>
      <c r="M120" s="18"/>
      <c r="N120" s="113"/>
      <c r="O120" s="113"/>
      <c r="P120" s="18"/>
      <c r="Q120" s="18"/>
      <c r="R120" s="18"/>
      <c r="S120" s="18"/>
      <c r="T120" s="18"/>
      <c r="U120" s="18"/>
      <c r="V120" s="113"/>
      <c r="W120" s="113"/>
      <c r="X120" s="113"/>
      <c r="Y120" s="18"/>
      <c r="Z120" s="18"/>
      <c r="AA120" s="18"/>
      <c r="AB120" s="18"/>
      <c r="AC120" s="18"/>
      <c r="AD120" s="18"/>
      <c r="AE120" s="18"/>
      <c r="AF120" s="18"/>
      <c r="AG120" s="18"/>
    </row>
    <row r="121" spans="1:33" x14ac:dyDescent="0.2">
      <c r="D121" s="42"/>
      <c r="E121" s="43"/>
      <c r="L121" s="42"/>
      <c r="M121" s="42"/>
      <c r="N121" s="99"/>
      <c r="O121" s="42"/>
      <c r="P121" s="42"/>
      <c r="Q121" s="99"/>
      <c r="R121" s="99"/>
      <c r="S121" s="99"/>
      <c r="T121" s="99"/>
      <c r="U121" s="99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</row>
    <row r="122" spans="1:33" s="3" customFormat="1" x14ac:dyDescent="0.2">
      <c r="A122" s="17"/>
      <c r="B122" s="2" t="s">
        <v>2</v>
      </c>
      <c r="C122" s="3" t="s">
        <v>3</v>
      </c>
      <c r="D122" s="71">
        <f>SUM(E122:Q122)</f>
        <v>7453211918.6000004</v>
      </c>
      <c r="E122" s="96">
        <f>E10</f>
        <v>1092949490.3900001</v>
      </c>
      <c r="F122" s="96"/>
      <c r="G122" s="96"/>
      <c r="H122" s="96"/>
      <c r="I122" s="96"/>
      <c r="J122" s="96"/>
      <c r="K122" s="96">
        <f>K10</f>
        <v>6360262428.21</v>
      </c>
      <c r="L122" s="43"/>
      <c r="M122" s="43"/>
      <c r="N122" s="43"/>
      <c r="O122" s="43"/>
      <c r="P122" s="82"/>
      <c r="Q122" s="43"/>
      <c r="R122" s="43"/>
      <c r="S122" s="43"/>
      <c r="T122" s="43"/>
      <c r="U122" s="43"/>
      <c r="V122" s="43"/>
      <c r="W122" s="43"/>
      <c r="X122" s="43"/>
      <c r="Y122" s="82"/>
      <c r="Z122" s="82"/>
      <c r="AA122" s="82"/>
      <c r="AB122" s="82"/>
      <c r="AC122" s="82"/>
      <c r="AD122" s="82"/>
      <c r="AE122" s="82"/>
      <c r="AF122" s="82"/>
      <c r="AG122" s="82"/>
    </row>
    <row r="123" spans="1:33" s="3" customFormat="1" x14ac:dyDescent="0.2">
      <c r="A123" s="17"/>
      <c r="B123" s="3" t="s">
        <v>4</v>
      </c>
      <c r="C123" s="3" t="s">
        <v>5</v>
      </c>
      <c r="D123" s="72">
        <f>SUM(E123:Q123)</f>
        <v>1999747</v>
      </c>
      <c r="E123" s="97">
        <f>E11</f>
        <v>307488</v>
      </c>
      <c r="F123" s="96"/>
      <c r="G123" s="96"/>
      <c r="H123" s="96"/>
      <c r="I123" s="96"/>
      <c r="J123" s="96"/>
      <c r="K123" s="96">
        <f>K11</f>
        <v>1692259</v>
      </c>
      <c r="L123" s="43"/>
      <c r="M123" s="43"/>
      <c r="N123" s="43"/>
      <c r="O123" s="43"/>
      <c r="P123" s="82"/>
      <c r="Q123" s="43"/>
      <c r="R123" s="43"/>
      <c r="S123" s="43"/>
      <c r="T123" s="43"/>
      <c r="U123" s="43"/>
      <c r="V123" s="43"/>
      <c r="W123" s="43"/>
      <c r="X123" s="43"/>
      <c r="Y123" s="82"/>
      <c r="Z123" s="82"/>
      <c r="AA123" s="82"/>
      <c r="AB123" s="82"/>
      <c r="AC123" s="82"/>
      <c r="AD123" s="82"/>
      <c r="AE123" s="82"/>
      <c r="AF123" s="82"/>
      <c r="AG123" s="82"/>
    </row>
    <row r="124" spans="1:33" s="3" customFormat="1" x14ac:dyDescent="0.2">
      <c r="A124" s="17"/>
      <c r="B124" s="2" t="s">
        <v>15</v>
      </c>
      <c r="C124" s="3" t="s">
        <v>3</v>
      </c>
      <c r="D124" s="71">
        <f>SUM(E124:Q124)</f>
        <v>191359146.89999998</v>
      </c>
      <c r="E124" s="97">
        <f>E12</f>
        <v>36316769.729999997</v>
      </c>
      <c r="F124" s="96"/>
      <c r="G124" s="97"/>
      <c r="H124" s="97"/>
      <c r="I124" s="96"/>
      <c r="J124" s="96"/>
      <c r="K124" s="96">
        <f>K12</f>
        <v>155042377.16999999</v>
      </c>
      <c r="L124" s="43"/>
      <c r="M124" s="43"/>
      <c r="N124" s="43"/>
      <c r="O124" s="43"/>
      <c r="P124" s="82"/>
      <c r="Q124" s="43"/>
      <c r="R124" s="43"/>
      <c r="S124" s="43"/>
      <c r="T124" s="43"/>
      <c r="U124" s="43"/>
      <c r="V124" s="43"/>
      <c r="W124" s="43"/>
      <c r="X124" s="43"/>
      <c r="Y124" s="82"/>
      <c r="Z124" s="82"/>
      <c r="AA124" s="82"/>
      <c r="AB124" s="82"/>
      <c r="AC124" s="82"/>
      <c r="AD124" s="82"/>
      <c r="AE124" s="82"/>
      <c r="AF124" s="82"/>
      <c r="AG124" s="82"/>
    </row>
    <row r="125" spans="1:33" s="3" customFormat="1" x14ac:dyDescent="0.2">
      <c r="A125" s="17"/>
      <c r="B125" s="44" t="s">
        <v>16</v>
      </c>
      <c r="D125" s="45"/>
      <c r="E125" s="1"/>
      <c r="F125" s="1"/>
      <c r="G125" s="1"/>
      <c r="H125" s="1"/>
      <c r="I125" s="1"/>
      <c r="J125" s="1"/>
      <c r="K125" s="1"/>
      <c r="L125" s="16"/>
      <c r="M125" s="16"/>
      <c r="N125" s="16"/>
      <c r="O125" s="16"/>
      <c r="P125" s="82"/>
      <c r="Q125" s="82"/>
      <c r="R125" s="82"/>
      <c r="S125" s="82"/>
      <c r="T125" s="82"/>
      <c r="U125" s="82"/>
      <c r="V125" s="1"/>
      <c r="W125" s="1"/>
      <c r="X125" s="1"/>
      <c r="Y125" s="82"/>
      <c r="Z125" s="82"/>
      <c r="AA125" s="82"/>
      <c r="AB125" s="82"/>
      <c r="AC125" s="82"/>
      <c r="AD125" s="82"/>
      <c r="AE125" s="82"/>
      <c r="AF125" s="82"/>
      <c r="AG125" s="82"/>
    </row>
    <row r="126" spans="1:33" x14ac:dyDescent="0.2">
      <c r="A126" s="46" t="s">
        <v>9</v>
      </c>
      <c r="D126" s="47"/>
      <c r="E126" s="94"/>
      <c r="L126" s="42"/>
      <c r="M126" s="42"/>
      <c r="N126" s="99"/>
      <c r="O126" s="42"/>
      <c r="P126" s="42"/>
      <c r="Q126" s="99"/>
      <c r="R126" s="99"/>
      <c r="S126" s="99"/>
      <c r="T126" s="99"/>
      <c r="U126" s="99"/>
      <c r="V126" s="47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</row>
    <row r="127" spans="1:33" s="12" customFormat="1" x14ac:dyDescent="0.2">
      <c r="A127" s="17"/>
      <c r="B127" s="2" t="s">
        <v>2</v>
      </c>
      <c r="C127" s="12" t="s">
        <v>6</v>
      </c>
      <c r="D127" s="73">
        <f>SUM(E127:Q127)</f>
        <v>1</v>
      </c>
      <c r="E127" s="74">
        <f>1-SUM(F127:AG127)</f>
        <v>0.14659999999999995</v>
      </c>
      <c r="F127" s="73">
        <f>ROUND(F122/$D$10,4)</f>
        <v>0</v>
      </c>
      <c r="G127" s="73">
        <f t="shared" ref="G127:K129" si="42">ROUND(G122/$D122,4)</f>
        <v>0</v>
      </c>
      <c r="H127" s="73">
        <f t="shared" si="42"/>
        <v>0</v>
      </c>
      <c r="I127" s="73">
        <f t="shared" si="42"/>
        <v>0</v>
      </c>
      <c r="J127" s="73">
        <f t="shared" si="42"/>
        <v>0</v>
      </c>
      <c r="K127" s="73">
        <f t="shared" si="42"/>
        <v>0.85340000000000005</v>
      </c>
      <c r="L127" s="76"/>
      <c r="M127" s="76"/>
      <c r="N127" s="76"/>
      <c r="O127" s="76"/>
      <c r="P127" s="14"/>
      <c r="Q127" s="14"/>
      <c r="R127" s="14"/>
      <c r="S127" s="14"/>
      <c r="T127" s="14"/>
      <c r="U127" s="14"/>
      <c r="V127" s="76"/>
      <c r="W127" s="76"/>
      <c r="X127" s="76"/>
      <c r="Y127" s="14"/>
      <c r="Z127" s="14"/>
      <c r="AA127" s="14"/>
      <c r="AB127" s="14"/>
      <c r="AC127" s="14"/>
      <c r="AD127" s="14"/>
      <c r="AE127" s="14"/>
      <c r="AF127" s="14"/>
      <c r="AG127" s="14"/>
    </row>
    <row r="128" spans="1:33" s="12" customFormat="1" x14ac:dyDescent="0.2">
      <c r="A128" s="17"/>
      <c r="B128" s="3" t="s">
        <v>4</v>
      </c>
      <c r="C128" s="12" t="s">
        <v>6</v>
      </c>
      <c r="D128" s="75">
        <f>SUM(E128:Q128)</f>
        <v>1</v>
      </c>
      <c r="E128" s="74">
        <f>1-SUM(F128:AG128)</f>
        <v>0.15380000000000005</v>
      </c>
      <c r="F128" s="73">
        <f>ROUND(F123/$D$11,4)</f>
        <v>0</v>
      </c>
      <c r="G128" s="73">
        <f t="shared" si="42"/>
        <v>0</v>
      </c>
      <c r="H128" s="73">
        <f t="shared" si="42"/>
        <v>0</v>
      </c>
      <c r="I128" s="73">
        <f t="shared" si="42"/>
        <v>0</v>
      </c>
      <c r="J128" s="73">
        <f t="shared" si="42"/>
        <v>0</v>
      </c>
      <c r="K128" s="73">
        <f t="shared" si="42"/>
        <v>0.84619999999999995</v>
      </c>
      <c r="L128" s="76"/>
      <c r="M128" s="76"/>
      <c r="N128" s="76"/>
      <c r="O128" s="76"/>
      <c r="P128" s="14"/>
      <c r="Q128" s="14"/>
      <c r="R128" s="14"/>
      <c r="S128" s="14"/>
      <c r="T128" s="14"/>
      <c r="U128" s="14"/>
      <c r="V128" s="76"/>
      <c r="W128" s="76"/>
      <c r="X128" s="76"/>
      <c r="Y128" s="14"/>
      <c r="Z128" s="14"/>
      <c r="AA128" s="14"/>
      <c r="AB128" s="14"/>
      <c r="AC128" s="14"/>
      <c r="AD128" s="14"/>
      <c r="AE128" s="14"/>
      <c r="AF128" s="14"/>
      <c r="AG128" s="14"/>
    </row>
    <row r="129" spans="1:33" s="12" customFormat="1" x14ac:dyDescent="0.2">
      <c r="A129" s="17"/>
      <c r="B129" s="2" t="s">
        <v>7</v>
      </c>
      <c r="C129" s="12" t="s">
        <v>6</v>
      </c>
      <c r="D129" s="75">
        <f>SUM(E129:Q129)</f>
        <v>1</v>
      </c>
      <c r="E129" s="74">
        <f>1-SUM(F129:AG129)</f>
        <v>0.18979999999999997</v>
      </c>
      <c r="F129" s="73">
        <f>ROUND(F124/$D124,4)</f>
        <v>0</v>
      </c>
      <c r="G129" s="73">
        <f t="shared" si="42"/>
        <v>0</v>
      </c>
      <c r="H129" s="73">
        <f t="shared" si="42"/>
        <v>0</v>
      </c>
      <c r="I129" s="73">
        <f t="shared" si="42"/>
        <v>0</v>
      </c>
      <c r="J129" s="73">
        <f t="shared" si="42"/>
        <v>0</v>
      </c>
      <c r="K129" s="73">
        <f t="shared" si="42"/>
        <v>0.81020000000000003</v>
      </c>
      <c r="L129" s="76"/>
      <c r="M129" s="76"/>
      <c r="N129" s="76"/>
      <c r="O129" s="76"/>
      <c r="P129" s="14"/>
      <c r="Q129" s="14"/>
      <c r="R129" s="14"/>
      <c r="S129" s="14"/>
      <c r="T129" s="14"/>
      <c r="U129" s="14"/>
      <c r="V129" s="76"/>
      <c r="W129" s="76"/>
      <c r="X129" s="76"/>
      <c r="Y129" s="14"/>
      <c r="Z129" s="14"/>
      <c r="AA129" s="14"/>
      <c r="AB129" s="14"/>
      <c r="AC129" s="14"/>
      <c r="AD129" s="14"/>
      <c r="AE129" s="14"/>
      <c r="AF129" s="14"/>
      <c r="AG129" s="14"/>
    </row>
    <row r="130" spans="1:33" s="12" customFormat="1" x14ac:dyDescent="0.2">
      <c r="A130" s="17"/>
      <c r="B130" s="48"/>
      <c r="D130" s="76"/>
      <c r="E130" s="77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14"/>
      <c r="Q130" s="14"/>
      <c r="R130" s="14"/>
      <c r="S130" s="14"/>
      <c r="T130" s="14"/>
      <c r="U130" s="14"/>
      <c r="V130" s="76"/>
      <c r="W130" s="76"/>
      <c r="X130" s="76"/>
      <c r="Y130" s="14"/>
      <c r="Z130" s="14"/>
      <c r="AA130" s="14"/>
      <c r="AB130" s="14"/>
      <c r="AC130" s="14"/>
      <c r="AD130" s="14"/>
      <c r="AE130" s="14"/>
      <c r="AF130" s="14"/>
      <c r="AG130" s="14"/>
    </row>
    <row r="131" spans="1:33" s="12" customFormat="1" x14ac:dyDescent="0.2">
      <c r="A131" s="17"/>
      <c r="B131" s="104" t="str">
        <f>B19</f>
        <v>Total Composite Factor for FY 2021</v>
      </c>
      <c r="C131" s="12" t="s">
        <v>6</v>
      </c>
      <c r="D131" s="73">
        <f>SUM(E131:Q131)</f>
        <v>1</v>
      </c>
      <c r="E131" s="175">
        <f>1-SUM(F131:AG131)</f>
        <v>0.16339999999999999</v>
      </c>
      <c r="F131" s="175">
        <f t="shared" ref="F131:K131" si="43">ROUND(AVERAGE(F127:F129),4)</f>
        <v>0</v>
      </c>
      <c r="G131" s="175">
        <f t="shared" si="43"/>
        <v>0</v>
      </c>
      <c r="H131" s="175">
        <f t="shared" si="43"/>
        <v>0</v>
      </c>
      <c r="I131" s="175">
        <f t="shared" si="43"/>
        <v>0</v>
      </c>
      <c r="J131" s="175">
        <f t="shared" si="43"/>
        <v>0</v>
      </c>
      <c r="K131" s="175">
        <f t="shared" si="43"/>
        <v>0.83660000000000001</v>
      </c>
      <c r="L131" s="88"/>
      <c r="M131" s="88"/>
      <c r="N131" s="88"/>
      <c r="O131" s="88"/>
      <c r="P131" s="14"/>
      <c r="Q131" s="77"/>
      <c r="R131" s="77"/>
      <c r="S131" s="77"/>
      <c r="T131" s="77"/>
      <c r="U131" s="77"/>
      <c r="V131" s="88"/>
      <c r="W131" s="88"/>
      <c r="X131" s="88"/>
      <c r="Y131" s="14"/>
      <c r="Z131" s="14"/>
      <c r="AA131" s="14"/>
      <c r="AB131" s="14"/>
      <c r="AC131" s="14"/>
      <c r="AD131" s="14"/>
      <c r="AE131" s="14"/>
      <c r="AF131" s="14"/>
      <c r="AG131" s="14"/>
    </row>
    <row r="134" spans="1:33" s="5" customFormat="1" ht="15.75" x14ac:dyDescent="0.25">
      <c r="A134" s="38"/>
      <c r="B134" s="117" t="s">
        <v>113</v>
      </c>
      <c r="C134" s="118"/>
      <c r="D134" s="118"/>
      <c r="L134" s="120"/>
      <c r="M134" s="120"/>
      <c r="N134" s="120"/>
      <c r="O134" s="120"/>
    </row>
    <row r="135" spans="1:33" s="5" customFormat="1" ht="25.5" x14ac:dyDescent="0.2">
      <c r="A135" s="40"/>
      <c r="B135" s="41"/>
      <c r="C135" s="18"/>
      <c r="D135" s="6" t="s">
        <v>1</v>
      </c>
      <c r="E135" s="70" t="s">
        <v>13</v>
      </c>
      <c r="F135" s="6" t="s">
        <v>10</v>
      </c>
      <c r="G135" s="6" t="s">
        <v>11</v>
      </c>
      <c r="H135" s="6" t="s">
        <v>12</v>
      </c>
      <c r="I135" s="95" t="s">
        <v>82</v>
      </c>
      <c r="J135" s="6" t="s">
        <v>81</v>
      </c>
      <c r="K135" s="6" t="s">
        <v>14</v>
      </c>
      <c r="L135" s="113"/>
      <c r="M135" s="18"/>
      <c r="N135" s="113"/>
      <c r="O135" s="113"/>
      <c r="P135" s="6"/>
      <c r="Q135" s="18"/>
      <c r="R135" s="18"/>
      <c r="S135" s="18"/>
      <c r="T135" s="18"/>
      <c r="U135" s="18"/>
      <c r="V135" s="113"/>
      <c r="W135" s="113"/>
      <c r="X135" s="113"/>
      <c r="Y135" s="18"/>
    </row>
    <row r="136" spans="1:33" x14ac:dyDescent="0.2">
      <c r="D136" s="42"/>
      <c r="E136" s="43"/>
      <c r="L136" s="42"/>
      <c r="M136" s="42"/>
      <c r="N136" s="99"/>
      <c r="O136" s="42"/>
      <c r="Q136" s="99"/>
      <c r="R136" s="99"/>
      <c r="S136" s="99"/>
      <c r="T136" s="99"/>
      <c r="U136" s="99"/>
      <c r="V136" s="42"/>
      <c r="W136" s="42"/>
      <c r="X136" s="42"/>
      <c r="Y136" s="42"/>
    </row>
    <row r="137" spans="1:33" s="3" customFormat="1" x14ac:dyDescent="0.2">
      <c r="A137" s="17"/>
      <c r="B137" s="2" t="s">
        <v>2</v>
      </c>
      <c r="C137" s="3" t="s">
        <v>3</v>
      </c>
      <c r="D137" s="71">
        <f>SUM(E137:Q137)</f>
        <v>11936130090.859999</v>
      </c>
      <c r="E137" s="96">
        <f t="shared" ref="E137:K139" si="44">E10</f>
        <v>1092949490.3900001</v>
      </c>
      <c r="F137" s="96">
        <f t="shared" si="44"/>
        <v>750894078.5</v>
      </c>
      <c r="G137" s="96">
        <f t="shared" si="44"/>
        <v>384369334.97000003</v>
      </c>
      <c r="H137" s="96">
        <f t="shared" si="44"/>
        <v>858046078.57000005</v>
      </c>
      <c r="I137" s="96">
        <f t="shared" si="44"/>
        <v>1571399765.04</v>
      </c>
      <c r="J137" s="96">
        <f t="shared" si="44"/>
        <v>886564153.44000006</v>
      </c>
      <c r="K137" s="96">
        <f t="shared" si="44"/>
        <v>6360262428.21</v>
      </c>
      <c r="L137" s="43"/>
      <c r="M137" s="43"/>
      <c r="N137" s="43"/>
      <c r="O137" s="43"/>
      <c r="P137" s="96">
        <f>P10</f>
        <v>31644761.740000002</v>
      </c>
      <c r="Q137" s="43"/>
      <c r="R137" s="43"/>
      <c r="S137" s="43"/>
      <c r="T137" s="43"/>
      <c r="U137" s="43"/>
      <c r="V137" s="43"/>
      <c r="W137" s="43"/>
      <c r="X137" s="43"/>
      <c r="Y137" s="82"/>
    </row>
    <row r="138" spans="1:33" s="3" customFormat="1" x14ac:dyDescent="0.2">
      <c r="A138" s="17"/>
      <c r="B138" s="3" t="s">
        <v>4</v>
      </c>
      <c r="C138" s="3" t="s">
        <v>5</v>
      </c>
      <c r="D138" s="72">
        <f>SUM(E138:Q138)</f>
        <v>3216995</v>
      </c>
      <c r="E138" s="97">
        <f t="shared" si="44"/>
        <v>307488</v>
      </c>
      <c r="F138" s="96">
        <f t="shared" si="44"/>
        <v>260779</v>
      </c>
      <c r="G138" s="96">
        <f t="shared" si="44"/>
        <v>73477</v>
      </c>
      <c r="H138" s="96">
        <f t="shared" si="44"/>
        <v>280594</v>
      </c>
      <c r="I138" s="96">
        <f t="shared" si="44"/>
        <v>354687</v>
      </c>
      <c r="J138" s="96">
        <f t="shared" si="44"/>
        <v>247704</v>
      </c>
      <c r="K138" s="96">
        <f t="shared" si="44"/>
        <v>1692259</v>
      </c>
      <c r="L138" s="43"/>
      <c r="M138" s="43"/>
      <c r="N138" s="43"/>
      <c r="O138" s="43"/>
      <c r="P138" s="96">
        <f>P11</f>
        <v>7</v>
      </c>
      <c r="Q138" s="43"/>
      <c r="R138" s="43"/>
      <c r="S138" s="43"/>
      <c r="T138" s="43"/>
      <c r="U138" s="43"/>
      <c r="V138" s="43"/>
      <c r="W138" s="43"/>
      <c r="X138" s="43"/>
      <c r="Y138" s="82"/>
    </row>
    <row r="139" spans="1:33" s="3" customFormat="1" x14ac:dyDescent="0.2">
      <c r="A139" s="17"/>
      <c r="B139" s="2" t="s">
        <v>15</v>
      </c>
      <c r="C139" s="3" t="s">
        <v>3</v>
      </c>
      <c r="D139" s="71">
        <f>SUM(E139:Q139)</f>
        <v>341064143.20999998</v>
      </c>
      <c r="E139" s="97">
        <f t="shared" si="44"/>
        <v>36316769.729999997</v>
      </c>
      <c r="F139" s="96">
        <f t="shared" si="44"/>
        <v>30303178.539999999</v>
      </c>
      <c r="G139" s="97">
        <f t="shared" si="44"/>
        <v>11437183.24</v>
      </c>
      <c r="H139" s="97">
        <f t="shared" si="44"/>
        <v>27474255.489999998</v>
      </c>
      <c r="I139" s="96">
        <f t="shared" si="44"/>
        <v>41742549.240000002</v>
      </c>
      <c r="J139" s="96">
        <f t="shared" si="44"/>
        <v>37397296.719999999</v>
      </c>
      <c r="K139" s="96">
        <f t="shared" si="44"/>
        <v>155042377.16999999</v>
      </c>
      <c r="L139" s="43"/>
      <c r="M139" s="43"/>
      <c r="N139" s="43"/>
      <c r="O139" s="43"/>
      <c r="P139" s="96">
        <f>P12</f>
        <v>1350533.08</v>
      </c>
      <c r="Q139" s="43"/>
      <c r="R139" s="43"/>
      <c r="S139" s="43"/>
      <c r="T139" s="43"/>
      <c r="U139" s="43"/>
      <c r="V139" s="43"/>
      <c r="W139" s="43"/>
      <c r="X139" s="43"/>
      <c r="Y139" s="82"/>
    </row>
    <row r="140" spans="1:33" s="3" customFormat="1" x14ac:dyDescent="0.2">
      <c r="A140" s="17"/>
      <c r="B140" s="44" t="s">
        <v>16</v>
      </c>
      <c r="D140" s="45"/>
      <c r="E140" s="1"/>
      <c r="F140" s="1"/>
      <c r="G140" s="1"/>
      <c r="H140" s="1"/>
      <c r="I140" s="1"/>
      <c r="J140" s="1"/>
      <c r="K140" s="1"/>
      <c r="L140" s="16"/>
      <c r="M140" s="16"/>
      <c r="N140" s="16"/>
      <c r="O140" s="16"/>
      <c r="P140" s="1"/>
      <c r="Q140" s="82"/>
      <c r="R140" s="82"/>
      <c r="S140" s="82"/>
      <c r="T140" s="82"/>
      <c r="U140" s="82"/>
      <c r="V140" s="1"/>
      <c r="W140" s="1"/>
      <c r="X140" s="1"/>
      <c r="Y140" s="82"/>
    </row>
    <row r="141" spans="1:33" x14ac:dyDescent="0.2">
      <c r="A141" s="46"/>
      <c r="D141" s="47"/>
      <c r="E141" s="94"/>
      <c r="L141" s="42"/>
      <c r="M141" s="42"/>
      <c r="N141" s="99"/>
      <c r="O141" s="42"/>
      <c r="Q141" s="99"/>
      <c r="R141" s="99"/>
      <c r="S141" s="99"/>
      <c r="T141" s="99"/>
      <c r="U141" s="99"/>
      <c r="V141" s="47"/>
      <c r="W141" s="42"/>
      <c r="X141" s="42"/>
      <c r="Y141" s="42"/>
    </row>
    <row r="142" spans="1:33" s="12" customFormat="1" x14ac:dyDescent="0.2">
      <c r="A142" s="17"/>
      <c r="B142" s="2" t="s">
        <v>2</v>
      </c>
      <c r="C142" s="12" t="s">
        <v>6</v>
      </c>
      <c r="D142" s="73">
        <f>SUM(E142:Q142)</f>
        <v>1</v>
      </c>
      <c r="E142" s="74">
        <f>1-SUM(F142:AG142)</f>
        <v>0.10699999999999987</v>
      </c>
      <c r="F142" s="73">
        <f>ROUND(F137/$D$10,4)</f>
        <v>4.7300000000000002E-2</v>
      </c>
      <c r="G142" s="73">
        <f t="shared" ref="G142:K144" si="45">ROUND(G137/$D137,4)</f>
        <v>3.2199999999999999E-2</v>
      </c>
      <c r="H142" s="73">
        <f t="shared" si="45"/>
        <v>7.1900000000000006E-2</v>
      </c>
      <c r="I142" s="73">
        <f t="shared" si="45"/>
        <v>0.13170000000000001</v>
      </c>
      <c r="J142" s="73">
        <f t="shared" si="45"/>
        <v>7.4300000000000005E-2</v>
      </c>
      <c r="K142" s="73">
        <f t="shared" si="45"/>
        <v>0.53290000000000004</v>
      </c>
      <c r="L142" s="76"/>
      <c r="M142" s="76"/>
      <c r="N142" s="76"/>
      <c r="O142" s="76"/>
      <c r="P142" s="73">
        <f>ROUND(P137/$D137,4)</f>
        <v>2.7000000000000001E-3</v>
      </c>
      <c r="Q142" s="14"/>
      <c r="R142" s="14"/>
      <c r="S142" s="14"/>
      <c r="T142" s="14"/>
      <c r="U142" s="14"/>
      <c r="V142" s="76"/>
      <c r="W142" s="76"/>
      <c r="X142" s="76"/>
      <c r="Y142" s="14"/>
    </row>
    <row r="143" spans="1:33" s="12" customFormat="1" x14ac:dyDescent="0.2">
      <c r="A143" s="17"/>
      <c r="B143" s="3" t="s">
        <v>4</v>
      </c>
      <c r="C143" s="12" t="s">
        <v>6</v>
      </c>
      <c r="D143" s="75">
        <f>SUM(E143:Q143)</f>
        <v>1</v>
      </c>
      <c r="E143" s="74">
        <f>1-SUM(F143:AG143)</f>
        <v>9.5699999999999896E-2</v>
      </c>
      <c r="F143" s="73">
        <f>ROUND(F138/$D$11,4)</f>
        <v>8.1000000000000003E-2</v>
      </c>
      <c r="G143" s="73">
        <f t="shared" si="45"/>
        <v>2.2800000000000001E-2</v>
      </c>
      <c r="H143" s="73">
        <f t="shared" si="45"/>
        <v>8.72E-2</v>
      </c>
      <c r="I143" s="73">
        <f t="shared" si="45"/>
        <v>0.1103</v>
      </c>
      <c r="J143" s="73">
        <f t="shared" si="45"/>
        <v>7.6999999999999999E-2</v>
      </c>
      <c r="K143" s="73">
        <f t="shared" si="45"/>
        <v>0.52600000000000002</v>
      </c>
      <c r="L143" s="76"/>
      <c r="M143" s="76"/>
      <c r="N143" s="76"/>
      <c r="O143" s="76"/>
      <c r="P143" s="73">
        <f>ROUND(P138/$D138,4)</f>
        <v>0</v>
      </c>
      <c r="Q143" s="14"/>
      <c r="R143" s="14"/>
      <c r="S143" s="14"/>
      <c r="T143" s="14"/>
      <c r="U143" s="14"/>
      <c r="V143" s="76"/>
      <c r="W143" s="76"/>
      <c r="X143" s="76"/>
      <c r="Y143" s="14"/>
    </row>
    <row r="144" spans="1:33" s="12" customFormat="1" x14ac:dyDescent="0.2">
      <c r="A144" s="17"/>
      <c r="B144" s="2" t="s">
        <v>7</v>
      </c>
      <c r="C144" s="12" t="s">
        <v>6</v>
      </c>
      <c r="D144" s="75">
        <f>SUM(E144:Q144)</f>
        <v>0.99999999999999989</v>
      </c>
      <c r="E144" s="74">
        <f>1-SUM(F144:AG144)</f>
        <v>0.10649999999999993</v>
      </c>
      <c r="F144" s="73">
        <f>ROUND(F139/$D139,4)</f>
        <v>8.8800000000000004E-2</v>
      </c>
      <c r="G144" s="73">
        <f t="shared" si="45"/>
        <v>3.3500000000000002E-2</v>
      </c>
      <c r="H144" s="73">
        <f t="shared" si="45"/>
        <v>8.0600000000000005E-2</v>
      </c>
      <c r="I144" s="73">
        <f t="shared" si="45"/>
        <v>0.12239999999999999</v>
      </c>
      <c r="J144" s="73">
        <f t="shared" si="45"/>
        <v>0.1096</v>
      </c>
      <c r="K144" s="73">
        <f t="shared" si="45"/>
        <v>0.4546</v>
      </c>
      <c r="L144" s="76"/>
      <c r="M144" s="76"/>
      <c r="N144" s="76"/>
      <c r="O144" s="76"/>
      <c r="P144" s="73">
        <f>ROUND(P139/$D139,4)</f>
        <v>4.0000000000000001E-3</v>
      </c>
      <c r="Q144" s="14"/>
      <c r="R144" s="14"/>
      <c r="S144" s="14"/>
      <c r="T144" s="14"/>
      <c r="U144" s="14"/>
      <c r="V144" s="76"/>
      <c r="W144" s="76"/>
      <c r="X144" s="76"/>
      <c r="Y144" s="14"/>
    </row>
    <row r="145" spans="1:33" s="12" customFormat="1" x14ac:dyDescent="0.2">
      <c r="A145" s="17"/>
      <c r="B145" s="48"/>
      <c r="D145" s="76"/>
      <c r="E145" s="77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14"/>
      <c r="R145" s="14"/>
      <c r="S145" s="14"/>
      <c r="T145" s="14"/>
      <c r="U145" s="14"/>
      <c r="V145" s="76"/>
      <c r="W145" s="76"/>
      <c r="X145" s="76"/>
      <c r="Y145" s="14"/>
    </row>
    <row r="146" spans="1:33" s="12" customFormat="1" x14ac:dyDescent="0.2">
      <c r="A146" s="17"/>
      <c r="B146" s="104" t="str">
        <f>B19</f>
        <v>Total Composite Factor for FY 2021</v>
      </c>
      <c r="C146" s="12" t="s">
        <v>6</v>
      </c>
      <c r="D146" s="73">
        <f>SUM(E146:Q146)</f>
        <v>1</v>
      </c>
      <c r="E146" s="175">
        <f>1-SUM(F146:AG146)</f>
        <v>0.10300000000000009</v>
      </c>
      <c r="F146" s="175">
        <f t="shared" ref="F146:K146" si="46">ROUND(AVERAGE(F142:F144),4)</f>
        <v>7.2400000000000006E-2</v>
      </c>
      <c r="G146" s="175">
        <f t="shared" si="46"/>
        <v>2.9499999999999998E-2</v>
      </c>
      <c r="H146" s="175">
        <f t="shared" si="46"/>
        <v>7.9899999999999999E-2</v>
      </c>
      <c r="I146" s="175">
        <f t="shared" si="46"/>
        <v>0.1215</v>
      </c>
      <c r="J146" s="175">
        <f t="shared" si="46"/>
        <v>8.6999999999999994E-2</v>
      </c>
      <c r="K146" s="175">
        <f t="shared" si="46"/>
        <v>0.50449999999999995</v>
      </c>
      <c r="L146" s="176"/>
      <c r="M146" s="176"/>
      <c r="N146" s="176"/>
      <c r="O146" s="176"/>
      <c r="P146" s="175">
        <f>ROUND(AVERAGE(P142:P144),4)</f>
        <v>2.2000000000000001E-3</v>
      </c>
      <c r="Q146" s="77"/>
      <c r="R146" s="77"/>
      <c r="S146" s="77"/>
      <c r="T146" s="77"/>
      <c r="U146" s="77"/>
      <c r="V146" s="88"/>
      <c r="W146" s="88"/>
      <c r="X146" s="88"/>
      <c r="Y146" s="14"/>
    </row>
    <row r="149" spans="1:33" s="5" customFormat="1" ht="15.75" x14ac:dyDescent="0.25">
      <c r="A149" s="38"/>
      <c r="B149" s="111" t="s">
        <v>99</v>
      </c>
      <c r="C149" s="112"/>
      <c r="E149" s="119"/>
      <c r="K149" s="120"/>
      <c r="L149" s="4"/>
      <c r="M149" s="4"/>
      <c r="N149" s="4"/>
      <c r="O149" s="4"/>
      <c r="P149" s="4"/>
    </row>
    <row r="150" spans="1:33" s="5" customFormat="1" ht="25.5" x14ac:dyDescent="0.2">
      <c r="A150" s="40" t="s">
        <v>8</v>
      </c>
      <c r="B150" s="41"/>
      <c r="C150" s="18"/>
      <c r="D150" s="6" t="s">
        <v>1</v>
      </c>
      <c r="E150" s="70" t="s">
        <v>13</v>
      </c>
      <c r="F150" s="6" t="s">
        <v>10</v>
      </c>
      <c r="G150" s="6" t="s">
        <v>11</v>
      </c>
      <c r="H150" s="6" t="s">
        <v>12</v>
      </c>
      <c r="I150" s="95" t="s">
        <v>82</v>
      </c>
      <c r="J150" s="6" t="s">
        <v>81</v>
      </c>
      <c r="K150" s="18"/>
      <c r="L150" s="4"/>
      <c r="M150" s="4"/>
      <c r="N150" s="4"/>
      <c r="O150" s="4"/>
      <c r="P150" s="4"/>
      <c r="Q150" s="18"/>
      <c r="R150" s="18"/>
      <c r="S150" s="18"/>
      <c r="T150" s="18"/>
      <c r="U150" s="18"/>
      <c r="V150" s="113"/>
      <c r="W150" s="113"/>
      <c r="X150" s="113"/>
      <c r="Y150" s="18"/>
      <c r="Z150" s="18"/>
      <c r="AA150" s="18"/>
      <c r="AB150" s="18"/>
      <c r="AC150" s="18"/>
      <c r="AD150" s="18"/>
      <c r="AE150" s="18"/>
      <c r="AF150" s="18"/>
      <c r="AG150" s="18"/>
    </row>
    <row r="151" spans="1:33" x14ac:dyDescent="0.2">
      <c r="D151" s="42"/>
      <c r="E151" s="43"/>
      <c r="K151" s="42"/>
      <c r="N151" s="4"/>
      <c r="Q151" s="99"/>
      <c r="R151" s="99"/>
      <c r="S151" s="99"/>
      <c r="T151" s="99"/>
      <c r="U151" s="99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</row>
    <row r="152" spans="1:33" s="3" customFormat="1" x14ac:dyDescent="0.2">
      <c r="A152" s="17"/>
      <c r="B152" s="2" t="s">
        <v>2</v>
      </c>
      <c r="C152" s="3" t="s">
        <v>3</v>
      </c>
      <c r="D152" s="71">
        <f>SUM(E152:Q152)</f>
        <v>2879873645.48</v>
      </c>
      <c r="E152" s="96"/>
      <c r="F152" s="96">
        <f t="shared" ref="F152:H154" si="47">F10</f>
        <v>750894078.5</v>
      </c>
      <c r="G152" s="96">
        <f t="shared" si="47"/>
        <v>384369334.97000003</v>
      </c>
      <c r="H152" s="96">
        <f t="shared" si="47"/>
        <v>858046078.57000005</v>
      </c>
      <c r="I152" s="96"/>
      <c r="J152" s="96">
        <f>J10</f>
        <v>886564153.44000006</v>
      </c>
      <c r="K152" s="43"/>
      <c r="L152" s="4"/>
      <c r="M152" s="4"/>
      <c r="N152" s="4"/>
      <c r="O152" s="4"/>
      <c r="P152" s="4"/>
      <c r="Q152" s="43"/>
      <c r="R152" s="43"/>
      <c r="S152" s="43"/>
      <c r="T152" s="43"/>
      <c r="U152" s="43"/>
      <c r="V152" s="43"/>
      <c r="W152" s="43"/>
      <c r="X152" s="43"/>
      <c r="Y152" s="82"/>
      <c r="Z152" s="82"/>
      <c r="AA152" s="82"/>
      <c r="AB152" s="82"/>
      <c r="AC152" s="82"/>
      <c r="AD152" s="82"/>
      <c r="AE152" s="82"/>
      <c r="AF152" s="82"/>
      <c r="AG152" s="82"/>
    </row>
    <row r="153" spans="1:33" s="3" customFormat="1" x14ac:dyDescent="0.2">
      <c r="A153" s="17"/>
      <c r="B153" s="3" t="s">
        <v>4</v>
      </c>
      <c r="C153" s="3" t="s">
        <v>5</v>
      </c>
      <c r="D153" s="72">
        <f>SUM(E153:Q153)</f>
        <v>862554</v>
      </c>
      <c r="E153" s="97"/>
      <c r="F153" s="96">
        <f t="shared" si="47"/>
        <v>260779</v>
      </c>
      <c r="G153" s="96">
        <f t="shared" si="47"/>
        <v>73477</v>
      </c>
      <c r="H153" s="96">
        <f t="shared" si="47"/>
        <v>280594</v>
      </c>
      <c r="I153" s="96"/>
      <c r="J153" s="96">
        <f>J11</f>
        <v>247704</v>
      </c>
      <c r="K153" s="43"/>
      <c r="L153" s="4"/>
      <c r="M153" s="4"/>
      <c r="N153" s="4"/>
      <c r="O153" s="4"/>
      <c r="P153" s="4"/>
      <c r="Q153" s="43"/>
      <c r="R153" s="43"/>
      <c r="S153" s="43"/>
      <c r="T153" s="43"/>
      <c r="U153" s="43"/>
      <c r="V153" s="43"/>
      <c r="W153" s="43"/>
      <c r="X153" s="43"/>
      <c r="Y153" s="82"/>
      <c r="Z153" s="82"/>
      <c r="AA153" s="82"/>
      <c r="AB153" s="82"/>
      <c r="AC153" s="82"/>
      <c r="AD153" s="82"/>
      <c r="AE153" s="82"/>
      <c r="AF153" s="82"/>
      <c r="AG153" s="82"/>
    </row>
    <row r="154" spans="1:33" s="3" customFormat="1" x14ac:dyDescent="0.2">
      <c r="A154" s="17"/>
      <c r="B154" s="2" t="s">
        <v>15</v>
      </c>
      <c r="C154" s="3" t="s">
        <v>3</v>
      </c>
      <c r="D154" s="71">
        <f>SUM(E154:Q154)</f>
        <v>106611913.98999999</v>
      </c>
      <c r="E154" s="97"/>
      <c r="F154" s="96">
        <f t="shared" si="47"/>
        <v>30303178.539999999</v>
      </c>
      <c r="G154" s="97">
        <f t="shared" si="47"/>
        <v>11437183.24</v>
      </c>
      <c r="H154" s="97">
        <f t="shared" si="47"/>
        <v>27474255.489999998</v>
      </c>
      <c r="I154" s="96"/>
      <c r="J154" s="96">
        <f>J12</f>
        <v>37397296.719999999</v>
      </c>
      <c r="K154" s="43"/>
      <c r="L154" s="4"/>
      <c r="M154" s="4"/>
      <c r="N154" s="4"/>
      <c r="O154" s="4"/>
      <c r="P154" s="4"/>
      <c r="Q154" s="43"/>
      <c r="R154" s="43"/>
      <c r="S154" s="43"/>
      <c r="T154" s="43"/>
      <c r="U154" s="43"/>
      <c r="V154" s="43"/>
      <c r="W154" s="43"/>
      <c r="X154" s="43"/>
      <c r="Y154" s="82"/>
      <c r="Z154" s="82"/>
      <c r="AA154" s="82"/>
      <c r="AB154" s="82"/>
      <c r="AC154" s="82"/>
      <c r="AD154" s="82"/>
      <c r="AE154" s="82"/>
      <c r="AF154" s="82"/>
      <c r="AG154" s="82"/>
    </row>
    <row r="155" spans="1:33" s="3" customFormat="1" x14ac:dyDescent="0.2">
      <c r="A155" s="17"/>
      <c r="B155" s="44" t="s">
        <v>16</v>
      </c>
      <c r="D155" s="45"/>
      <c r="E155" s="1"/>
      <c r="F155" s="1"/>
      <c r="G155" s="1"/>
      <c r="H155" s="1"/>
      <c r="I155" s="1"/>
      <c r="J155" s="1"/>
      <c r="K155" s="1"/>
      <c r="L155" s="4"/>
      <c r="M155" s="4"/>
      <c r="N155" s="4"/>
      <c r="O155" s="4"/>
      <c r="P155" s="4"/>
      <c r="Q155" s="82"/>
      <c r="R155" s="82"/>
      <c r="S155" s="82"/>
      <c r="T155" s="82"/>
      <c r="U155" s="82"/>
      <c r="V155" s="1"/>
      <c r="W155" s="1"/>
      <c r="X155" s="1"/>
      <c r="Y155" s="82"/>
      <c r="Z155" s="82"/>
      <c r="AA155" s="82"/>
      <c r="AB155" s="82"/>
      <c r="AC155" s="82"/>
      <c r="AD155" s="82"/>
      <c r="AE155" s="82"/>
      <c r="AF155" s="82"/>
      <c r="AG155" s="82"/>
    </row>
    <row r="156" spans="1:33" x14ac:dyDescent="0.2">
      <c r="A156" s="46"/>
      <c r="D156" s="47"/>
      <c r="E156" s="94"/>
      <c r="K156" s="42"/>
      <c r="N156" s="4"/>
      <c r="Q156" s="99"/>
      <c r="R156" s="99"/>
      <c r="S156" s="99"/>
      <c r="T156" s="99"/>
      <c r="U156" s="99"/>
      <c r="V156" s="47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</row>
    <row r="157" spans="1:33" s="12" customFormat="1" x14ac:dyDescent="0.2">
      <c r="A157" s="17"/>
      <c r="B157" s="2" t="s">
        <v>2</v>
      </c>
      <c r="C157" s="12" t="s">
        <v>6</v>
      </c>
      <c r="D157" s="73">
        <f>SUM(E157:Q157)</f>
        <v>1</v>
      </c>
      <c r="E157" s="73">
        <f>ROUND(E152/$D152,4)</f>
        <v>0</v>
      </c>
      <c r="F157" s="73">
        <f>1-SUM(G157:AG157)</f>
        <v>0.26079999999999992</v>
      </c>
      <c r="G157" s="73">
        <f t="shared" ref="G157:J159" si="48">ROUND(G152/$D152,4)</f>
        <v>0.13350000000000001</v>
      </c>
      <c r="H157" s="73">
        <f t="shared" si="48"/>
        <v>0.2979</v>
      </c>
      <c r="I157" s="73">
        <f t="shared" si="48"/>
        <v>0</v>
      </c>
      <c r="J157" s="73">
        <f t="shared" si="48"/>
        <v>0.30780000000000002</v>
      </c>
      <c r="K157" s="76"/>
      <c r="L157" s="4"/>
      <c r="M157" s="4"/>
      <c r="N157" s="4"/>
      <c r="O157" s="4"/>
      <c r="P157" s="4"/>
      <c r="Q157" s="14"/>
      <c r="R157" s="14"/>
      <c r="S157" s="14"/>
      <c r="T157" s="14"/>
      <c r="U157" s="14"/>
      <c r="V157" s="76"/>
      <c r="W157" s="76"/>
      <c r="X157" s="76"/>
      <c r="Y157" s="14"/>
      <c r="Z157" s="14"/>
      <c r="AA157" s="14"/>
      <c r="AB157" s="14"/>
      <c r="AC157" s="14"/>
      <c r="AD157" s="14"/>
      <c r="AE157" s="14"/>
      <c r="AF157" s="14"/>
      <c r="AG157" s="14"/>
    </row>
    <row r="158" spans="1:33" s="12" customFormat="1" x14ac:dyDescent="0.2">
      <c r="A158" s="17"/>
      <c r="B158" s="3" t="s">
        <v>4</v>
      </c>
      <c r="C158" s="12" t="s">
        <v>6</v>
      </c>
      <c r="D158" s="75">
        <f>SUM(E158:Q158)</f>
        <v>1</v>
      </c>
      <c r="E158" s="73">
        <f>ROUND(E153/$D153,4)</f>
        <v>0</v>
      </c>
      <c r="F158" s="73">
        <f>1-SUM(G158:W158)</f>
        <v>0.30230000000000001</v>
      </c>
      <c r="G158" s="73">
        <f t="shared" si="48"/>
        <v>8.5199999999999998E-2</v>
      </c>
      <c r="H158" s="73">
        <f t="shared" si="48"/>
        <v>0.32529999999999998</v>
      </c>
      <c r="I158" s="73">
        <f t="shared" si="48"/>
        <v>0</v>
      </c>
      <c r="J158" s="73">
        <f t="shared" si="48"/>
        <v>0.28720000000000001</v>
      </c>
      <c r="K158" s="76"/>
      <c r="L158" s="4"/>
      <c r="M158" s="4"/>
      <c r="N158" s="4"/>
      <c r="O158" s="4"/>
      <c r="P158" s="4"/>
      <c r="Q158" s="14"/>
      <c r="R158" s="14"/>
      <c r="S158" s="14"/>
      <c r="T158" s="14"/>
      <c r="U158" s="14"/>
      <c r="V158" s="76"/>
      <c r="W158" s="76"/>
      <c r="X158" s="76"/>
      <c r="Y158" s="14"/>
      <c r="Z158" s="14"/>
      <c r="AA158" s="14"/>
      <c r="AB158" s="14"/>
      <c r="AC158" s="14"/>
      <c r="AD158" s="14"/>
      <c r="AE158" s="14"/>
      <c r="AF158" s="14"/>
      <c r="AG158" s="14"/>
    </row>
    <row r="159" spans="1:33" s="12" customFormat="1" x14ac:dyDescent="0.2">
      <c r="A159" s="17"/>
      <c r="B159" s="2" t="s">
        <v>7</v>
      </c>
      <c r="C159" s="12" t="s">
        <v>6</v>
      </c>
      <c r="D159" s="75">
        <f>SUM(E159:Q159)</f>
        <v>1</v>
      </c>
      <c r="E159" s="73">
        <f>ROUND(E154/$D154,4)</f>
        <v>0</v>
      </c>
      <c r="F159" s="73">
        <f>1-SUM(G159:W159)</f>
        <v>0.28420000000000001</v>
      </c>
      <c r="G159" s="73">
        <f t="shared" si="48"/>
        <v>0.10730000000000001</v>
      </c>
      <c r="H159" s="73">
        <f t="shared" si="48"/>
        <v>0.25769999999999998</v>
      </c>
      <c r="I159" s="73">
        <f t="shared" si="48"/>
        <v>0</v>
      </c>
      <c r="J159" s="73">
        <f t="shared" si="48"/>
        <v>0.3508</v>
      </c>
      <c r="K159" s="76"/>
      <c r="L159" s="4"/>
      <c r="M159" s="4"/>
      <c r="N159" s="4"/>
      <c r="O159" s="4"/>
      <c r="P159" s="4"/>
      <c r="Q159" s="14"/>
      <c r="R159" s="14"/>
      <c r="S159" s="14"/>
      <c r="T159" s="14"/>
      <c r="U159" s="14"/>
      <c r="V159" s="76"/>
      <c r="W159" s="76"/>
      <c r="X159" s="76"/>
      <c r="Y159" s="14"/>
      <c r="Z159" s="14"/>
      <c r="AA159" s="14"/>
      <c r="AB159" s="14"/>
      <c r="AC159" s="14"/>
      <c r="AD159" s="14"/>
      <c r="AE159" s="14"/>
      <c r="AF159" s="14"/>
      <c r="AG159" s="14"/>
    </row>
    <row r="160" spans="1:33" s="12" customFormat="1" x14ac:dyDescent="0.2">
      <c r="A160" s="17"/>
      <c r="B160" s="48"/>
      <c r="D160" s="76"/>
      <c r="E160" s="76"/>
      <c r="F160" s="76"/>
      <c r="G160" s="76"/>
      <c r="H160" s="76"/>
      <c r="I160" s="76"/>
      <c r="J160" s="76"/>
      <c r="K160" s="76"/>
      <c r="L160" s="4"/>
      <c r="M160" s="4"/>
      <c r="N160" s="4"/>
      <c r="O160" s="4"/>
      <c r="P160" s="4"/>
      <c r="Q160" s="14"/>
      <c r="R160" s="14"/>
      <c r="S160" s="14"/>
      <c r="T160" s="14"/>
      <c r="U160" s="14"/>
      <c r="V160" s="76"/>
      <c r="W160" s="76"/>
      <c r="X160" s="76"/>
      <c r="Y160" s="14"/>
      <c r="Z160" s="14"/>
      <c r="AA160" s="14"/>
      <c r="AB160" s="14"/>
      <c r="AC160" s="14"/>
      <c r="AD160" s="14"/>
      <c r="AE160" s="14"/>
      <c r="AF160" s="14"/>
      <c r="AG160" s="14"/>
    </row>
    <row r="161" spans="1:33" s="12" customFormat="1" x14ac:dyDescent="0.2">
      <c r="A161" s="17"/>
      <c r="B161" s="104" t="str">
        <f>B19</f>
        <v>Total Composite Factor for FY 2021</v>
      </c>
      <c r="C161" s="12" t="s">
        <v>6</v>
      </c>
      <c r="D161" s="73">
        <f>SUM(E161:Q161)</f>
        <v>1</v>
      </c>
      <c r="E161" s="86">
        <f>ROUND(AVERAGE(E157:E159),4)</f>
        <v>0</v>
      </c>
      <c r="F161" s="179">
        <f>1-SUM(G161:W161)</f>
        <v>0.28239999999999998</v>
      </c>
      <c r="G161" s="175">
        <f>ROUND(AVERAGE(G157:G159),4)</f>
        <v>0.1087</v>
      </c>
      <c r="H161" s="175">
        <f>ROUND(AVERAGE(H157:H159),4)</f>
        <v>0.29360000000000003</v>
      </c>
      <c r="I161" s="175">
        <f>ROUND(AVERAGE(I157:I159),4)</f>
        <v>0</v>
      </c>
      <c r="J161" s="175">
        <f>ROUND(AVERAGE(J157:J159),4)</f>
        <v>0.31530000000000002</v>
      </c>
      <c r="K161" s="88"/>
      <c r="L161" s="4"/>
      <c r="M161" s="4"/>
      <c r="N161" s="4"/>
      <c r="O161" s="4"/>
      <c r="P161" s="4"/>
      <c r="Q161" s="77"/>
      <c r="R161" s="77"/>
      <c r="S161" s="77"/>
      <c r="T161" s="77"/>
      <c r="U161" s="77"/>
      <c r="V161" s="88"/>
      <c r="W161" s="88"/>
      <c r="X161" s="88"/>
      <c r="Y161" s="14"/>
      <c r="Z161" s="14"/>
      <c r="AA161" s="14"/>
      <c r="AB161" s="14"/>
      <c r="AC161" s="14"/>
      <c r="AD161" s="14"/>
      <c r="AE161" s="14"/>
      <c r="AF161" s="14"/>
      <c r="AG161" s="14"/>
    </row>
    <row r="165" spans="1:33" ht="15.75" x14ac:dyDescent="0.25">
      <c r="A165" s="38"/>
      <c r="B165" s="117" t="s">
        <v>189</v>
      </c>
      <c r="C165" s="118"/>
      <c r="D165" s="118"/>
      <c r="E165" s="4"/>
      <c r="N165" s="4"/>
    </row>
    <row r="166" spans="1:33" ht="25.5" x14ac:dyDescent="0.2">
      <c r="A166" s="40"/>
      <c r="B166" s="41"/>
      <c r="C166" s="18"/>
      <c r="D166" s="6" t="s">
        <v>1</v>
      </c>
      <c r="E166" s="70" t="s">
        <v>13</v>
      </c>
      <c r="F166" s="6" t="s">
        <v>10</v>
      </c>
      <c r="G166" s="6" t="s">
        <v>11</v>
      </c>
      <c r="H166" s="6" t="s">
        <v>12</v>
      </c>
      <c r="I166" s="95" t="s">
        <v>82</v>
      </c>
      <c r="J166" s="6" t="s">
        <v>81</v>
      </c>
      <c r="K166" s="6"/>
      <c r="L166" s="113"/>
      <c r="M166" s="18"/>
      <c r="N166" s="113"/>
      <c r="O166" s="113"/>
      <c r="P166" s="6"/>
    </row>
    <row r="167" spans="1:33" x14ac:dyDescent="0.2">
      <c r="A167" s="169"/>
      <c r="D167" s="42"/>
      <c r="E167" s="43"/>
      <c r="L167" s="42"/>
      <c r="M167" s="42"/>
      <c r="N167" s="99"/>
      <c r="O167" s="42"/>
    </row>
    <row r="168" spans="1:33" x14ac:dyDescent="0.2">
      <c r="A168" s="169"/>
      <c r="B168" s="2" t="s">
        <v>2</v>
      </c>
      <c r="C168" s="3" t="s">
        <v>3</v>
      </c>
      <c r="D168" s="170">
        <f>SUM(E168:Q168)</f>
        <v>5575867662.6499996</v>
      </c>
      <c r="E168" s="96">
        <f t="shared" ref="E168:J170" si="49">E10</f>
        <v>1092949490.3900001</v>
      </c>
      <c r="F168" s="96">
        <f t="shared" si="49"/>
        <v>750894078.5</v>
      </c>
      <c r="G168" s="96">
        <f t="shared" si="49"/>
        <v>384369334.97000003</v>
      </c>
      <c r="H168" s="96">
        <f t="shared" si="49"/>
        <v>858046078.57000005</v>
      </c>
      <c r="I168" s="96">
        <f t="shared" si="49"/>
        <v>1571399765.04</v>
      </c>
      <c r="J168" s="96">
        <f t="shared" si="49"/>
        <v>886564153.44000006</v>
      </c>
      <c r="K168" s="96"/>
      <c r="L168" s="96"/>
      <c r="M168" s="96"/>
      <c r="N168" s="96"/>
      <c r="O168" s="96"/>
      <c r="P168" s="96">
        <f>P10</f>
        <v>31644761.740000002</v>
      </c>
    </row>
    <row r="169" spans="1:33" x14ac:dyDescent="0.2">
      <c r="A169" s="169"/>
      <c r="B169" s="3" t="s">
        <v>4</v>
      </c>
      <c r="C169" s="3" t="s">
        <v>5</v>
      </c>
      <c r="D169" s="171">
        <f>SUM(E169:Q169)</f>
        <v>1524736</v>
      </c>
      <c r="E169" s="96">
        <f t="shared" si="49"/>
        <v>307488</v>
      </c>
      <c r="F169" s="96">
        <f t="shared" si="49"/>
        <v>260779</v>
      </c>
      <c r="G169" s="96">
        <f t="shared" si="49"/>
        <v>73477</v>
      </c>
      <c r="H169" s="96">
        <f t="shared" si="49"/>
        <v>280594</v>
      </c>
      <c r="I169" s="96">
        <f t="shared" si="49"/>
        <v>354687</v>
      </c>
      <c r="J169" s="96">
        <f t="shared" si="49"/>
        <v>247704</v>
      </c>
      <c r="K169" s="96"/>
      <c r="L169" s="96"/>
      <c r="M169" s="96"/>
      <c r="N169" s="96"/>
      <c r="O169" s="96"/>
      <c r="P169" s="96">
        <f>P11</f>
        <v>7</v>
      </c>
    </row>
    <row r="170" spans="1:33" x14ac:dyDescent="0.2">
      <c r="A170" s="169"/>
      <c r="B170" s="2" t="s">
        <v>15</v>
      </c>
      <c r="C170" s="3" t="s">
        <v>3</v>
      </c>
      <c r="D170" s="170">
        <f>SUM(E170:Q170)</f>
        <v>186021766.03999999</v>
      </c>
      <c r="E170" s="96">
        <f t="shared" si="49"/>
        <v>36316769.729999997</v>
      </c>
      <c r="F170" s="96">
        <f t="shared" si="49"/>
        <v>30303178.539999999</v>
      </c>
      <c r="G170" s="96">
        <f t="shared" si="49"/>
        <v>11437183.24</v>
      </c>
      <c r="H170" s="96">
        <f t="shared" si="49"/>
        <v>27474255.489999998</v>
      </c>
      <c r="I170" s="96">
        <f t="shared" si="49"/>
        <v>41742549.240000002</v>
      </c>
      <c r="J170" s="96">
        <f t="shared" si="49"/>
        <v>37397296.719999999</v>
      </c>
      <c r="K170" s="96"/>
      <c r="L170" s="96"/>
      <c r="M170" s="96"/>
      <c r="N170" s="96"/>
      <c r="O170" s="96"/>
      <c r="P170" s="96">
        <f>P12</f>
        <v>1350533.08</v>
      </c>
    </row>
    <row r="171" spans="1:33" x14ac:dyDescent="0.2">
      <c r="A171" s="169"/>
      <c r="B171" s="44" t="s">
        <v>16</v>
      </c>
      <c r="C171" s="3"/>
      <c r="D171" s="45"/>
      <c r="E171" s="1"/>
      <c r="F171" s="1"/>
      <c r="G171" s="1"/>
      <c r="H171" s="1"/>
      <c r="I171" s="1"/>
      <c r="J171" s="1"/>
      <c r="K171" s="1"/>
      <c r="L171" s="16"/>
      <c r="M171" s="16"/>
      <c r="N171" s="16"/>
      <c r="O171" s="16"/>
      <c r="P171" s="1"/>
    </row>
    <row r="172" spans="1:33" x14ac:dyDescent="0.2">
      <c r="A172" s="46"/>
      <c r="D172" s="47"/>
      <c r="E172" s="94"/>
      <c r="L172" s="42"/>
      <c r="M172" s="42"/>
      <c r="N172" s="99"/>
      <c r="O172" s="42"/>
    </row>
    <row r="173" spans="1:33" x14ac:dyDescent="0.2">
      <c r="A173" s="169"/>
      <c r="B173" s="2" t="s">
        <v>2</v>
      </c>
      <c r="C173" s="12" t="s">
        <v>6</v>
      </c>
      <c r="D173" s="73">
        <f>SUM(E173:Q173)</f>
        <v>1</v>
      </c>
      <c r="E173" s="74">
        <f>1-SUM(F173:AG173)</f>
        <v>0.19599999999999995</v>
      </c>
      <c r="F173" s="73">
        <f t="shared" ref="F173:J175" si="50">ROUND(F168/$D168,4)</f>
        <v>0.13469999999999999</v>
      </c>
      <c r="G173" s="73">
        <f t="shared" si="50"/>
        <v>6.8900000000000003E-2</v>
      </c>
      <c r="H173" s="73">
        <f t="shared" si="50"/>
        <v>0.15390000000000001</v>
      </c>
      <c r="I173" s="73">
        <f t="shared" si="50"/>
        <v>0.28179999999999999</v>
      </c>
      <c r="J173" s="73">
        <f t="shared" si="50"/>
        <v>0.159</v>
      </c>
      <c r="K173" s="73"/>
      <c r="L173" s="76"/>
      <c r="M173" s="76"/>
      <c r="N173" s="76"/>
      <c r="O173" s="76"/>
      <c r="P173" s="73">
        <f>ROUND(P168/$D168,4)</f>
        <v>5.7000000000000002E-3</v>
      </c>
    </row>
    <row r="174" spans="1:33" x14ac:dyDescent="0.2">
      <c r="A174" s="169"/>
      <c r="B174" s="3" t="s">
        <v>4</v>
      </c>
      <c r="C174" s="12" t="s">
        <v>6</v>
      </c>
      <c r="D174" s="75">
        <f>SUM(E174:Q174)</f>
        <v>1</v>
      </c>
      <c r="E174" s="74">
        <f>1-SUM(F174:AG174)</f>
        <v>0.20169999999999999</v>
      </c>
      <c r="F174" s="73">
        <f t="shared" si="50"/>
        <v>0.17100000000000001</v>
      </c>
      <c r="G174" s="73">
        <f t="shared" si="50"/>
        <v>4.82E-2</v>
      </c>
      <c r="H174" s="73">
        <f t="shared" si="50"/>
        <v>0.184</v>
      </c>
      <c r="I174" s="73">
        <f t="shared" si="50"/>
        <v>0.2326</v>
      </c>
      <c r="J174" s="73">
        <f t="shared" si="50"/>
        <v>0.16250000000000001</v>
      </c>
      <c r="K174" s="73"/>
      <c r="L174" s="76"/>
      <c r="M174" s="76"/>
      <c r="N174" s="76"/>
      <c r="O174" s="76"/>
      <c r="P174" s="73">
        <f>ROUND(P169/$D169,4)</f>
        <v>0</v>
      </c>
    </row>
    <row r="175" spans="1:33" x14ac:dyDescent="0.2">
      <c r="A175" s="169"/>
      <c r="B175" s="2" t="s">
        <v>7</v>
      </c>
      <c r="C175" s="12" t="s">
        <v>6</v>
      </c>
      <c r="D175" s="75">
        <f>SUM(E175:Q175)</f>
        <v>0.99999999999999989</v>
      </c>
      <c r="E175" s="74">
        <f>1-SUM(F175:AG175)</f>
        <v>0.19519999999999993</v>
      </c>
      <c r="F175" s="73">
        <f t="shared" si="50"/>
        <v>0.16289999999999999</v>
      </c>
      <c r="G175" s="73">
        <f t="shared" si="50"/>
        <v>6.1499999999999999E-2</v>
      </c>
      <c r="H175" s="73">
        <f t="shared" si="50"/>
        <v>0.1477</v>
      </c>
      <c r="I175" s="73">
        <f t="shared" si="50"/>
        <v>0.22439999999999999</v>
      </c>
      <c r="J175" s="73">
        <f t="shared" si="50"/>
        <v>0.20100000000000001</v>
      </c>
      <c r="K175" s="73"/>
      <c r="L175" s="76"/>
      <c r="M175" s="76"/>
      <c r="N175" s="76"/>
      <c r="O175" s="76"/>
      <c r="P175" s="73">
        <f>ROUND(P170/$D170,4)</f>
        <v>7.3000000000000001E-3</v>
      </c>
    </row>
    <row r="176" spans="1:33" x14ac:dyDescent="0.2">
      <c r="A176" s="169"/>
      <c r="B176" s="48"/>
      <c r="C176" s="12"/>
      <c r="D176" s="76"/>
      <c r="E176" s="77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</row>
    <row r="177" spans="1:16" x14ac:dyDescent="0.2">
      <c r="A177" s="169"/>
      <c r="B177" s="104" t="str">
        <f>B19</f>
        <v>Total Composite Factor for FY 2021</v>
      </c>
      <c r="C177" s="12" t="s">
        <v>6</v>
      </c>
      <c r="D177" s="73">
        <f>SUM(E177:Q177)</f>
        <v>0.99999999999999989</v>
      </c>
      <c r="E177" s="180">
        <f>1-SUM(F177:AG177)</f>
        <v>0.1976</v>
      </c>
      <c r="F177" s="180">
        <f>ROUND(AVERAGE(F173:F175),4)</f>
        <v>0.15620000000000001</v>
      </c>
      <c r="G177" s="180">
        <f>ROUND(AVERAGE(G173:G175),4)</f>
        <v>5.9499999999999997E-2</v>
      </c>
      <c r="H177" s="180">
        <f>ROUND(AVERAGE(H173:H175),4)</f>
        <v>0.16189999999999999</v>
      </c>
      <c r="I177" s="180">
        <f>ROUND(AVERAGE(I173:I175),4)</f>
        <v>0.24629999999999999</v>
      </c>
      <c r="J177" s="180">
        <f>ROUND(AVERAGE(J173:J175),4)</f>
        <v>0.17419999999999999</v>
      </c>
      <c r="K177" s="180"/>
      <c r="L177" s="180"/>
      <c r="M177" s="180"/>
      <c r="N177" s="180"/>
      <c r="O177" s="180"/>
      <c r="P177" s="180">
        <f>ROUND(AVERAGE(P173:P175),4)</f>
        <v>4.3E-3</v>
      </c>
    </row>
    <row r="180" spans="1:16" x14ac:dyDescent="0.2">
      <c r="B180" s="111" t="s">
        <v>179</v>
      </c>
      <c r="N180" s="5"/>
      <c r="O180" s="5"/>
      <c r="P180" s="5"/>
    </row>
    <row r="181" spans="1:16" x14ac:dyDescent="0.2">
      <c r="C181" s="18"/>
      <c r="D181" s="6" t="s">
        <v>1</v>
      </c>
      <c r="L181" s="113"/>
      <c r="M181" s="18"/>
      <c r="N181" s="113"/>
      <c r="O181" s="113"/>
      <c r="P181" s="18"/>
    </row>
    <row r="182" spans="1:16" x14ac:dyDescent="0.2">
      <c r="D182" s="42"/>
      <c r="L182" s="42"/>
      <c r="M182" s="42"/>
      <c r="N182" s="99"/>
      <c r="O182" s="42"/>
      <c r="P182" s="42"/>
    </row>
    <row r="183" spans="1:16" x14ac:dyDescent="0.2">
      <c r="B183" s="2" t="s">
        <v>2</v>
      </c>
      <c r="C183" s="3" t="s">
        <v>3</v>
      </c>
      <c r="D183" s="170">
        <f>SUM(E183:Q183)</f>
        <v>3926255296.3599997</v>
      </c>
      <c r="L183" s="96">
        <f>L10</f>
        <v>3894610534.6199999</v>
      </c>
      <c r="M183" s="43"/>
      <c r="N183" s="43"/>
      <c r="O183" s="43"/>
      <c r="P183" s="96">
        <f>P10</f>
        <v>31644761.740000002</v>
      </c>
    </row>
    <row r="184" spans="1:16" x14ac:dyDescent="0.2">
      <c r="B184" s="3" t="s">
        <v>4</v>
      </c>
      <c r="C184" s="3" t="s">
        <v>5</v>
      </c>
      <c r="D184" s="171">
        <f>SUM(E184:Q184)</f>
        <v>328.66666666666669</v>
      </c>
      <c r="L184" s="96">
        <f>L11</f>
        <v>321.66666666666669</v>
      </c>
      <c r="M184" s="43"/>
      <c r="N184" s="43"/>
      <c r="O184" s="43"/>
      <c r="P184" s="96">
        <f>P11</f>
        <v>7</v>
      </c>
    </row>
    <row r="185" spans="1:16" x14ac:dyDescent="0.2">
      <c r="B185" s="2" t="s">
        <v>15</v>
      </c>
      <c r="C185" s="3" t="s">
        <v>3</v>
      </c>
      <c r="D185" s="170">
        <f>SUM(E185:Q185)</f>
        <v>141106144.23000002</v>
      </c>
      <c r="L185" s="96">
        <f>L12</f>
        <v>139755611.15000001</v>
      </c>
      <c r="M185" s="43"/>
      <c r="N185" s="43"/>
      <c r="O185" s="43"/>
      <c r="P185" s="96">
        <f>P12</f>
        <v>1350533.08</v>
      </c>
    </row>
    <row r="186" spans="1:16" x14ac:dyDescent="0.2">
      <c r="B186" s="44" t="s">
        <v>16</v>
      </c>
      <c r="C186" s="3"/>
      <c r="D186" s="45"/>
      <c r="L186" s="16"/>
      <c r="M186" s="16"/>
      <c r="N186" s="16"/>
      <c r="O186" s="16"/>
      <c r="P186" s="16"/>
    </row>
    <row r="187" spans="1:16" x14ac:dyDescent="0.2">
      <c r="D187" s="47"/>
      <c r="M187" s="42"/>
      <c r="N187" s="99"/>
      <c r="O187" s="42"/>
    </row>
    <row r="188" spans="1:16" x14ac:dyDescent="0.2">
      <c r="B188" s="2" t="s">
        <v>2</v>
      </c>
      <c r="C188" s="12" t="s">
        <v>6</v>
      </c>
      <c r="D188" s="73">
        <f>SUM(E188:Q188)</f>
        <v>1</v>
      </c>
      <c r="L188" s="86">
        <f>L183/D183</f>
        <v>0.99194021800636922</v>
      </c>
      <c r="M188" s="76"/>
      <c r="N188" s="76"/>
      <c r="O188" s="76"/>
      <c r="P188" s="86">
        <f>P183/D183</f>
        <v>8.0597819936308289E-3</v>
      </c>
    </row>
    <row r="189" spans="1:16" x14ac:dyDescent="0.2">
      <c r="B189" s="3" t="s">
        <v>4</v>
      </c>
      <c r="C189" s="12" t="s">
        <v>6</v>
      </c>
      <c r="D189" s="75">
        <f>SUM(E189:Q189)</f>
        <v>1</v>
      </c>
      <c r="L189" s="86">
        <f>L184/D184</f>
        <v>0.97870182555780938</v>
      </c>
      <c r="M189" s="76"/>
      <c r="N189" s="76"/>
      <c r="O189" s="76"/>
      <c r="P189" s="86">
        <f>P184/D184</f>
        <v>2.1298174442190669E-2</v>
      </c>
    </row>
    <row r="190" spans="1:16" x14ac:dyDescent="0.2">
      <c r="B190" s="2" t="s">
        <v>7</v>
      </c>
      <c r="C190" s="12" t="s">
        <v>6</v>
      </c>
      <c r="D190" s="75">
        <f>SUM(E190:Q190)</f>
        <v>0.99999999999999989</v>
      </c>
      <c r="L190" s="86">
        <f>L185/D185</f>
        <v>0.99042895624871818</v>
      </c>
      <c r="M190" s="76"/>
      <c r="N190" s="76"/>
      <c r="O190" s="76"/>
      <c r="P190" s="86">
        <f>P185/D185</f>
        <v>9.5710437512817291E-3</v>
      </c>
    </row>
    <row r="191" spans="1:16" x14ac:dyDescent="0.2">
      <c r="C191" s="12"/>
      <c r="D191" s="76"/>
      <c r="L191" s="76"/>
      <c r="M191" s="76"/>
      <c r="N191" s="76"/>
      <c r="O191" s="76"/>
      <c r="P191" s="76"/>
    </row>
    <row r="192" spans="1:16" x14ac:dyDescent="0.2">
      <c r="B192" s="247" t="str">
        <f>B19</f>
        <v>Total Composite Factor for FY 2021</v>
      </c>
      <c r="C192" s="12" t="s">
        <v>6</v>
      </c>
      <c r="D192" s="73">
        <f>SUM(E192:Q192)</f>
        <v>1</v>
      </c>
      <c r="L192" s="175">
        <f>ROUND(AVERAGE(L188:L190),4)</f>
        <v>0.98699999999999999</v>
      </c>
      <c r="M192" s="88"/>
      <c r="N192" s="88"/>
      <c r="O192" s="88"/>
      <c r="P192" s="175">
        <f>ROUND(AVERAGE(P188:P190),4)</f>
        <v>1.2999999999999999E-2</v>
      </c>
    </row>
    <row r="196" spans="1:33" x14ac:dyDescent="0.2">
      <c r="B196" s="111" t="s">
        <v>204</v>
      </c>
    </row>
    <row r="198" spans="1:33" s="3" customFormat="1" x14ac:dyDescent="0.2">
      <c r="A198" s="17"/>
      <c r="B198" s="2" t="s">
        <v>2</v>
      </c>
      <c r="C198" s="3" t="s">
        <v>3</v>
      </c>
      <c r="D198" s="71">
        <f>E198+F198+G198+H198+I198+J198+K198+L198+M198+N198+O198+P198+Q198</f>
        <v>11968612096.349998</v>
      </c>
      <c r="E198" s="96">
        <f t="shared" ref="E198:K200" si="51">E10</f>
        <v>1092949490.3900001</v>
      </c>
      <c r="F198" s="96">
        <f t="shared" si="51"/>
        <v>750894078.5</v>
      </c>
      <c r="G198" s="96">
        <f t="shared" si="51"/>
        <v>384369334.97000003</v>
      </c>
      <c r="H198" s="96">
        <f t="shared" si="51"/>
        <v>858046078.57000005</v>
      </c>
      <c r="I198" s="96">
        <f t="shared" si="51"/>
        <v>1571399765.04</v>
      </c>
      <c r="J198" s="96">
        <f t="shared" si="51"/>
        <v>886564153.44000006</v>
      </c>
      <c r="K198" s="96">
        <f t="shared" si="51"/>
        <v>6360262428.21</v>
      </c>
      <c r="L198" s="96"/>
      <c r="M198" s="96">
        <f t="shared" ref="M198:AG198" si="52">M10</f>
        <v>5232712.42</v>
      </c>
      <c r="N198" s="96">
        <f t="shared" si="52"/>
        <v>11339002.470000001</v>
      </c>
      <c r="O198" s="96">
        <f t="shared" si="52"/>
        <v>15857921.939999999</v>
      </c>
      <c r="P198" s="96">
        <f t="shared" si="52"/>
        <v>31644761.740000002</v>
      </c>
      <c r="Q198" s="96">
        <f t="shared" si="52"/>
        <v>52368.66</v>
      </c>
      <c r="R198" s="96">
        <f t="shared" si="52"/>
        <v>11339002.470000001</v>
      </c>
      <c r="S198" s="96">
        <f t="shared" si="52"/>
        <v>8480854.7100000009</v>
      </c>
      <c r="T198" s="96">
        <f t="shared" si="52"/>
        <v>23163907.030000001</v>
      </c>
      <c r="U198" s="96">
        <f t="shared" si="52"/>
        <v>0</v>
      </c>
      <c r="V198" s="96">
        <f t="shared" si="52"/>
        <v>0</v>
      </c>
      <c r="W198" s="96">
        <f t="shared" si="52"/>
        <v>15857921.939999999</v>
      </c>
      <c r="X198" s="96">
        <f t="shared" si="52"/>
        <v>0</v>
      </c>
      <c r="Y198" s="96">
        <f t="shared" si="52"/>
        <v>0</v>
      </c>
      <c r="Z198" s="96">
        <f t="shared" si="52"/>
        <v>5232712.42</v>
      </c>
      <c r="AA198" s="96">
        <f t="shared" si="52"/>
        <v>52368.66</v>
      </c>
      <c r="AB198" s="96">
        <f t="shared" si="52"/>
        <v>0</v>
      </c>
      <c r="AC198" s="96">
        <f t="shared" si="52"/>
        <v>0</v>
      </c>
      <c r="AD198" s="96">
        <f t="shared" si="52"/>
        <v>0</v>
      </c>
      <c r="AE198" s="96">
        <f t="shared" si="52"/>
        <v>0</v>
      </c>
      <c r="AF198" s="96">
        <f t="shared" si="52"/>
        <v>0</v>
      </c>
      <c r="AG198" s="96">
        <f t="shared" si="52"/>
        <v>0</v>
      </c>
    </row>
    <row r="199" spans="1:33" s="3" customFormat="1" x14ac:dyDescent="0.2">
      <c r="A199" s="17"/>
      <c r="B199" s="3" t="s">
        <v>4</v>
      </c>
      <c r="C199" s="3" t="s">
        <v>5</v>
      </c>
      <c r="D199" s="71">
        <f>E199+F199+G199+H199+I199+J199+K199+L199+M199+N199+O199+P199+Q199</f>
        <v>3217251</v>
      </c>
      <c r="E199" s="97">
        <f t="shared" si="51"/>
        <v>307488</v>
      </c>
      <c r="F199" s="97">
        <f t="shared" si="51"/>
        <v>260779</v>
      </c>
      <c r="G199" s="97">
        <f t="shared" si="51"/>
        <v>73477</v>
      </c>
      <c r="H199" s="97">
        <f t="shared" si="51"/>
        <v>280594</v>
      </c>
      <c r="I199" s="97">
        <f t="shared" si="51"/>
        <v>354687</v>
      </c>
      <c r="J199" s="97">
        <f t="shared" si="51"/>
        <v>247704</v>
      </c>
      <c r="K199" s="97">
        <f t="shared" si="51"/>
        <v>1692259</v>
      </c>
      <c r="L199" s="97"/>
      <c r="M199" s="97">
        <f t="shared" ref="M199:AG199" si="53">M11</f>
        <v>256</v>
      </c>
      <c r="N199" s="97">
        <f t="shared" si="53"/>
        <v>0</v>
      </c>
      <c r="O199" s="97">
        <f t="shared" si="53"/>
        <v>0</v>
      </c>
      <c r="P199" s="97">
        <f t="shared" si="53"/>
        <v>7</v>
      </c>
      <c r="Q199" s="97">
        <f t="shared" si="53"/>
        <v>0</v>
      </c>
      <c r="R199" s="97">
        <f t="shared" si="53"/>
        <v>0</v>
      </c>
      <c r="S199" s="97">
        <f t="shared" si="53"/>
        <v>0</v>
      </c>
      <c r="T199" s="97">
        <f t="shared" si="53"/>
        <v>7</v>
      </c>
      <c r="U199" s="97">
        <f t="shared" si="53"/>
        <v>0</v>
      </c>
      <c r="V199" s="97">
        <f t="shared" si="53"/>
        <v>0</v>
      </c>
      <c r="W199" s="97">
        <f t="shared" si="53"/>
        <v>0</v>
      </c>
      <c r="X199" s="97">
        <f t="shared" si="53"/>
        <v>0</v>
      </c>
      <c r="Y199" s="97">
        <f t="shared" si="53"/>
        <v>0</v>
      </c>
      <c r="Z199" s="97">
        <f t="shared" si="53"/>
        <v>256</v>
      </c>
      <c r="AA199" s="97">
        <f t="shared" si="53"/>
        <v>0</v>
      </c>
      <c r="AB199" s="97">
        <f t="shared" si="53"/>
        <v>0</v>
      </c>
      <c r="AC199" s="97">
        <f t="shared" si="53"/>
        <v>0</v>
      </c>
      <c r="AD199" s="97">
        <f t="shared" si="53"/>
        <v>0</v>
      </c>
      <c r="AE199" s="97">
        <f t="shared" si="53"/>
        <v>0</v>
      </c>
      <c r="AF199" s="97">
        <f t="shared" si="53"/>
        <v>0</v>
      </c>
      <c r="AG199" s="97">
        <f t="shared" si="53"/>
        <v>0</v>
      </c>
    </row>
    <row r="200" spans="1:33" s="3" customFormat="1" x14ac:dyDescent="0.2">
      <c r="A200" s="17"/>
      <c r="B200" s="2" t="s">
        <v>15</v>
      </c>
      <c r="C200" s="3" t="s">
        <v>3</v>
      </c>
      <c r="D200" s="71">
        <f>E200+F200+G200+H200+I200+J200+K200+L200+M200+N200+O200+P200+Q200</f>
        <v>342322438.08999997</v>
      </c>
      <c r="E200" s="97">
        <f t="shared" si="51"/>
        <v>36316769.729999997</v>
      </c>
      <c r="F200" s="97">
        <f t="shared" si="51"/>
        <v>30303178.539999999</v>
      </c>
      <c r="G200" s="97">
        <f t="shared" si="51"/>
        <v>11437183.24</v>
      </c>
      <c r="H200" s="97">
        <f t="shared" si="51"/>
        <v>27474255.489999998</v>
      </c>
      <c r="I200" s="97">
        <f t="shared" si="51"/>
        <v>41742549.240000002</v>
      </c>
      <c r="J200" s="97">
        <f t="shared" si="51"/>
        <v>37397296.719999999</v>
      </c>
      <c r="K200" s="97">
        <f t="shared" si="51"/>
        <v>155042377.16999999</v>
      </c>
      <c r="L200" s="97"/>
      <c r="M200" s="97">
        <f t="shared" ref="M200:AG200" si="54">M12</f>
        <v>812978.81</v>
      </c>
      <c r="N200" s="97">
        <f t="shared" si="54"/>
        <v>223537.32</v>
      </c>
      <c r="O200" s="97">
        <f t="shared" si="54"/>
        <v>155517.22</v>
      </c>
      <c r="P200" s="97">
        <f t="shared" si="54"/>
        <v>1350533.08</v>
      </c>
      <c r="Q200" s="97">
        <f t="shared" si="54"/>
        <v>66261.530000000013</v>
      </c>
      <c r="R200" s="97">
        <f t="shared" si="54"/>
        <v>223537.32</v>
      </c>
      <c r="S200" s="97">
        <f t="shared" si="54"/>
        <v>415025.33</v>
      </c>
      <c r="T200" s="97">
        <f t="shared" si="54"/>
        <v>918948.96</v>
      </c>
      <c r="U200" s="97">
        <f t="shared" si="54"/>
        <v>3348.44</v>
      </c>
      <c r="V200" s="97">
        <f t="shared" si="54"/>
        <v>13583.26</v>
      </c>
      <c r="W200" s="97">
        <f t="shared" si="54"/>
        <v>155517.22</v>
      </c>
      <c r="X200" s="97">
        <f t="shared" si="54"/>
        <v>2975.53</v>
      </c>
      <c r="Y200" s="97">
        <f t="shared" si="54"/>
        <v>523.29999999999995</v>
      </c>
      <c r="Z200" s="97">
        <f t="shared" si="54"/>
        <v>812978.81</v>
      </c>
      <c r="AA200" s="97">
        <f t="shared" si="54"/>
        <v>5602.9</v>
      </c>
      <c r="AB200" s="97">
        <f t="shared" si="54"/>
        <v>2982.59</v>
      </c>
      <c r="AC200" s="97">
        <f t="shared" si="54"/>
        <v>4611.79</v>
      </c>
      <c r="AD200" s="97">
        <f t="shared" si="54"/>
        <v>49192.51</v>
      </c>
      <c r="AE200" s="97">
        <f t="shared" si="54"/>
        <v>0</v>
      </c>
      <c r="AF200" s="97">
        <f t="shared" si="54"/>
        <v>0</v>
      </c>
      <c r="AG200" s="97">
        <f t="shared" si="54"/>
        <v>0</v>
      </c>
    </row>
    <row r="201" spans="1:33" s="3" customFormat="1" x14ac:dyDescent="0.2">
      <c r="A201" s="17"/>
      <c r="B201" s="44" t="s">
        <v>16</v>
      </c>
      <c r="D201" s="45"/>
      <c r="E201" s="1"/>
      <c r="F201" s="1"/>
      <c r="G201" s="1"/>
      <c r="H201" s="1"/>
      <c r="I201" s="1"/>
      <c r="J201" s="1"/>
      <c r="K201" s="1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</row>
    <row r="202" spans="1:33" x14ac:dyDescent="0.2">
      <c r="A202" s="46"/>
      <c r="D202" s="47"/>
      <c r="E202" s="94"/>
      <c r="F202" s="33"/>
      <c r="I202" s="33"/>
      <c r="P202" s="9"/>
      <c r="R202" s="33"/>
      <c r="S202" s="33"/>
      <c r="T202" s="33"/>
      <c r="U202" s="33"/>
      <c r="V202" s="33"/>
      <c r="Y202" s="9"/>
      <c r="AB202" s="9"/>
      <c r="AG202" s="9"/>
    </row>
    <row r="203" spans="1:33" s="12" customFormat="1" x14ac:dyDescent="0.2">
      <c r="A203" s="17"/>
      <c r="B203" s="2" t="s">
        <v>2</v>
      </c>
      <c r="C203" s="12" t="s">
        <v>6</v>
      </c>
      <c r="D203" s="73">
        <f>SUM(E203:Q203)</f>
        <v>0.99999999999999989</v>
      </c>
      <c r="E203" s="74">
        <f>1-SUM(F203:Q203)</f>
        <v>9.1500000000000026E-2</v>
      </c>
      <c r="F203" s="73">
        <f>ROUND(F198/$D$198,4)</f>
        <v>6.2700000000000006E-2</v>
      </c>
      <c r="G203" s="73">
        <f t="shared" ref="G203:Q203" si="55">ROUND(G198/$D198,4)</f>
        <v>3.2099999999999997E-2</v>
      </c>
      <c r="H203" s="73">
        <f t="shared" si="55"/>
        <v>7.17E-2</v>
      </c>
      <c r="I203" s="73">
        <f t="shared" si="55"/>
        <v>0.1313</v>
      </c>
      <c r="J203" s="73">
        <f t="shared" si="55"/>
        <v>7.4099999999999999E-2</v>
      </c>
      <c r="K203" s="73">
        <f t="shared" si="55"/>
        <v>0.53139999999999998</v>
      </c>
      <c r="L203" s="73">
        <f t="shared" si="55"/>
        <v>0</v>
      </c>
      <c r="M203" s="73">
        <f t="shared" si="55"/>
        <v>4.0000000000000002E-4</v>
      </c>
      <c r="N203" s="73">
        <f t="shared" si="55"/>
        <v>8.9999999999999998E-4</v>
      </c>
      <c r="O203" s="73">
        <f t="shared" si="55"/>
        <v>1.2999999999999999E-3</v>
      </c>
      <c r="P203" s="73">
        <f t="shared" si="55"/>
        <v>2.5999999999999999E-3</v>
      </c>
      <c r="Q203" s="73">
        <f t="shared" si="55"/>
        <v>0</v>
      </c>
      <c r="R203" s="73">
        <f t="shared" ref="R203:AG203" si="56">ROUND(R198/$D198,4)</f>
        <v>8.9999999999999998E-4</v>
      </c>
      <c r="S203" s="73">
        <f t="shared" si="56"/>
        <v>6.9999999999999999E-4</v>
      </c>
      <c r="T203" s="73">
        <f t="shared" si="56"/>
        <v>1.9E-3</v>
      </c>
      <c r="U203" s="73">
        <f t="shared" si="56"/>
        <v>0</v>
      </c>
      <c r="V203" s="73">
        <f t="shared" si="56"/>
        <v>0</v>
      </c>
      <c r="W203" s="73">
        <f t="shared" si="56"/>
        <v>1.2999999999999999E-3</v>
      </c>
      <c r="X203" s="73">
        <f t="shared" si="56"/>
        <v>0</v>
      </c>
      <c r="Y203" s="73">
        <f t="shared" si="56"/>
        <v>0</v>
      </c>
      <c r="Z203" s="73">
        <f t="shared" si="56"/>
        <v>4.0000000000000002E-4</v>
      </c>
      <c r="AA203" s="73">
        <f t="shared" si="56"/>
        <v>0</v>
      </c>
      <c r="AB203" s="73">
        <f t="shared" si="56"/>
        <v>0</v>
      </c>
      <c r="AC203" s="73">
        <f t="shared" si="56"/>
        <v>0</v>
      </c>
      <c r="AD203" s="73">
        <f t="shared" si="56"/>
        <v>0</v>
      </c>
      <c r="AE203" s="73">
        <f t="shared" si="56"/>
        <v>0</v>
      </c>
      <c r="AF203" s="73">
        <f t="shared" si="56"/>
        <v>0</v>
      </c>
      <c r="AG203" s="73">
        <f t="shared" si="56"/>
        <v>0</v>
      </c>
    </row>
    <row r="204" spans="1:33" s="12" customFormat="1" x14ac:dyDescent="0.2">
      <c r="A204" s="17"/>
      <c r="B204" s="3" t="s">
        <v>4</v>
      </c>
      <c r="C204" s="12" t="s">
        <v>6</v>
      </c>
      <c r="D204" s="75">
        <f>SUM(E204:Q204)</f>
        <v>1</v>
      </c>
      <c r="E204" s="74">
        <f>1-SUM(F204:Q204)</f>
        <v>9.5599999999999907E-2</v>
      </c>
      <c r="F204" s="73">
        <f>ROUND(F199/$D$199,4)</f>
        <v>8.1100000000000005E-2</v>
      </c>
      <c r="G204" s="73">
        <f t="shared" ref="G204:Q204" si="57">ROUND(G199/$D199,4)</f>
        <v>2.2800000000000001E-2</v>
      </c>
      <c r="H204" s="73">
        <f t="shared" si="57"/>
        <v>8.72E-2</v>
      </c>
      <c r="I204" s="73">
        <f t="shared" si="57"/>
        <v>0.11020000000000001</v>
      </c>
      <c r="J204" s="73">
        <f t="shared" si="57"/>
        <v>7.6999999999999999E-2</v>
      </c>
      <c r="K204" s="73">
        <f t="shared" si="57"/>
        <v>0.52600000000000002</v>
      </c>
      <c r="L204" s="73">
        <f t="shared" si="57"/>
        <v>0</v>
      </c>
      <c r="M204" s="73">
        <f t="shared" si="57"/>
        <v>1E-4</v>
      </c>
      <c r="N204" s="73">
        <f t="shared" si="57"/>
        <v>0</v>
      </c>
      <c r="O204" s="73">
        <f t="shared" si="57"/>
        <v>0</v>
      </c>
      <c r="P204" s="73">
        <f t="shared" si="57"/>
        <v>0</v>
      </c>
      <c r="Q204" s="73">
        <f t="shared" si="57"/>
        <v>0</v>
      </c>
      <c r="R204" s="73">
        <f t="shared" ref="R204:AG204" si="58">ROUND(R199/$D199,4)</f>
        <v>0</v>
      </c>
      <c r="S204" s="73">
        <f t="shared" si="58"/>
        <v>0</v>
      </c>
      <c r="T204" s="73">
        <f t="shared" si="58"/>
        <v>0</v>
      </c>
      <c r="U204" s="73">
        <f t="shared" si="58"/>
        <v>0</v>
      </c>
      <c r="V204" s="73">
        <f t="shared" si="58"/>
        <v>0</v>
      </c>
      <c r="W204" s="73">
        <f t="shared" si="58"/>
        <v>0</v>
      </c>
      <c r="X204" s="73">
        <f t="shared" si="58"/>
        <v>0</v>
      </c>
      <c r="Y204" s="73">
        <f t="shared" si="58"/>
        <v>0</v>
      </c>
      <c r="Z204" s="73">
        <f t="shared" si="58"/>
        <v>1E-4</v>
      </c>
      <c r="AA204" s="73">
        <f t="shared" si="58"/>
        <v>0</v>
      </c>
      <c r="AB204" s="73">
        <f t="shared" si="58"/>
        <v>0</v>
      </c>
      <c r="AC204" s="73">
        <f t="shared" si="58"/>
        <v>0</v>
      </c>
      <c r="AD204" s="73">
        <f t="shared" si="58"/>
        <v>0</v>
      </c>
      <c r="AE204" s="73">
        <f t="shared" si="58"/>
        <v>0</v>
      </c>
      <c r="AF204" s="73">
        <f t="shared" si="58"/>
        <v>0</v>
      </c>
      <c r="AG204" s="73">
        <f t="shared" si="58"/>
        <v>0</v>
      </c>
    </row>
    <row r="205" spans="1:33" s="12" customFormat="1" x14ac:dyDescent="0.2">
      <c r="A205" s="17"/>
      <c r="B205" s="2" t="s">
        <v>7</v>
      </c>
      <c r="C205" s="12" t="s">
        <v>6</v>
      </c>
      <c r="D205" s="75">
        <f>SUM(E205:Q205)</f>
        <v>0.99999999999999989</v>
      </c>
      <c r="E205" s="74">
        <f>1-SUM(F205:Q205)</f>
        <v>0.10609999999999997</v>
      </c>
      <c r="F205" s="73">
        <f>ROUND(F200/$D200,4)</f>
        <v>8.8499999999999995E-2</v>
      </c>
      <c r="G205" s="73">
        <f t="shared" ref="G205:P205" si="59">ROUND(G200/$D200,4)</f>
        <v>3.3399999999999999E-2</v>
      </c>
      <c r="H205" s="73">
        <f t="shared" si="59"/>
        <v>8.0299999999999996E-2</v>
      </c>
      <c r="I205" s="73">
        <f t="shared" si="59"/>
        <v>0.12189999999999999</v>
      </c>
      <c r="J205" s="73">
        <f t="shared" si="59"/>
        <v>0.10920000000000001</v>
      </c>
      <c r="K205" s="73">
        <f t="shared" si="59"/>
        <v>0.45290000000000002</v>
      </c>
      <c r="L205" s="73">
        <f t="shared" si="59"/>
        <v>0</v>
      </c>
      <c r="M205" s="73">
        <f t="shared" si="59"/>
        <v>2.3999999999999998E-3</v>
      </c>
      <c r="N205" s="73">
        <f t="shared" si="59"/>
        <v>6.9999999999999999E-4</v>
      </c>
      <c r="O205" s="73">
        <f t="shared" si="59"/>
        <v>5.0000000000000001E-4</v>
      </c>
      <c r="P205" s="73">
        <f t="shared" si="59"/>
        <v>3.8999999999999998E-3</v>
      </c>
      <c r="Q205" s="73">
        <f t="shared" ref="Q205:AG205" si="60">ROUND(Q200/$D200,4)</f>
        <v>2.0000000000000001E-4</v>
      </c>
      <c r="R205" s="73">
        <f t="shared" si="60"/>
        <v>6.9999999999999999E-4</v>
      </c>
      <c r="S205" s="73">
        <f t="shared" si="60"/>
        <v>1.1999999999999999E-3</v>
      </c>
      <c r="T205" s="73">
        <f t="shared" si="60"/>
        <v>2.7000000000000001E-3</v>
      </c>
      <c r="U205" s="73">
        <f t="shared" si="60"/>
        <v>0</v>
      </c>
      <c r="V205" s="73">
        <f t="shared" si="60"/>
        <v>0</v>
      </c>
      <c r="W205" s="73">
        <f t="shared" si="60"/>
        <v>5.0000000000000001E-4</v>
      </c>
      <c r="X205" s="73">
        <f t="shared" si="60"/>
        <v>0</v>
      </c>
      <c r="Y205" s="73">
        <f t="shared" si="60"/>
        <v>0</v>
      </c>
      <c r="Z205" s="73">
        <f t="shared" si="60"/>
        <v>2.3999999999999998E-3</v>
      </c>
      <c r="AA205" s="73">
        <f t="shared" si="60"/>
        <v>0</v>
      </c>
      <c r="AB205" s="73">
        <f t="shared" si="60"/>
        <v>0</v>
      </c>
      <c r="AC205" s="73">
        <f t="shared" si="60"/>
        <v>0</v>
      </c>
      <c r="AD205" s="73">
        <f t="shared" si="60"/>
        <v>1E-4</v>
      </c>
      <c r="AE205" s="73">
        <f t="shared" si="60"/>
        <v>0</v>
      </c>
      <c r="AF205" s="73">
        <f t="shared" si="60"/>
        <v>0</v>
      </c>
      <c r="AG205" s="73">
        <f t="shared" si="60"/>
        <v>0</v>
      </c>
    </row>
    <row r="206" spans="1:33" s="12" customFormat="1" x14ac:dyDescent="0.2">
      <c r="A206" s="17"/>
      <c r="B206" s="48"/>
      <c r="D206" s="76"/>
      <c r="E206" s="77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</row>
    <row r="207" spans="1:33" s="218" customFormat="1" x14ac:dyDescent="0.2">
      <c r="A207" s="217"/>
      <c r="B207" s="219" t="str">
        <f>B19</f>
        <v>Total Composite Factor for FY 2021</v>
      </c>
      <c r="C207" s="218" t="s">
        <v>6</v>
      </c>
      <c r="D207" s="179">
        <f>SUM(E207:Q207)</f>
        <v>1</v>
      </c>
      <c r="E207" s="175">
        <f>1-SUM(F207:Q207)</f>
        <v>9.7800000000000109E-2</v>
      </c>
      <c r="F207" s="175">
        <f>ROUND(AVERAGE(F203:F205),4)</f>
        <v>7.7399999999999997E-2</v>
      </c>
      <c r="G207" s="175">
        <f t="shared" ref="G207:N207" si="61">ROUND(AVERAGE(G203:G205),4)</f>
        <v>2.9399999999999999E-2</v>
      </c>
      <c r="H207" s="175">
        <f t="shared" si="61"/>
        <v>7.9699999999999993E-2</v>
      </c>
      <c r="I207" s="175">
        <f t="shared" si="61"/>
        <v>0.1211</v>
      </c>
      <c r="J207" s="175">
        <f t="shared" si="61"/>
        <v>8.6800000000000002E-2</v>
      </c>
      <c r="K207" s="175">
        <f t="shared" si="61"/>
        <v>0.50339999999999996</v>
      </c>
      <c r="L207" s="175">
        <f t="shared" si="61"/>
        <v>0</v>
      </c>
      <c r="M207" s="175">
        <f>ROUND(AVERAGE(M203:M205),4)</f>
        <v>1E-3</v>
      </c>
      <c r="N207" s="175">
        <f t="shared" si="61"/>
        <v>5.0000000000000001E-4</v>
      </c>
      <c r="O207" s="175">
        <f t="shared" ref="O207" si="62">ROUND(AVERAGE(O203:O205),4)</f>
        <v>5.9999999999999995E-4</v>
      </c>
      <c r="P207" s="175">
        <f t="shared" ref="P207:AG207" si="63">ROUND(AVERAGE(P203:P205),4)</f>
        <v>2.2000000000000001E-3</v>
      </c>
      <c r="Q207" s="175">
        <f t="shared" si="63"/>
        <v>1E-4</v>
      </c>
      <c r="R207" s="175">
        <f t="shared" si="63"/>
        <v>5.0000000000000001E-4</v>
      </c>
      <c r="S207" s="175">
        <f t="shared" si="63"/>
        <v>5.9999999999999995E-4</v>
      </c>
      <c r="T207" s="175">
        <f t="shared" si="63"/>
        <v>1.5E-3</v>
      </c>
      <c r="U207" s="175">
        <f t="shared" si="63"/>
        <v>0</v>
      </c>
      <c r="V207" s="175">
        <f t="shared" si="63"/>
        <v>0</v>
      </c>
      <c r="W207" s="175">
        <f t="shared" si="63"/>
        <v>5.9999999999999995E-4</v>
      </c>
      <c r="X207" s="175">
        <f t="shared" si="63"/>
        <v>0</v>
      </c>
      <c r="Y207" s="175">
        <f t="shared" si="63"/>
        <v>0</v>
      </c>
      <c r="Z207" s="175">
        <f t="shared" si="63"/>
        <v>1E-3</v>
      </c>
      <c r="AA207" s="175">
        <f t="shared" si="63"/>
        <v>0</v>
      </c>
      <c r="AB207" s="175">
        <f t="shared" si="63"/>
        <v>0</v>
      </c>
      <c r="AC207" s="175">
        <f t="shared" si="63"/>
        <v>0</v>
      </c>
      <c r="AD207" s="175">
        <f t="shared" si="63"/>
        <v>0</v>
      </c>
      <c r="AE207" s="175">
        <f t="shared" si="63"/>
        <v>0</v>
      </c>
      <c r="AF207" s="175">
        <f t="shared" si="63"/>
        <v>0</v>
      </c>
      <c r="AG207" s="175">
        <f t="shared" si="63"/>
        <v>0</v>
      </c>
    </row>
    <row r="209" spans="1:21" s="294" customFormat="1" x14ac:dyDescent="0.2">
      <c r="A209" s="293"/>
      <c r="B209" s="298" t="s">
        <v>247</v>
      </c>
      <c r="D209" s="295">
        <f>SUM(E209:Q209)</f>
        <v>100</v>
      </c>
      <c r="E209" s="296">
        <v>8.33</v>
      </c>
      <c r="F209" s="294">
        <v>6.71</v>
      </c>
      <c r="G209" s="294">
        <v>9.16</v>
      </c>
      <c r="I209" s="294">
        <v>10.3</v>
      </c>
      <c r="J209" s="294">
        <v>7.22</v>
      </c>
      <c r="K209" s="294">
        <v>42.14</v>
      </c>
      <c r="L209" s="294">
        <v>15.82</v>
      </c>
      <c r="M209" s="294">
        <v>7.0000000000000007E-2</v>
      </c>
      <c r="N209" s="59">
        <v>0.03</v>
      </c>
      <c r="O209" s="294">
        <v>0.06</v>
      </c>
      <c r="P209" s="294">
        <v>0.16</v>
      </c>
      <c r="Q209" s="297">
        <v>0</v>
      </c>
      <c r="R209" s="59"/>
      <c r="S209" s="59"/>
      <c r="T209" s="59"/>
      <c r="U209" s="59"/>
    </row>
  </sheetData>
  <mergeCells count="1">
    <mergeCell ref="M5:Q5"/>
  </mergeCells>
  <pageMargins left="0.41" right="0.2" top="0.25" bottom="0.57999999999999996" header="0.38" footer="0.33"/>
  <pageSetup paperSize="5" scale="64" fitToHeight="0" orientation="landscape" r:id="rId1"/>
  <headerFooter alignWithMargins="0">
    <oddFooter>&amp;CPage &amp;P of &amp;N</oddFooter>
  </headerFooter>
  <rowBreaks count="2" manualBreakCount="2">
    <brk id="49" max="16383" man="1"/>
    <brk id="1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2">
    <tabColor rgb="FF00B0F0"/>
    <pageSetUpPr fitToPage="1"/>
  </sheetPr>
  <dimension ref="A1:S65"/>
  <sheetViews>
    <sheetView zoomScaleNormal="100" workbookViewId="0">
      <selection activeCell="T18" sqref="T18"/>
    </sheetView>
  </sheetViews>
  <sheetFormatPr defaultColWidth="9.140625" defaultRowHeight="12.75" x14ac:dyDescent="0.2"/>
  <cols>
    <col min="1" max="1" width="9.85546875" style="9" bestFit="1" customWidth="1"/>
    <col min="2" max="2" width="8.42578125" style="9" bestFit="1" customWidth="1"/>
    <col min="3" max="3" width="10.42578125" style="24" bestFit="1" customWidth="1"/>
    <col min="4" max="4" width="2.7109375" style="24" customWidth="1"/>
    <col min="5" max="5" width="9.85546875" style="9" bestFit="1" customWidth="1"/>
    <col min="6" max="6" width="8.42578125" style="9" bestFit="1" customWidth="1"/>
    <col min="7" max="7" width="15.42578125" style="93" bestFit="1" customWidth="1"/>
    <col min="8" max="8" width="2.7109375" style="9" customWidth="1"/>
    <col min="9" max="9" width="1.85546875" style="19" customWidth="1"/>
    <col min="10" max="10" width="15.7109375" style="19" customWidth="1"/>
    <col min="11" max="11" width="2.7109375" style="9" customWidth="1"/>
    <col min="12" max="13" width="2.28515625" style="9" customWidth="1"/>
    <col min="14" max="16" width="12.28515625" style="9" bestFit="1" customWidth="1"/>
    <col min="17" max="17" width="14" style="9" bestFit="1" customWidth="1"/>
    <col min="18" max="19" width="12" style="9" bestFit="1" customWidth="1"/>
    <col min="20" max="16384" width="9.140625" style="9"/>
  </cols>
  <sheetData>
    <row r="1" spans="1:19" x14ac:dyDescent="0.2">
      <c r="A1" s="59" t="s">
        <v>17</v>
      </c>
      <c r="B1" s="59"/>
      <c r="C1" s="91"/>
      <c r="D1" s="91"/>
      <c r="E1" s="59"/>
      <c r="F1" s="59"/>
      <c r="J1" s="35"/>
    </row>
    <row r="2" spans="1:19" x14ac:dyDescent="0.2">
      <c r="A2" s="59" t="s">
        <v>18</v>
      </c>
      <c r="B2" s="59"/>
      <c r="C2" s="91"/>
      <c r="D2" s="91"/>
      <c r="E2" s="59"/>
      <c r="F2" s="59"/>
    </row>
    <row r="3" spans="1:19" x14ac:dyDescent="0.2">
      <c r="A3" s="59" t="s">
        <v>225</v>
      </c>
      <c r="B3" s="59"/>
      <c r="C3" s="91"/>
      <c r="D3" s="91"/>
      <c r="E3" s="59"/>
      <c r="F3" s="59"/>
    </row>
    <row r="4" spans="1:19" x14ac:dyDescent="0.2">
      <c r="A4" s="59" t="s">
        <v>26</v>
      </c>
      <c r="B4" s="59"/>
      <c r="C4" s="91"/>
      <c r="D4" s="91"/>
      <c r="E4" s="59"/>
      <c r="F4" s="59"/>
    </row>
    <row r="5" spans="1:19" x14ac:dyDescent="0.2">
      <c r="A5" s="92"/>
    </row>
    <row r="6" spans="1:19" ht="15.75" x14ac:dyDescent="0.25">
      <c r="A6" s="130" t="s">
        <v>19</v>
      </c>
      <c r="B6" s="131"/>
      <c r="C6" s="132"/>
      <c r="D6" s="91"/>
      <c r="E6" s="130" t="s">
        <v>20</v>
      </c>
      <c r="F6" s="131"/>
      <c r="G6" s="133"/>
      <c r="H6" s="134" t="s">
        <v>21</v>
      </c>
      <c r="I6" s="20"/>
      <c r="J6" s="200" t="s">
        <v>25</v>
      </c>
    </row>
    <row r="7" spans="1:19" x14ac:dyDescent="0.2">
      <c r="I7" s="21"/>
      <c r="J7" s="21"/>
    </row>
    <row r="8" spans="1:19" ht="25.5" x14ac:dyDescent="0.2">
      <c r="A8" s="135" t="s">
        <v>22</v>
      </c>
      <c r="B8" s="136" t="s">
        <v>23</v>
      </c>
      <c r="C8" s="137" t="s">
        <v>24</v>
      </c>
      <c r="D8" s="137"/>
      <c r="E8" s="135" t="s">
        <v>22</v>
      </c>
      <c r="F8" s="136" t="s">
        <v>23</v>
      </c>
      <c r="G8" s="138" t="s">
        <v>24</v>
      </c>
      <c r="H8" s="137"/>
      <c r="I8" s="22"/>
      <c r="J8" s="22" t="s">
        <v>216</v>
      </c>
    </row>
    <row r="9" spans="1:19" x14ac:dyDescent="0.2">
      <c r="A9" s="56"/>
      <c r="B9" s="139"/>
      <c r="C9" s="140"/>
      <c r="D9" s="140"/>
      <c r="E9" s="56"/>
      <c r="F9" s="139"/>
      <c r="G9" s="141"/>
      <c r="H9" s="140"/>
      <c r="I9" s="23"/>
      <c r="J9" s="23"/>
    </row>
    <row r="10" spans="1:19" x14ac:dyDescent="0.2">
      <c r="A10" s="142">
        <v>10</v>
      </c>
      <c r="B10" s="143">
        <v>2</v>
      </c>
      <c r="C10" s="30">
        <v>-1</v>
      </c>
      <c r="D10" s="30"/>
      <c r="E10" s="143"/>
      <c r="F10" s="143">
        <v>2</v>
      </c>
      <c r="G10" s="144"/>
      <c r="H10" s="26"/>
      <c r="I10" s="21"/>
      <c r="J10" s="21"/>
      <c r="O10" s="6" t="s">
        <v>11</v>
      </c>
      <c r="P10" s="6" t="s">
        <v>12</v>
      </c>
      <c r="Q10" s="9" t="s">
        <v>182</v>
      </c>
      <c r="R10" s="6" t="s">
        <v>11</v>
      </c>
      <c r="S10" s="6" t="s">
        <v>12</v>
      </c>
    </row>
    <row r="11" spans="1:19" x14ac:dyDescent="0.2">
      <c r="A11" s="125"/>
      <c r="B11" s="125"/>
      <c r="E11" s="125"/>
      <c r="F11" s="125"/>
      <c r="H11" s="24"/>
      <c r="I11" s="21"/>
      <c r="J11" s="21"/>
      <c r="O11" s="4"/>
      <c r="P11" s="4"/>
    </row>
    <row r="12" spans="1:19" x14ac:dyDescent="0.2">
      <c r="A12" s="146">
        <v>20</v>
      </c>
      <c r="B12" s="29">
        <v>107</v>
      </c>
      <c r="C12" s="25">
        <f>'3-Factor Composite'!G19+'3-Factor Composite'!H19</f>
        <v>8.9700000000000002E-2</v>
      </c>
      <c r="D12" s="25"/>
      <c r="E12" s="29">
        <v>20</v>
      </c>
      <c r="F12" s="29">
        <v>107</v>
      </c>
      <c r="G12" s="147">
        <f>-SUM(G13:G14)</f>
        <v>-1</v>
      </c>
      <c r="H12" s="145"/>
      <c r="I12" s="21"/>
      <c r="J12" s="21"/>
      <c r="N12" s="41" t="s">
        <v>196</v>
      </c>
      <c r="O12" s="96">
        <f>'3-Factor Composite'!G10</f>
        <v>384369334.97000003</v>
      </c>
      <c r="P12" s="96">
        <f>'3-Factor Composite'!H10</f>
        <v>858046078.57000005</v>
      </c>
      <c r="Q12" s="181">
        <f>O12+P12</f>
        <v>1242415413.54</v>
      </c>
      <c r="R12" s="9">
        <f>O12/Q12</f>
        <v>0.30937263879785659</v>
      </c>
      <c r="S12" s="9">
        <f>P12/Q12</f>
        <v>0.69062736120214352</v>
      </c>
    </row>
    <row r="13" spans="1:19" x14ac:dyDescent="0.2">
      <c r="A13" s="148">
        <v>20</v>
      </c>
      <c r="B13" s="149">
        <v>107</v>
      </c>
      <c r="C13" s="26">
        <f>C12</f>
        <v>8.9700000000000002E-2</v>
      </c>
      <c r="D13" s="26"/>
      <c r="E13" s="149">
        <v>20</v>
      </c>
      <c r="F13" s="149">
        <v>7</v>
      </c>
      <c r="G13" s="150">
        <f>R16</f>
        <v>0.2702739088555936</v>
      </c>
      <c r="H13" s="145"/>
      <c r="I13" s="27"/>
      <c r="J13" s="27">
        <f>'3-Factor Composite'!G19</f>
        <v>2.3599999999999999E-2</v>
      </c>
      <c r="L13" s="156"/>
      <c r="N13" s="41" t="s">
        <v>197</v>
      </c>
      <c r="O13" s="96">
        <f>'3-Factor Composite'!G11</f>
        <v>73477</v>
      </c>
      <c r="P13" s="96">
        <f>'3-Factor Composite'!H11</f>
        <v>280594</v>
      </c>
      <c r="Q13" s="181">
        <f>O13+P13</f>
        <v>354071</v>
      </c>
      <c r="R13" s="9">
        <f>O13/Q13</f>
        <v>0.20752052554431175</v>
      </c>
      <c r="S13" s="9">
        <f>P13/Q13</f>
        <v>0.79247947445568823</v>
      </c>
    </row>
    <row r="14" spans="1:19" x14ac:dyDescent="0.2">
      <c r="A14" s="151">
        <v>20</v>
      </c>
      <c r="B14" s="152">
        <v>107</v>
      </c>
      <c r="C14" s="26">
        <f>C13</f>
        <v>8.9700000000000002E-2</v>
      </c>
      <c r="D14" s="28"/>
      <c r="E14" s="152">
        <v>20</v>
      </c>
      <c r="F14" s="152">
        <v>77</v>
      </c>
      <c r="G14" s="153">
        <f>S16</f>
        <v>0.72972609114440645</v>
      </c>
      <c r="H14" s="145"/>
      <c r="I14" s="27"/>
      <c r="J14" s="27">
        <f>'3-Factor Composite'!H19</f>
        <v>6.6100000000000006E-2</v>
      </c>
      <c r="L14" s="156"/>
      <c r="N14" s="41" t="s">
        <v>198</v>
      </c>
      <c r="O14" s="97">
        <f>'3-Factor Composite'!G12</f>
        <v>11437183.24</v>
      </c>
      <c r="P14" s="97">
        <f>'3-Factor Composite'!H12</f>
        <v>27474255.489999998</v>
      </c>
      <c r="Q14" s="181">
        <f>O14+P14</f>
        <v>38911438.729999997</v>
      </c>
      <c r="R14" s="9">
        <f>O14/Q14</f>
        <v>0.2939285622246125</v>
      </c>
      <c r="S14" s="9">
        <f>P14/Q14</f>
        <v>0.70607143777538761</v>
      </c>
    </row>
    <row r="15" spans="1:19" x14ac:dyDescent="0.2">
      <c r="A15" s="125"/>
      <c r="B15" s="125"/>
      <c r="E15" s="125"/>
      <c r="F15" s="125"/>
      <c r="H15" s="93"/>
      <c r="I15" s="27"/>
      <c r="J15" s="27"/>
    </row>
    <row r="16" spans="1:19" ht="13.5" thickBot="1" x14ac:dyDescent="0.25">
      <c r="A16" s="146">
        <v>30</v>
      </c>
      <c r="B16" s="29">
        <v>10</v>
      </c>
      <c r="C16" s="25">
        <f>'3-Factor Composite'!E19</f>
        <v>8.010000000000006E-2</v>
      </c>
      <c r="D16" s="25"/>
      <c r="E16" s="29">
        <v>30</v>
      </c>
      <c r="F16" s="29">
        <v>10</v>
      </c>
      <c r="G16" s="147">
        <v>-1</v>
      </c>
      <c r="H16" s="145"/>
      <c r="I16" s="27"/>
      <c r="J16" s="27"/>
      <c r="O16" s="181"/>
      <c r="P16" s="181"/>
      <c r="R16" s="196">
        <f>AVERAGE(R12:R14)</f>
        <v>0.2702739088555936</v>
      </c>
      <c r="S16" s="196">
        <f>AVERAGE(S12:S14)</f>
        <v>0.72972609114440645</v>
      </c>
    </row>
    <row r="17" spans="1:15" ht="13.5" thickTop="1" x14ac:dyDescent="0.2">
      <c r="A17" s="148">
        <v>30</v>
      </c>
      <c r="B17" s="149">
        <v>10</v>
      </c>
      <c r="C17" s="26">
        <f>C16</f>
        <v>8.010000000000006E-2</v>
      </c>
      <c r="D17" s="26"/>
      <c r="E17" s="149">
        <v>30</v>
      </c>
      <c r="F17" s="149">
        <v>1</v>
      </c>
      <c r="G17" s="150">
        <f>'West Texas FY21 new rollup'!M11</f>
        <v>0</v>
      </c>
      <c r="H17" s="145"/>
      <c r="I17" s="27"/>
      <c r="J17" s="27">
        <f>ROUND(+C17*G17,8)</f>
        <v>0</v>
      </c>
      <c r="L17" s="156"/>
    </row>
    <row r="18" spans="1:15" x14ac:dyDescent="0.2">
      <c r="A18" s="148">
        <v>30</v>
      </c>
      <c r="B18" s="149">
        <v>10</v>
      </c>
      <c r="C18" s="26">
        <f t="shared" ref="C18:C33" si="0">C17</f>
        <v>8.010000000000006E-2</v>
      </c>
      <c r="D18" s="26"/>
      <c r="E18" s="149">
        <v>30</v>
      </c>
      <c r="F18" s="149">
        <v>3</v>
      </c>
      <c r="G18" s="150">
        <f>'West Texas FY21 new rollup'!M12</f>
        <v>0</v>
      </c>
      <c r="H18" s="145"/>
      <c r="I18" s="27"/>
      <c r="J18" s="27">
        <f>ROUND(+C18*G18,8)</f>
        <v>0</v>
      </c>
      <c r="L18" s="156"/>
    </row>
    <row r="19" spans="1:15" x14ac:dyDescent="0.2">
      <c r="A19" s="148">
        <v>30</v>
      </c>
      <c r="B19" s="149">
        <v>10</v>
      </c>
      <c r="C19" s="26">
        <f t="shared" si="0"/>
        <v>8.010000000000006E-2</v>
      </c>
      <c r="D19" s="26"/>
      <c r="E19" s="149">
        <v>30</v>
      </c>
      <c r="F19" s="149">
        <v>4</v>
      </c>
      <c r="G19" s="150">
        <f>'West Texas FY21 new rollup'!M13</f>
        <v>0</v>
      </c>
      <c r="H19" s="145"/>
      <c r="I19" s="27"/>
      <c r="J19" s="27">
        <f>ROUND(+C19*G19,8)</f>
        <v>0</v>
      </c>
      <c r="L19" s="156"/>
    </row>
    <row r="20" spans="1:15" x14ac:dyDescent="0.2">
      <c r="A20" s="148">
        <v>30</v>
      </c>
      <c r="B20" s="149">
        <v>10</v>
      </c>
      <c r="C20" s="26">
        <f t="shared" si="0"/>
        <v>8.010000000000006E-2</v>
      </c>
      <c r="D20" s="26"/>
      <c r="E20" s="149">
        <v>30</v>
      </c>
      <c r="F20" s="149">
        <v>5</v>
      </c>
      <c r="G20" s="150">
        <f>'West Texas FY21 new rollup'!M14</f>
        <v>0.9659457245134857</v>
      </c>
      <c r="H20" s="145"/>
      <c r="I20" s="27"/>
      <c r="J20" s="27">
        <f t="shared" ref="J20:J24" si="1">ROUND(+C20*G20,8)</f>
        <v>7.7372250000000004E-2</v>
      </c>
      <c r="L20" s="251"/>
    </row>
    <row r="21" spans="1:15" x14ac:dyDescent="0.2">
      <c r="A21" s="148">
        <v>30</v>
      </c>
      <c r="B21" s="149">
        <v>10</v>
      </c>
      <c r="C21" s="26">
        <f t="shared" si="0"/>
        <v>8.010000000000006E-2</v>
      </c>
      <c r="D21" s="26"/>
      <c r="E21" s="149">
        <v>30</v>
      </c>
      <c r="F21" s="149">
        <v>6</v>
      </c>
      <c r="G21" s="150">
        <f>'West Texas FY21 new rollup'!M15</f>
        <v>0</v>
      </c>
      <c r="H21" s="145"/>
      <c r="I21" s="27"/>
      <c r="J21" s="27">
        <f t="shared" si="1"/>
        <v>0</v>
      </c>
      <c r="L21" s="156"/>
    </row>
    <row r="22" spans="1:15" x14ac:dyDescent="0.2">
      <c r="A22" s="148">
        <v>30</v>
      </c>
      <c r="B22" s="149">
        <v>10</v>
      </c>
      <c r="C22" s="26">
        <f t="shared" si="0"/>
        <v>8.010000000000006E-2</v>
      </c>
      <c r="D22" s="26"/>
      <c r="E22" s="149">
        <v>30</v>
      </c>
      <c r="F22" s="149">
        <v>8</v>
      </c>
      <c r="G22" s="150">
        <f>'West Texas FY21 new rollup'!M16</f>
        <v>1.6480364004878777E-4</v>
      </c>
      <c r="H22" s="145"/>
      <c r="I22" s="27"/>
      <c r="J22" s="27">
        <f t="shared" si="1"/>
        <v>1.3200000000000001E-5</v>
      </c>
      <c r="L22" s="156"/>
    </row>
    <row r="23" spans="1:15" x14ac:dyDescent="0.2">
      <c r="A23" s="148">
        <v>30</v>
      </c>
      <c r="B23" s="149">
        <v>10</v>
      </c>
      <c r="C23" s="26">
        <f t="shared" si="0"/>
        <v>8.010000000000006E-2</v>
      </c>
      <c r="D23" s="26"/>
      <c r="E23" s="149">
        <v>30</v>
      </c>
      <c r="F23" s="149">
        <v>11</v>
      </c>
      <c r="G23" s="150">
        <f>'West Texas FY21 new rollup'!M17</f>
        <v>0</v>
      </c>
      <c r="H23" s="145"/>
      <c r="I23" s="27"/>
      <c r="J23" s="27">
        <f t="shared" si="1"/>
        <v>0</v>
      </c>
      <c r="L23" s="156"/>
    </row>
    <row r="24" spans="1:15" x14ac:dyDescent="0.2">
      <c r="A24" s="148">
        <v>30</v>
      </c>
      <c r="B24" s="149">
        <v>10</v>
      </c>
      <c r="C24" s="26">
        <f t="shared" si="0"/>
        <v>8.010000000000006E-2</v>
      </c>
      <c r="D24" s="26"/>
      <c r="E24" s="149">
        <v>30</v>
      </c>
      <c r="F24" s="149">
        <v>13</v>
      </c>
      <c r="G24" s="150">
        <f>'West Texas FY21 new rollup'!M18</f>
        <v>0</v>
      </c>
      <c r="H24" s="145"/>
      <c r="I24" s="27"/>
      <c r="J24" s="27">
        <f t="shared" si="1"/>
        <v>0</v>
      </c>
      <c r="L24" s="156"/>
    </row>
    <row r="25" spans="1:15" x14ac:dyDescent="0.2">
      <c r="A25" s="148">
        <v>30</v>
      </c>
      <c r="B25" s="149">
        <v>10</v>
      </c>
      <c r="C25" s="26">
        <f t="shared" si="0"/>
        <v>8.010000000000006E-2</v>
      </c>
      <c r="D25" s="26"/>
      <c r="E25" s="149">
        <v>30</v>
      </c>
      <c r="F25" s="149">
        <v>14</v>
      </c>
      <c r="G25" s="150">
        <f>'West Texas FY21 new rollup'!M19</f>
        <v>0</v>
      </c>
      <c r="H25" s="145"/>
      <c r="I25" s="27"/>
      <c r="J25" s="27">
        <f t="shared" ref="J25:J33" si="2">ROUND(+C25*G25,8)</f>
        <v>0</v>
      </c>
      <c r="L25" s="156"/>
    </row>
    <row r="26" spans="1:15" x14ac:dyDescent="0.2">
      <c r="A26" s="148">
        <v>30</v>
      </c>
      <c r="B26" s="149">
        <v>10</v>
      </c>
      <c r="C26" s="26">
        <f t="shared" si="0"/>
        <v>8.010000000000006E-2</v>
      </c>
      <c r="D26" s="26"/>
      <c r="E26" s="149">
        <v>30</v>
      </c>
      <c r="F26" s="149">
        <v>15</v>
      </c>
      <c r="G26" s="150">
        <f>'West Texas FY21 new rollup'!M20</f>
        <v>0</v>
      </c>
      <c r="H26" s="145"/>
      <c r="I26" s="27"/>
      <c r="J26" s="27">
        <f t="shared" si="2"/>
        <v>0</v>
      </c>
      <c r="L26" s="156"/>
    </row>
    <row r="27" spans="1:15" x14ac:dyDescent="0.2">
      <c r="A27" s="148">
        <v>30</v>
      </c>
      <c r="B27" s="149">
        <v>10</v>
      </c>
      <c r="C27" s="26">
        <f t="shared" si="0"/>
        <v>8.010000000000006E-2</v>
      </c>
      <c r="D27" s="26"/>
      <c r="E27" s="149">
        <v>30</v>
      </c>
      <c r="F27" s="149">
        <v>16</v>
      </c>
      <c r="G27" s="150">
        <f>'West Texas FY21 new rollup'!M21</f>
        <v>0</v>
      </c>
      <c r="H27" s="145"/>
      <c r="I27" s="27"/>
      <c r="J27" s="27">
        <f t="shared" si="2"/>
        <v>0</v>
      </c>
      <c r="L27" s="156"/>
    </row>
    <row r="28" spans="1:15" x14ac:dyDescent="0.2">
      <c r="A28" s="148">
        <v>30</v>
      </c>
      <c r="B28" s="149">
        <v>10</v>
      </c>
      <c r="C28" s="26">
        <f t="shared" si="0"/>
        <v>8.010000000000006E-2</v>
      </c>
      <c r="D28" s="26"/>
      <c r="E28" s="149">
        <v>30</v>
      </c>
      <c r="F28" s="149">
        <v>17</v>
      </c>
      <c r="G28" s="150">
        <f>'West Texas FY21 new rollup'!M22</f>
        <v>0</v>
      </c>
      <c r="H28" s="145"/>
      <c r="I28" s="27"/>
      <c r="J28" s="27">
        <f t="shared" si="2"/>
        <v>0</v>
      </c>
      <c r="L28" s="156"/>
    </row>
    <row r="29" spans="1:15" x14ac:dyDescent="0.2">
      <c r="A29" s="148">
        <v>30</v>
      </c>
      <c r="B29" s="149">
        <v>10</v>
      </c>
      <c r="C29" s="26">
        <f t="shared" si="0"/>
        <v>8.010000000000006E-2</v>
      </c>
      <c r="D29" s="26"/>
      <c r="E29" s="149">
        <v>30</v>
      </c>
      <c r="F29" s="149">
        <v>18</v>
      </c>
      <c r="G29" s="150">
        <f>'West Texas FY21 new rollup'!M23</f>
        <v>0</v>
      </c>
      <c r="H29" s="145"/>
      <c r="I29" s="27"/>
      <c r="J29" s="27">
        <f t="shared" si="2"/>
        <v>0</v>
      </c>
      <c r="L29" s="156"/>
    </row>
    <row r="30" spans="1:15" x14ac:dyDescent="0.2">
      <c r="A30" s="148">
        <v>30</v>
      </c>
      <c r="B30" s="149">
        <v>10</v>
      </c>
      <c r="C30" s="26">
        <f t="shared" si="0"/>
        <v>8.010000000000006E-2</v>
      </c>
      <c r="D30" s="26"/>
      <c r="E30" s="149">
        <v>30</v>
      </c>
      <c r="F30" s="149">
        <v>19</v>
      </c>
      <c r="G30" s="150">
        <f>'West Texas FY21 new rollup'!M24</f>
        <v>3.3889471846465451E-2</v>
      </c>
      <c r="H30" s="154"/>
      <c r="I30" s="27"/>
      <c r="J30" s="27">
        <f t="shared" si="2"/>
        <v>2.71455E-3</v>
      </c>
      <c r="L30" s="156"/>
    </row>
    <row r="31" spans="1:15" x14ac:dyDescent="0.2">
      <c r="A31" s="148">
        <v>30</v>
      </c>
      <c r="B31" s="149">
        <v>10</v>
      </c>
      <c r="C31" s="26">
        <f t="shared" si="0"/>
        <v>8.010000000000006E-2</v>
      </c>
      <c r="D31" s="26"/>
      <c r="E31" s="149">
        <v>30</v>
      </c>
      <c r="F31" s="149">
        <v>20</v>
      </c>
      <c r="G31" s="150">
        <f>'West Texas FY21 new rollup'!M25</f>
        <v>0</v>
      </c>
      <c r="H31" s="154"/>
      <c r="I31" s="27"/>
      <c r="J31" s="27">
        <f t="shared" si="2"/>
        <v>0</v>
      </c>
      <c r="L31" s="156"/>
    </row>
    <row r="32" spans="1:15" x14ac:dyDescent="0.2">
      <c r="A32" s="148">
        <v>30</v>
      </c>
      <c r="B32" s="149">
        <v>10</v>
      </c>
      <c r="C32" s="26">
        <f t="shared" si="0"/>
        <v>8.010000000000006E-2</v>
      </c>
      <c r="D32" s="26"/>
      <c r="E32" s="149">
        <v>30</v>
      </c>
      <c r="F32" s="149">
        <v>21</v>
      </c>
      <c r="G32" s="150">
        <f>'West Texas FY21 new rollup'!M26</f>
        <v>0</v>
      </c>
      <c r="H32" s="145"/>
      <c r="I32" s="27"/>
      <c r="J32" s="27">
        <f t="shared" si="2"/>
        <v>0</v>
      </c>
      <c r="K32" s="156"/>
      <c r="L32" s="156"/>
      <c r="M32" s="156"/>
      <c r="N32" s="156"/>
      <c r="O32" s="156"/>
    </row>
    <row r="33" spans="1:12" x14ac:dyDescent="0.2">
      <c r="A33" s="151">
        <v>30</v>
      </c>
      <c r="B33" s="152">
        <v>10</v>
      </c>
      <c r="C33" s="26">
        <f t="shared" si="0"/>
        <v>8.010000000000006E-2</v>
      </c>
      <c r="D33" s="28"/>
      <c r="E33" s="152">
        <v>30</v>
      </c>
      <c r="F33" s="152">
        <v>40</v>
      </c>
      <c r="G33" s="153">
        <f>'West Texas FY21 new rollup'!M27</f>
        <v>0</v>
      </c>
      <c r="H33" s="145"/>
      <c r="I33" s="27"/>
      <c r="J33" s="27">
        <f t="shared" si="2"/>
        <v>0</v>
      </c>
      <c r="L33" s="156"/>
    </row>
    <row r="34" spans="1:12" x14ac:dyDescent="0.2">
      <c r="A34" s="149"/>
      <c r="B34" s="149"/>
      <c r="C34" s="26"/>
      <c r="D34" s="26"/>
      <c r="E34" s="149"/>
      <c r="F34" s="149"/>
      <c r="G34" s="145"/>
      <c r="H34" s="145"/>
      <c r="I34" s="27"/>
      <c r="J34" s="27"/>
    </row>
    <row r="35" spans="1:12" x14ac:dyDescent="0.2">
      <c r="A35" s="146">
        <v>50</v>
      </c>
      <c r="B35" s="29">
        <v>91</v>
      </c>
      <c r="C35" s="25">
        <f>'3-Factor Composite'!I19</f>
        <v>9.8599999999999993E-2</v>
      </c>
      <c r="D35" s="25"/>
      <c r="E35" s="155"/>
      <c r="F35" s="155"/>
      <c r="G35" s="147"/>
      <c r="H35" s="99"/>
      <c r="I35" s="27"/>
      <c r="J35" s="27"/>
    </row>
    <row r="36" spans="1:12" x14ac:dyDescent="0.2">
      <c r="A36" s="148">
        <v>50</v>
      </c>
      <c r="B36" s="149">
        <v>91</v>
      </c>
      <c r="C36" s="26">
        <f>C35</f>
        <v>9.8599999999999993E-2</v>
      </c>
      <c r="D36" s="26"/>
      <c r="E36" s="99"/>
      <c r="F36" s="99"/>
      <c r="G36" s="150"/>
      <c r="H36" s="99"/>
      <c r="I36" s="27"/>
      <c r="J36" s="27"/>
    </row>
    <row r="37" spans="1:12" x14ac:dyDescent="0.2">
      <c r="A37" s="148">
        <v>50</v>
      </c>
      <c r="B37" s="149">
        <v>91</v>
      </c>
      <c r="C37" s="26">
        <f>C36</f>
        <v>9.8599999999999993E-2</v>
      </c>
      <c r="D37" s="26"/>
      <c r="E37" s="149">
        <v>50</v>
      </c>
      <c r="F37" s="149">
        <v>91</v>
      </c>
      <c r="G37" s="150">
        <v>-1</v>
      </c>
      <c r="H37" s="145"/>
      <c r="I37" s="27"/>
      <c r="J37" s="27"/>
    </row>
    <row r="38" spans="1:12" x14ac:dyDescent="0.2">
      <c r="A38" s="148">
        <v>50</v>
      </c>
      <c r="B38" s="149">
        <v>91</v>
      </c>
      <c r="C38" s="26">
        <f t="shared" ref="C38:C40" si="3">C37</f>
        <v>9.8599999999999993E-2</v>
      </c>
      <c r="D38" s="26"/>
      <c r="E38" s="149">
        <v>50</v>
      </c>
      <c r="F38" s="149">
        <v>9</v>
      </c>
      <c r="G38" s="150">
        <f>'Mid States FY21'!J10/100</f>
        <v>0.5042416656901676</v>
      </c>
      <c r="H38" s="145"/>
      <c r="I38" s="27"/>
      <c r="J38" s="27">
        <f>C38-SUM(J39:J40)</f>
        <v>4.9718229999999995E-2</v>
      </c>
      <c r="L38" s="156"/>
    </row>
    <row r="39" spans="1:12" x14ac:dyDescent="0.2">
      <c r="A39" s="148">
        <v>50</v>
      </c>
      <c r="B39" s="149">
        <v>91</v>
      </c>
      <c r="C39" s="26">
        <f t="shared" si="3"/>
        <v>9.8599999999999993E-2</v>
      </c>
      <c r="D39" s="26"/>
      <c r="E39" s="149">
        <v>50</v>
      </c>
      <c r="F39" s="149">
        <v>93</v>
      </c>
      <c r="G39" s="150">
        <f>'Mid States FY21'!J11/100</f>
        <v>0.41901595760064703</v>
      </c>
      <c r="H39" s="145"/>
      <c r="I39" s="27"/>
      <c r="J39" s="27">
        <f>ROUND(+C39*G39,8)</f>
        <v>4.1314969999999999E-2</v>
      </c>
      <c r="L39" s="156"/>
    </row>
    <row r="40" spans="1:12" x14ac:dyDescent="0.2">
      <c r="A40" s="148">
        <v>50</v>
      </c>
      <c r="B40" s="149">
        <v>91</v>
      </c>
      <c r="C40" s="26">
        <f t="shared" si="3"/>
        <v>9.8599999999999993E-2</v>
      </c>
      <c r="D40" s="26"/>
      <c r="E40" s="149">
        <v>50</v>
      </c>
      <c r="F40" s="149">
        <v>96</v>
      </c>
      <c r="G40" s="150">
        <f>'Mid States FY21'!J12/100</f>
        <v>7.6742376709185503E-2</v>
      </c>
      <c r="H40" s="145"/>
      <c r="I40" s="27"/>
      <c r="J40" s="27">
        <f t="shared" ref="J40" si="4">ROUND(+C40*G40,8)</f>
        <v>7.5668000000000003E-3</v>
      </c>
      <c r="L40" s="156"/>
    </row>
    <row r="41" spans="1:12" x14ac:dyDescent="0.2">
      <c r="A41" s="125"/>
      <c r="B41" s="125"/>
      <c r="E41" s="125"/>
      <c r="F41" s="125"/>
      <c r="H41" s="93"/>
      <c r="I41" s="21"/>
      <c r="J41" s="21"/>
    </row>
    <row r="42" spans="1:12" x14ac:dyDescent="0.2">
      <c r="A42" s="146">
        <v>60</v>
      </c>
      <c r="B42" s="29">
        <v>30</v>
      </c>
      <c r="C42" s="25">
        <f>'3-Factor Composite'!F19</f>
        <v>6.3700000000000007E-2</v>
      </c>
      <c r="D42" s="25"/>
      <c r="E42" s="29">
        <v>60</v>
      </c>
      <c r="F42" s="29">
        <v>30</v>
      </c>
      <c r="G42" s="147">
        <v>-1</v>
      </c>
      <c r="H42" s="145"/>
      <c r="I42" s="21"/>
      <c r="J42" s="21"/>
    </row>
    <row r="43" spans="1:12" x14ac:dyDescent="0.2">
      <c r="A43" s="148">
        <v>60</v>
      </c>
      <c r="B43" s="149">
        <v>30</v>
      </c>
      <c r="C43" s="26">
        <f>C42</f>
        <v>6.3700000000000007E-2</v>
      </c>
      <c r="D43" s="26"/>
      <c r="E43" s="149">
        <v>60</v>
      </c>
      <c r="F43" s="149">
        <v>31</v>
      </c>
      <c r="G43" s="150">
        <f>'CO KS FY21'!J11</f>
        <v>0.44368969596206154</v>
      </c>
      <c r="H43" s="145"/>
      <c r="I43" s="27"/>
      <c r="J43" s="27">
        <f>ROUND(+C43*G43,8)</f>
        <v>2.8263030000000001E-2</v>
      </c>
      <c r="L43" s="156"/>
    </row>
    <row r="44" spans="1:12" x14ac:dyDescent="0.2">
      <c r="A44" s="151">
        <v>60</v>
      </c>
      <c r="B44" s="152">
        <v>30</v>
      </c>
      <c r="C44" s="28">
        <f>C43</f>
        <v>6.3700000000000007E-2</v>
      </c>
      <c r="D44" s="28"/>
      <c r="E44" s="152">
        <v>60</v>
      </c>
      <c r="F44" s="152">
        <v>81</v>
      </c>
      <c r="G44" s="153">
        <f>'CO KS FY21'!J12</f>
        <v>0.55631030403793846</v>
      </c>
      <c r="H44" s="145"/>
      <c r="I44" s="27"/>
      <c r="J44" s="27">
        <f>C42-SUM(J43:J43)</f>
        <v>3.5436970000000005E-2</v>
      </c>
      <c r="L44" s="156"/>
    </row>
    <row r="45" spans="1:12" x14ac:dyDescent="0.2">
      <c r="A45" s="125"/>
      <c r="B45" s="125"/>
      <c r="E45" s="125"/>
      <c r="F45" s="125"/>
      <c r="H45" s="93"/>
      <c r="I45" s="21"/>
      <c r="J45" s="21"/>
    </row>
    <row r="46" spans="1:12" x14ac:dyDescent="0.2">
      <c r="A46" s="142">
        <v>70</v>
      </c>
      <c r="B46" s="143">
        <v>170</v>
      </c>
      <c r="C46" s="30">
        <f>'3-Factor Composite'!J19</f>
        <v>7.0199999999999999E-2</v>
      </c>
      <c r="D46" s="30"/>
      <c r="E46" s="143"/>
      <c r="F46" s="143">
        <v>170</v>
      </c>
      <c r="G46" s="144"/>
      <c r="H46" s="145"/>
      <c r="I46" s="27"/>
      <c r="J46" s="27">
        <f>ROUND(+C46,8)</f>
        <v>7.0199999999999999E-2</v>
      </c>
      <c r="L46" s="156"/>
    </row>
    <row r="47" spans="1:12" x14ac:dyDescent="0.2">
      <c r="A47" s="125"/>
      <c r="B47" s="125"/>
      <c r="E47" s="125"/>
      <c r="F47" s="125"/>
      <c r="H47" s="93"/>
      <c r="I47" s="21"/>
      <c r="J47" s="21"/>
    </row>
    <row r="48" spans="1:12" x14ac:dyDescent="0.2">
      <c r="A48" s="142">
        <v>80</v>
      </c>
      <c r="B48" s="143">
        <v>190</v>
      </c>
      <c r="C48" s="30">
        <f>'3-Factor Composite'!K19</f>
        <v>0.41610000000000003</v>
      </c>
      <c r="D48" s="30"/>
      <c r="E48" s="143"/>
      <c r="F48" s="143">
        <v>190</v>
      </c>
      <c r="G48" s="144"/>
      <c r="H48" s="93"/>
      <c r="I48" s="27"/>
      <c r="J48" s="27">
        <f>1-SUM(J13:J46,(J50:J60))</f>
        <v>0.41610000000000003</v>
      </c>
      <c r="L48" s="156"/>
    </row>
    <row r="49" spans="1:12" x14ac:dyDescent="0.2">
      <c r="A49" s="125"/>
      <c r="B49" s="125"/>
      <c r="E49" s="125"/>
      <c r="F49" s="125"/>
      <c r="H49" s="156"/>
      <c r="I49" s="21"/>
      <c r="J49" s="21"/>
    </row>
    <row r="50" spans="1:12" x14ac:dyDescent="0.2">
      <c r="A50" s="142">
        <v>180</v>
      </c>
      <c r="B50" s="143">
        <v>700</v>
      </c>
      <c r="C50" s="30">
        <f>'3-Factor Composite'!L19</f>
        <v>0.17849999999999999</v>
      </c>
      <c r="D50" s="30"/>
      <c r="E50" s="143"/>
      <c r="F50" s="143">
        <v>700</v>
      </c>
      <c r="G50" s="144"/>
      <c r="H50" s="156"/>
      <c r="I50" s="27"/>
      <c r="J50" s="27">
        <f>ROUND(+C50,8)</f>
        <v>0.17849999999999999</v>
      </c>
      <c r="L50" s="156"/>
    </row>
    <row r="51" spans="1:12" x14ac:dyDescent="0.2">
      <c r="A51" s="125"/>
      <c r="B51" s="125"/>
      <c r="E51" s="125"/>
      <c r="F51" s="125"/>
    </row>
    <row r="52" spans="1:12" x14ac:dyDescent="0.2">
      <c r="A52" s="246">
        <v>220</v>
      </c>
      <c r="B52" s="143">
        <v>61</v>
      </c>
      <c r="C52" s="30">
        <f>'3-Factor Composite'!M19</f>
        <v>6.9999999999999999E-4</v>
      </c>
      <c r="D52" s="30"/>
      <c r="E52" s="143"/>
      <c r="F52" s="143">
        <v>61</v>
      </c>
      <c r="G52" s="144"/>
      <c r="J52" s="27">
        <f>ROUND(+C52,8)</f>
        <v>6.9999999999999999E-4</v>
      </c>
      <c r="L52" s="156"/>
    </row>
    <row r="53" spans="1:12" x14ac:dyDescent="0.2">
      <c r="A53" s="125"/>
      <c r="B53" s="125"/>
      <c r="E53" s="125"/>
      <c r="F53" s="125"/>
    </row>
    <row r="54" spans="1:12" x14ac:dyDescent="0.2">
      <c r="A54" s="246">
        <v>232</v>
      </c>
      <c r="B54" s="143">
        <v>800</v>
      </c>
      <c r="C54" s="30">
        <f>'3-Factor Composite'!N19</f>
        <v>4.0000000000000002E-4</v>
      </c>
      <c r="D54" s="30"/>
      <c r="E54" s="143"/>
      <c r="F54" s="143">
        <v>800</v>
      </c>
      <c r="G54" s="144"/>
      <c r="J54" s="27">
        <f>ROUND(+C54,8)</f>
        <v>4.0000000000000002E-4</v>
      </c>
      <c r="L54" s="156"/>
    </row>
    <row r="55" spans="1:12" x14ac:dyDescent="0.2">
      <c r="A55" s="125"/>
      <c r="B55" s="125"/>
      <c r="E55" s="125"/>
      <c r="F55" s="125"/>
    </row>
    <row r="56" spans="1:12" x14ac:dyDescent="0.2">
      <c r="A56" s="246">
        <v>233</v>
      </c>
      <c r="B56" s="143">
        <v>817</v>
      </c>
      <c r="C56" s="30">
        <f>'3-Factor Composite'!O19</f>
        <v>4.0000000000000002E-4</v>
      </c>
      <c r="D56" s="30"/>
      <c r="E56" s="143"/>
      <c r="F56" s="143">
        <v>817</v>
      </c>
      <c r="G56" s="144"/>
      <c r="J56" s="27">
        <f>ROUND(+C56,8)</f>
        <v>4.0000000000000002E-4</v>
      </c>
      <c r="L56" s="156"/>
    </row>
    <row r="57" spans="1:12" x14ac:dyDescent="0.2">
      <c r="A57" s="125"/>
      <c r="B57" s="125"/>
      <c r="E57" s="125"/>
      <c r="F57" s="125"/>
    </row>
    <row r="58" spans="1:12" x14ac:dyDescent="0.2">
      <c r="A58" s="246">
        <v>303</v>
      </c>
      <c r="B58" s="143">
        <v>57</v>
      </c>
      <c r="C58" s="30">
        <f>'3-Factor Composite'!P19</f>
        <v>1.6000000000000001E-3</v>
      </c>
      <c r="D58" s="30"/>
      <c r="E58" s="143"/>
      <c r="F58" s="143">
        <v>57</v>
      </c>
      <c r="G58" s="144"/>
      <c r="J58" s="27">
        <f>ROUND(+C58,8)</f>
        <v>1.6000000000000001E-3</v>
      </c>
      <c r="L58" s="156"/>
    </row>
    <row r="59" spans="1:12" x14ac:dyDescent="0.2">
      <c r="A59" s="149"/>
      <c r="B59" s="149"/>
      <c r="C59" s="26"/>
      <c r="D59" s="26"/>
      <c r="E59" s="149"/>
      <c r="F59" s="149"/>
      <c r="G59" s="145"/>
      <c r="J59" s="27"/>
    </row>
    <row r="60" spans="1:12" x14ac:dyDescent="0.2">
      <c r="A60" s="246">
        <v>312</v>
      </c>
      <c r="B60" s="143">
        <v>820</v>
      </c>
      <c r="C60" s="30">
        <f>'3-Factor Composite'!Q19</f>
        <v>0</v>
      </c>
      <c r="D60" s="30"/>
      <c r="E60" s="143"/>
      <c r="F60" s="143">
        <v>820</v>
      </c>
      <c r="G60" s="144"/>
      <c r="J60" s="27">
        <f>ROUND(+C60,8)</f>
        <v>0</v>
      </c>
      <c r="L60" s="156"/>
    </row>
    <row r="61" spans="1:12" x14ac:dyDescent="0.2">
      <c r="B61" s="125"/>
      <c r="E61" s="125"/>
      <c r="F61" s="125"/>
    </row>
    <row r="62" spans="1:12" x14ac:dyDescent="0.2">
      <c r="A62" s="9" t="s">
        <v>1</v>
      </c>
      <c r="B62" s="125"/>
      <c r="C62" s="24">
        <f>+C50+C48+C46+C42+C35+C16+C12+C52+C54+C56+C58+C60</f>
        <v>1</v>
      </c>
      <c r="E62" s="125"/>
      <c r="F62" s="125"/>
      <c r="I62" s="31"/>
      <c r="J62" s="31">
        <f>SUM(J13:J60)</f>
        <v>1</v>
      </c>
    </row>
    <row r="63" spans="1:12" x14ac:dyDescent="0.2">
      <c r="B63" s="125"/>
      <c r="E63" s="125"/>
      <c r="F63" s="125"/>
    </row>
    <row r="64" spans="1:12" x14ac:dyDescent="0.2">
      <c r="B64" s="125"/>
      <c r="E64" s="125"/>
      <c r="F64" s="125"/>
    </row>
    <row r="65" spans="2:6" x14ac:dyDescent="0.2">
      <c r="B65" s="125"/>
      <c r="E65" s="125"/>
      <c r="F65" s="125"/>
    </row>
  </sheetData>
  <printOptions horizontalCentered="1"/>
  <pageMargins left="0" right="0" top="0.25" bottom="0.75" header="0.3" footer="0.3"/>
  <pageSetup scale="68" orientation="landscape" r:id="rId1"/>
  <headerFooter alignWithMargins="0">
    <oddFooter>&amp;C&amp;Z&amp;F
&amp;A</oddFooter>
  </headerFooter>
  <rowBreaks count="1" manualBreakCount="1">
    <brk id="6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3">
    <tabColor rgb="FF00B0F0"/>
    <pageSetUpPr fitToPage="1"/>
  </sheetPr>
  <dimension ref="A1:S65"/>
  <sheetViews>
    <sheetView topLeftCell="D1" zoomScaleNormal="100" workbookViewId="0">
      <selection activeCell="V19" sqref="V19"/>
    </sheetView>
  </sheetViews>
  <sheetFormatPr defaultColWidth="9.140625" defaultRowHeight="12.75" x14ac:dyDescent="0.2"/>
  <cols>
    <col min="1" max="1" width="9.85546875" style="9" bestFit="1" customWidth="1"/>
    <col min="2" max="2" width="8.42578125" style="9" bestFit="1" customWidth="1"/>
    <col min="3" max="3" width="20.5703125" style="24" bestFit="1" customWidth="1"/>
    <col min="4" max="4" width="2.7109375" style="24" customWidth="1"/>
    <col min="5" max="5" width="9.85546875" style="9" bestFit="1" customWidth="1"/>
    <col min="6" max="6" width="8.42578125" style="9" bestFit="1" customWidth="1"/>
    <col min="7" max="7" width="15.42578125" style="93" bestFit="1" customWidth="1"/>
    <col min="8" max="8" width="2.7109375" style="9" customWidth="1"/>
    <col min="9" max="9" width="1.85546875" style="19" customWidth="1"/>
    <col min="10" max="10" width="25.140625" style="19" customWidth="1"/>
    <col min="11" max="11" width="2.7109375" style="9" customWidth="1"/>
    <col min="12" max="13" width="5.85546875" style="9" customWidth="1"/>
    <col min="14" max="16" width="12.28515625" style="9" bestFit="1" customWidth="1"/>
    <col min="17" max="17" width="14" style="9" bestFit="1" customWidth="1"/>
    <col min="18" max="19" width="12" style="9" bestFit="1" customWidth="1"/>
    <col min="20" max="16384" width="9.140625" style="9"/>
  </cols>
  <sheetData>
    <row r="1" spans="1:19" x14ac:dyDescent="0.2">
      <c r="A1" s="59" t="s">
        <v>17</v>
      </c>
      <c r="B1" s="59"/>
      <c r="C1" s="91"/>
      <c r="D1" s="91"/>
      <c r="E1" s="59"/>
      <c r="F1" s="59"/>
      <c r="J1" s="35"/>
    </row>
    <row r="2" spans="1:19" x14ac:dyDescent="0.2">
      <c r="A2" s="59" t="s">
        <v>18</v>
      </c>
      <c r="B2" s="59"/>
      <c r="C2" s="91"/>
      <c r="D2" s="91"/>
      <c r="E2" s="59"/>
      <c r="F2" s="59"/>
    </row>
    <row r="3" spans="1:19" x14ac:dyDescent="0.2">
      <c r="A3" s="59" t="s">
        <v>225</v>
      </c>
      <c r="B3" s="59"/>
      <c r="C3" s="91"/>
      <c r="D3" s="91"/>
      <c r="E3" s="59"/>
      <c r="F3" s="59"/>
    </row>
    <row r="4" spans="1:19" x14ac:dyDescent="0.2">
      <c r="A4" s="59" t="s">
        <v>26</v>
      </c>
      <c r="B4" s="59"/>
      <c r="C4" s="91"/>
      <c r="D4" s="91"/>
      <c r="E4" s="59"/>
      <c r="F4" s="59"/>
    </row>
    <row r="5" spans="1:19" x14ac:dyDescent="0.2">
      <c r="A5" s="92"/>
    </row>
    <row r="6" spans="1:19" ht="15.75" x14ac:dyDescent="0.25">
      <c r="A6" s="130" t="s">
        <v>19</v>
      </c>
      <c r="B6" s="131"/>
      <c r="C6" s="132"/>
      <c r="D6" s="91"/>
      <c r="E6" s="130" t="s">
        <v>20</v>
      </c>
      <c r="F6" s="131"/>
      <c r="G6" s="133"/>
      <c r="H6" s="134" t="s">
        <v>21</v>
      </c>
      <c r="I6" s="20"/>
      <c r="J6" s="200" t="s">
        <v>184</v>
      </c>
    </row>
    <row r="7" spans="1:19" x14ac:dyDescent="0.2">
      <c r="I7" s="21"/>
      <c r="J7" s="21"/>
    </row>
    <row r="8" spans="1:19" ht="25.5" x14ac:dyDescent="0.2">
      <c r="A8" s="135" t="s">
        <v>22</v>
      </c>
      <c r="B8" s="136" t="s">
        <v>23</v>
      </c>
      <c r="C8" s="137" t="s">
        <v>24</v>
      </c>
      <c r="D8" s="137"/>
      <c r="E8" s="135" t="s">
        <v>22</v>
      </c>
      <c r="F8" s="136" t="s">
        <v>23</v>
      </c>
      <c r="G8" s="138" t="s">
        <v>24</v>
      </c>
      <c r="H8" s="137"/>
      <c r="I8" s="22"/>
      <c r="J8" s="22" t="s">
        <v>216</v>
      </c>
    </row>
    <row r="9" spans="1:19" x14ac:dyDescent="0.2">
      <c r="A9" s="56"/>
      <c r="B9" s="139"/>
      <c r="C9" s="140"/>
      <c r="D9" s="140"/>
      <c r="E9" s="56"/>
      <c r="F9" s="139"/>
      <c r="G9" s="141"/>
      <c r="H9" s="140"/>
      <c r="I9" s="23"/>
      <c r="J9" s="23"/>
    </row>
    <row r="10" spans="1:19" x14ac:dyDescent="0.2">
      <c r="A10" s="142">
        <v>10</v>
      </c>
      <c r="B10" s="143">
        <v>2</v>
      </c>
      <c r="C10" s="30">
        <v>-1</v>
      </c>
      <c r="D10" s="30"/>
      <c r="E10" s="143"/>
      <c r="F10" s="143">
        <v>2</v>
      </c>
      <c r="G10" s="144"/>
      <c r="H10" s="26"/>
      <c r="I10" s="21"/>
      <c r="J10" s="21"/>
      <c r="O10" s="6" t="s">
        <v>11</v>
      </c>
      <c r="P10" s="6" t="s">
        <v>12</v>
      </c>
      <c r="Q10" s="9" t="s">
        <v>182</v>
      </c>
      <c r="R10" s="6" t="s">
        <v>11</v>
      </c>
      <c r="S10" s="6" t="s">
        <v>12</v>
      </c>
    </row>
    <row r="11" spans="1:19" x14ac:dyDescent="0.2">
      <c r="A11" s="125"/>
      <c r="B11" s="125"/>
      <c r="E11" s="125"/>
      <c r="F11" s="125"/>
      <c r="H11" s="24"/>
      <c r="I11" s="21"/>
      <c r="J11" s="21"/>
      <c r="O11" s="4"/>
      <c r="P11" s="4"/>
    </row>
    <row r="12" spans="1:19" x14ac:dyDescent="0.2">
      <c r="A12" s="146">
        <v>20</v>
      </c>
      <c r="B12" s="29">
        <v>107</v>
      </c>
      <c r="C12" s="25">
        <f>'3-Factor Composite'!G207+'3-Factor Composite'!H207</f>
        <v>0.10909999999999999</v>
      </c>
      <c r="D12" s="25"/>
      <c r="E12" s="29">
        <v>20</v>
      </c>
      <c r="F12" s="29">
        <v>107</v>
      </c>
      <c r="G12" s="147">
        <f>-SUM(G13:G14)</f>
        <v>-1</v>
      </c>
      <c r="H12" s="145"/>
      <c r="I12" s="21"/>
      <c r="J12" s="21"/>
      <c r="N12" s="41" t="s">
        <v>196</v>
      </c>
      <c r="O12" s="96">
        <f>'3-Factor Composite'!G198</f>
        <v>384369334.97000003</v>
      </c>
      <c r="P12" s="96">
        <f>'3-Factor Composite'!H198</f>
        <v>858046078.57000005</v>
      </c>
      <c r="Q12" s="181">
        <f>O12+P12</f>
        <v>1242415413.54</v>
      </c>
      <c r="R12" s="9">
        <f>O12/Q12</f>
        <v>0.30937263879785659</v>
      </c>
      <c r="S12" s="9">
        <f>P12/Q12</f>
        <v>0.69062736120214352</v>
      </c>
    </row>
    <row r="13" spans="1:19" x14ac:dyDescent="0.2">
      <c r="A13" s="148">
        <v>20</v>
      </c>
      <c r="B13" s="149">
        <v>107</v>
      </c>
      <c r="C13" s="26">
        <f>C12</f>
        <v>0.10909999999999999</v>
      </c>
      <c r="D13" s="26"/>
      <c r="E13" s="149">
        <v>20</v>
      </c>
      <c r="F13" s="149">
        <v>7</v>
      </c>
      <c r="G13" s="150">
        <f>R16</f>
        <v>0.2702739088555936</v>
      </c>
      <c r="H13" s="145"/>
      <c r="I13" s="27"/>
      <c r="J13" s="27">
        <f>'3-Factor Composite'!G207</f>
        <v>2.9399999999999999E-2</v>
      </c>
      <c r="N13" s="41" t="s">
        <v>197</v>
      </c>
      <c r="O13" s="96">
        <f>'3-Factor Composite'!G199</f>
        <v>73477</v>
      </c>
      <c r="P13" s="96">
        <f>'3-Factor Composite'!H199</f>
        <v>280594</v>
      </c>
      <c r="Q13" s="181">
        <f>O13+P13</f>
        <v>354071</v>
      </c>
      <c r="R13" s="9">
        <f>O13/Q13</f>
        <v>0.20752052554431175</v>
      </c>
      <c r="S13" s="9">
        <f>P13/Q13</f>
        <v>0.79247947445568823</v>
      </c>
    </row>
    <row r="14" spans="1:19" x14ac:dyDescent="0.2">
      <c r="A14" s="151">
        <v>20</v>
      </c>
      <c r="B14" s="152">
        <v>107</v>
      </c>
      <c r="C14" s="28">
        <f>C13</f>
        <v>0.10909999999999999</v>
      </c>
      <c r="D14" s="28"/>
      <c r="E14" s="152">
        <v>20</v>
      </c>
      <c r="F14" s="152">
        <v>77</v>
      </c>
      <c r="G14" s="153">
        <f>S16</f>
        <v>0.72972609114440645</v>
      </c>
      <c r="H14" s="145"/>
      <c r="I14" s="27"/>
      <c r="J14" s="27">
        <f>'3-Factor Composite'!H207</f>
        <v>7.9699999999999993E-2</v>
      </c>
      <c r="N14" s="41" t="s">
        <v>198</v>
      </c>
      <c r="O14" s="97">
        <f>'3-Factor Composite'!G200</f>
        <v>11437183.24</v>
      </c>
      <c r="P14" s="97">
        <f>'3-Factor Composite'!H200</f>
        <v>27474255.489999998</v>
      </c>
      <c r="Q14" s="181">
        <f>O14+P14</f>
        <v>38911438.729999997</v>
      </c>
      <c r="R14" s="9">
        <f>O14/Q14</f>
        <v>0.2939285622246125</v>
      </c>
      <c r="S14" s="9">
        <f>P14/Q14</f>
        <v>0.70607143777538761</v>
      </c>
    </row>
    <row r="15" spans="1:19" x14ac:dyDescent="0.2">
      <c r="A15" s="125"/>
      <c r="B15" s="125"/>
      <c r="E15" s="125"/>
      <c r="F15" s="125"/>
      <c r="H15" s="93"/>
      <c r="I15" s="27"/>
      <c r="J15" s="27"/>
    </row>
    <row r="16" spans="1:19" ht="13.5" thickBot="1" x14ac:dyDescent="0.25">
      <c r="A16" s="146">
        <v>30</v>
      </c>
      <c r="B16" s="29">
        <v>10</v>
      </c>
      <c r="C16" s="25">
        <f>'3-Factor Composite'!E207</f>
        <v>9.7800000000000109E-2</v>
      </c>
      <c r="D16" s="25"/>
      <c r="E16" s="29">
        <v>30</v>
      </c>
      <c r="F16" s="29">
        <v>10</v>
      </c>
      <c r="G16" s="147">
        <v>-1</v>
      </c>
      <c r="H16" s="145"/>
      <c r="I16" s="27"/>
      <c r="J16" s="27"/>
      <c r="O16" s="181"/>
      <c r="P16" s="181"/>
      <c r="R16" s="196">
        <f>AVERAGE(R12:R14)</f>
        <v>0.2702739088555936</v>
      </c>
      <c r="S16" s="196">
        <f>AVERAGE(S12:S14)</f>
        <v>0.72972609114440645</v>
      </c>
    </row>
    <row r="17" spans="1:10" ht="13.5" thickTop="1" x14ac:dyDescent="0.2">
      <c r="A17" s="148">
        <v>30</v>
      </c>
      <c r="B17" s="149">
        <v>10</v>
      </c>
      <c r="C17" s="26">
        <f>C16</f>
        <v>9.7800000000000109E-2</v>
      </c>
      <c r="D17" s="26"/>
      <c r="E17" s="149">
        <v>30</v>
      </c>
      <c r="F17" s="149">
        <v>1</v>
      </c>
      <c r="G17" s="150">
        <f>'West Texas FY21 new rollup'!M11</f>
        <v>0</v>
      </c>
      <c r="H17" s="145"/>
      <c r="I17" s="27"/>
      <c r="J17" s="27">
        <f t="shared" ref="J17:J18" si="0">ROUND(+C17*G17,8)</f>
        <v>0</v>
      </c>
    </row>
    <row r="18" spans="1:10" x14ac:dyDescent="0.2">
      <c r="A18" s="148">
        <v>30</v>
      </c>
      <c r="B18" s="149">
        <v>10</v>
      </c>
      <c r="C18" s="26">
        <f t="shared" ref="C18:C33" si="1">C17</f>
        <v>9.7800000000000109E-2</v>
      </c>
      <c r="D18" s="26"/>
      <c r="E18" s="149">
        <v>30</v>
      </c>
      <c r="F18" s="149">
        <v>3</v>
      </c>
      <c r="G18" s="150">
        <f>'West Texas FY21 new rollup'!M12</f>
        <v>0</v>
      </c>
      <c r="H18" s="145"/>
      <c r="I18" s="27"/>
      <c r="J18" s="27">
        <f t="shared" si="0"/>
        <v>0</v>
      </c>
    </row>
    <row r="19" spans="1:10" x14ac:dyDescent="0.2">
      <c r="A19" s="148">
        <v>30</v>
      </c>
      <c r="B19" s="149">
        <v>10</v>
      </c>
      <c r="C19" s="26">
        <f t="shared" si="1"/>
        <v>9.7800000000000109E-2</v>
      </c>
      <c r="D19" s="26"/>
      <c r="E19" s="149">
        <v>30</v>
      </c>
      <c r="F19" s="149">
        <v>4</v>
      </c>
      <c r="G19" s="150">
        <f>'West Texas FY21 new rollup'!M13</f>
        <v>0</v>
      </c>
      <c r="H19" s="145"/>
      <c r="I19" s="27"/>
      <c r="J19" s="27">
        <f>ROUND(+C19*G19,8)</f>
        <v>0</v>
      </c>
    </row>
    <row r="20" spans="1:10" x14ac:dyDescent="0.2">
      <c r="A20" s="148">
        <v>30</v>
      </c>
      <c r="B20" s="149">
        <v>10</v>
      </c>
      <c r="C20" s="26">
        <f t="shared" si="1"/>
        <v>9.7800000000000109E-2</v>
      </c>
      <c r="D20" s="26"/>
      <c r="E20" s="149">
        <v>30</v>
      </c>
      <c r="F20" s="149">
        <v>5</v>
      </c>
      <c r="G20" s="150">
        <f>'West Texas FY21 new rollup'!M14</f>
        <v>0.9659457245134857</v>
      </c>
      <c r="H20" s="145"/>
      <c r="I20" s="27"/>
      <c r="J20" s="27">
        <f>C16-SUM(J21:J33,J17:J19)</f>
        <v>9.4469490000000114E-2</v>
      </c>
    </row>
    <row r="21" spans="1:10" x14ac:dyDescent="0.2">
      <c r="A21" s="148">
        <v>30</v>
      </c>
      <c r="B21" s="149">
        <v>10</v>
      </c>
      <c r="C21" s="26">
        <f t="shared" si="1"/>
        <v>9.7800000000000109E-2</v>
      </c>
      <c r="D21" s="26"/>
      <c r="E21" s="149">
        <v>30</v>
      </c>
      <c r="F21" s="149">
        <v>6</v>
      </c>
      <c r="G21" s="150">
        <f>'West Texas FY21 new rollup'!M15</f>
        <v>0</v>
      </c>
      <c r="H21" s="145"/>
      <c r="I21" s="27"/>
      <c r="J21" s="27">
        <f t="shared" ref="J21:J33" si="2">ROUND(+C21*G21,8)</f>
        <v>0</v>
      </c>
    </row>
    <row r="22" spans="1:10" x14ac:dyDescent="0.2">
      <c r="A22" s="148">
        <v>30</v>
      </c>
      <c r="B22" s="149">
        <v>10</v>
      </c>
      <c r="C22" s="26">
        <f t="shared" si="1"/>
        <v>9.7800000000000109E-2</v>
      </c>
      <c r="D22" s="26"/>
      <c r="E22" s="149">
        <v>30</v>
      </c>
      <c r="F22" s="149">
        <v>8</v>
      </c>
      <c r="G22" s="150">
        <f>'West Texas FY21 new rollup'!M16</f>
        <v>1.6480364004878777E-4</v>
      </c>
      <c r="H22" s="145"/>
      <c r="I22" s="27"/>
      <c r="J22" s="27">
        <f t="shared" si="2"/>
        <v>1.6120000000000002E-5</v>
      </c>
    </row>
    <row r="23" spans="1:10" x14ac:dyDescent="0.2">
      <c r="A23" s="148">
        <v>30</v>
      </c>
      <c r="B23" s="149">
        <v>10</v>
      </c>
      <c r="C23" s="26">
        <f t="shared" si="1"/>
        <v>9.7800000000000109E-2</v>
      </c>
      <c r="D23" s="26"/>
      <c r="E23" s="149">
        <v>30</v>
      </c>
      <c r="F23" s="149">
        <v>11</v>
      </c>
      <c r="G23" s="150">
        <f>'West Texas FY21 new rollup'!M17</f>
        <v>0</v>
      </c>
      <c r="H23" s="145"/>
      <c r="I23" s="27"/>
      <c r="J23" s="27">
        <f t="shared" si="2"/>
        <v>0</v>
      </c>
    </row>
    <row r="24" spans="1:10" x14ac:dyDescent="0.2">
      <c r="A24" s="148">
        <v>30</v>
      </c>
      <c r="B24" s="149">
        <v>10</v>
      </c>
      <c r="C24" s="26">
        <f t="shared" si="1"/>
        <v>9.7800000000000109E-2</v>
      </c>
      <c r="D24" s="26"/>
      <c r="E24" s="149">
        <v>30</v>
      </c>
      <c r="F24" s="149">
        <v>13</v>
      </c>
      <c r="G24" s="150">
        <f>'West Texas FY21 new rollup'!M18</f>
        <v>0</v>
      </c>
      <c r="H24" s="145"/>
      <c r="I24" s="27"/>
      <c r="J24" s="27">
        <f t="shared" si="2"/>
        <v>0</v>
      </c>
    </row>
    <row r="25" spans="1:10" x14ac:dyDescent="0.2">
      <c r="A25" s="148">
        <v>30</v>
      </c>
      <c r="B25" s="149">
        <v>10</v>
      </c>
      <c r="C25" s="26">
        <f t="shared" si="1"/>
        <v>9.7800000000000109E-2</v>
      </c>
      <c r="D25" s="26"/>
      <c r="E25" s="149">
        <v>30</v>
      </c>
      <c r="F25" s="149">
        <v>14</v>
      </c>
      <c r="G25" s="150">
        <f>'West Texas FY21 new rollup'!M19</f>
        <v>0</v>
      </c>
      <c r="H25" s="145"/>
      <c r="I25" s="27"/>
      <c r="J25" s="27">
        <f t="shared" si="2"/>
        <v>0</v>
      </c>
    </row>
    <row r="26" spans="1:10" x14ac:dyDescent="0.2">
      <c r="A26" s="148">
        <v>30</v>
      </c>
      <c r="B26" s="149">
        <v>10</v>
      </c>
      <c r="C26" s="26">
        <f t="shared" si="1"/>
        <v>9.7800000000000109E-2</v>
      </c>
      <c r="D26" s="26"/>
      <c r="E26" s="149">
        <v>30</v>
      </c>
      <c r="F26" s="149">
        <v>15</v>
      </c>
      <c r="G26" s="150">
        <f>'West Texas FY21 new rollup'!M20</f>
        <v>0</v>
      </c>
      <c r="H26" s="145"/>
      <c r="I26" s="27"/>
      <c r="J26" s="27">
        <f t="shared" si="2"/>
        <v>0</v>
      </c>
    </row>
    <row r="27" spans="1:10" x14ac:dyDescent="0.2">
      <c r="A27" s="148">
        <v>30</v>
      </c>
      <c r="B27" s="149">
        <v>10</v>
      </c>
      <c r="C27" s="26">
        <f t="shared" si="1"/>
        <v>9.7800000000000109E-2</v>
      </c>
      <c r="D27" s="26"/>
      <c r="E27" s="149">
        <v>30</v>
      </c>
      <c r="F27" s="149">
        <v>16</v>
      </c>
      <c r="G27" s="150">
        <f>'West Texas FY21 new rollup'!M21</f>
        <v>0</v>
      </c>
      <c r="H27" s="145"/>
      <c r="I27" s="27"/>
      <c r="J27" s="27">
        <f t="shared" si="2"/>
        <v>0</v>
      </c>
    </row>
    <row r="28" spans="1:10" x14ac:dyDescent="0.2">
      <c r="A28" s="148">
        <v>30</v>
      </c>
      <c r="B28" s="149">
        <v>10</v>
      </c>
      <c r="C28" s="26">
        <f t="shared" si="1"/>
        <v>9.7800000000000109E-2</v>
      </c>
      <c r="D28" s="26"/>
      <c r="E28" s="149">
        <v>30</v>
      </c>
      <c r="F28" s="149">
        <v>17</v>
      </c>
      <c r="G28" s="150">
        <f>'West Texas FY21 new rollup'!M22</f>
        <v>0</v>
      </c>
      <c r="H28" s="145"/>
      <c r="I28" s="27"/>
      <c r="J28" s="27">
        <f t="shared" si="2"/>
        <v>0</v>
      </c>
    </row>
    <row r="29" spans="1:10" x14ac:dyDescent="0.2">
      <c r="A29" s="148">
        <v>30</v>
      </c>
      <c r="B29" s="149">
        <v>10</v>
      </c>
      <c r="C29" s="26">
        <f t="shared" si="1"/>
        <v>9.7800000000000109E-2</v>
      </c>
      <c r="D29" s="26"/>
      <c r="E29" s="149">
        <v>30</v>
      </c>
      <c r="F29" s="149">
        <v>18</v>
      </c>
      <c r="G29" s="150">
        <f>'West Texas FY21 new rollup'!M23</f>
        <v>0</v>
      </c>
      <c r="H29" s="145"/>
      <c r="I29" s="27"/>
      <c r="J29" s="27">
        <f t="shared" si="2"/>
        <v>0</v>
      </c>
    </row>
    <row r="30" spans="1:10" x14ac:dyDescent="0.2">
      <c r="A30" s="148">
        <v>30</v>
      </c>
      <c r="B30" s="149">
        <v>10</v>
      </c>
      <c r="C30" s="26">
        <f t="shared" si="1"/>
        <v>9.7800000000000109E-2</v>
      </c>
      <c r="D30" s="26"/>
      <c r="E30" s="149">
        <v>30</v>
      </c>
      <c r="F30" s="149">
        <v>19</v>
      </c>
      <c r="G30" s="150">
        <f>'West Texas FY21 new rollup'!M24</f>
        <v>3.3889471846465451E-2</v>
      </c>
      <c r="H30" s="154"/>
      <c r="I30" s="27"/>
      <c r="J30" s="27">
        <f t="shared" si="2"/>
        <v>3.31439E-3</v>
      </c>
    </row>
    <row r="31" spans="1:10" x14ac:dyDescent="0.2">
      <c r="A31" s="148">
        <v>30</v>
      </c>
      <c r="B31" s="149">
        <v>10</v>
      </c>
      <c r="C31" s="26">
        <f t="shared" si="1"/>
        <v>9.7800000000000109E-2</v>
      </c>
      <c r="D31" s="26"/>
      <c r="E31" s="149">
        <v>30</v>
      </c>
      <c r="F31" s="149">
        <v>20</v>
      </c>
      <c r="G31" s="150">
        <f>'West Texas FY21 new rollup'!M25</f>
        <v>0</v>
      </c>
      <c r="H31" s="154"/>
      <c r="I31" s="27"/>
      <c r="J31" s="27">
        <f t="shared" si="2"/>
        <v>0</v>
      </c>
    </row>
    <row r="32" spans="1:10" x14ac:dyDescent="0.2">
      <c r="A32" s="148">
        <v>30</v>
      </c>
      <c r="B32" s="149">
        <v>10</v>
      </c>
      <c r="C32" s="26">
        <f t="shared" si="1"/>
        <v>9.7800000000000109E-2</v>
      </c>
      <c r="D32" s="26"/>
      <c r="E32" s="149">
        <v>30</v>
      </c>
      <c r="F32" s="149">
        <v>21</v>
      </c>
      <c r="G32" s="150">
        <f>'West Texas FY21 new rollup'!M26</f>
        <v>0</v>
      </c>
      <c r="H32" s="145"/>
      <c r="I32" s="27"/>
      <c r="J32" s="27">
        <f t="shared" si="2"/>
        <v>0</v>
      </c>
    </row>
    <row r="33" spans="1:10" x14ac:dyDescent="0.2">
      <c r="A33" s="151">
        <v>30</v>
      </c>
      <c r="B33" s="152">
        <v>10</v>
      </c>
      <c r="C33" s="28">
        <f t="shared" si="1"/>
        <v>9.7800000000000109E-2</v>
      </c>
      <c r="D33" s="28"/>
      <c r="E33" s="152">
        <v>30</v>
      </c>
      <c r="F33" s="152">
        <v>40</v>
      </c>
      <c r="G33" s="153">
        <f>'West Texas FY21 new rollup'!M27</f>
        <v>0</v>
      </c>
      <c r="H33" s="145"/>
      <c r="I33" s="27"/>
      <c r="J33" s="27">
        <f t="shared" si="2"/>
        <v>0</v>
      </c>
    </row>
    <row r="34" spans="1:10" x14ac:dyDescent="0.2">
      <c r="A34" s="149"/>
      <c r="B34" s="149"/>
      <c r="C34" s="26"/>
      <c r="D34" s="26"/>
      <c r="E34" s="149"/>
      <c r="F34" s="149"/>
      <c r="G34" s="145"/>
      <c r="H34" s="145"/>
      <c r="I34" s="27"/>
      <c r="J34" s="27"/>
    </row>
    <row r="35" spans="1:10" x14ac:dyDescent="0.2">
      <c r="A35" s="146">
        <v>50</v>
      </c>
      <c r="B35" s="29">
        <v>91</v>
      </c>
      <c r="C35" s="25">
        <f>'3-Factor Composite'!I207</f>
        <v>0.1211</v>
      </c>
      <c r="D35" s="25"/>
      <c r="E35" s="155"/>
      <c r="F35" s="155"/>
      <c r="G35" s="147"/>
      <c r="H35" s="99"/>
      <c r="I35" s="27"/>
      <c r="J35" s="27"/>
    </row>
    <row r="36" spans="1:10" x14ac:dyDescent="0.2">
      <c r="A36" s="148">
        <v>50</v>
      </c>
      <c r="B36" s="149">
        <v>91</v>
      </c>
      <c r="C36" s="26">
        <f>C35</f>
        <v>0.1211</v>
      </c>
      <c r="D36" s="26"/>
      <c r="E36" s="99"/>
      <c r="F36" s="99"/>
      <c r="G36" s="150"/>
      <c r="H36" s="99"/>
      <c r="I36" s="27"/>
      <c r="J36" s="27"/>
    </row>
    <row r="37" spans="1:10" x14ac:dyDescent="0.2">
      <c r="A37" s="148">
        <v>50</v>
      </c>
      <c r="B37" s="149">
        <v>91</v>
      </c>
      <c r="C37" s="26">
        <f>C36</f>
        <v>0.1211</v>
      </c>
      <c r="D37" s="26"/>
      <c r="E37" s="149">
        <v>50</v>
      </c>
      <c r="F37" s="149">
        <v>91</v>
      </c>
      <c r="G37" s="150">
        <v>-1</v>
      </c>
      <c r="H37" s="145"/>
      <c r="I37" s="27"/>
      <c r="J37" s="27"/>
    </row>
    <row r="38" spans="1:10" x14ac:dyDescent="0.2">
      <c r="A38" s="148">
        <v>50</v>
      </c>
      <c r="B38" s="149">
        <v>91</v>
      </c>
      <c r="C38" s="26">
        <f t="shared" ref="C38:C40" si="3">C37</f>
        <v>0.1211</v>
      </c>
      <c r="D38" s="26"/>
      <c r="E38" s="149">
        <v>50</v>
      </c>
      <c r="F38" s="149">
        <v>9</v>
      </c>
      <c r="G38" s="150">
        <f>'Mid States FY21'!J10/100</f>
        <v>0.5042416656901676</v>
      </c>
      <c r="H38" s="145"/>
      <c r="I38" s="27"/>
      <c r="J38" s="27">
        <f>C38-SUM(J39:J40)</f>
        <v>6.106367E-2</v>
      </c>
    </row>
    <row r="39" spans="1:10" x14ac:dyDescent="0.2">
      <c r="A39" s="148">
        <v>50</v>
      </c>
      <c r="B39" s="149">
        <v>91</v>
      </c>
      <c r="C39" s="26">
        <f t="shared" si="3"/>
        <v>0.1211</v>
      </c>
      <c r="D39" s="26"/>
      <c r="E39" s="149">
        <v>50</v>
      </c>
      <c r="F39" s="149">
        <v>93</v>
      </c>
      <c r="G39" s="150">
        <f>'Mid States FY21'!J11/100</f>
        <v>0.41901595760064703</v>
      </c>
      <c r="H39" s="145"/>
      <c r="I39" s="27"/>
      <c r="J39" s="27">
        <f>ROUND(+C39*G39,8)</f>
        <v>5.0742830000000003E-2</v>
      </c>
    </row>
    <row r="40" spans="1:10" x14ac:dyDescent="0.2">
      <c r="A40" s="148">
        <v>50</v>
      </c>
      <c r="B40" s="149">
        <v>91</v>
      </c>
      <c r="C40" s="26">
        <f t="shared" si="3"/>
        <v>0.1211</v>
      </c>
      <c r="D40" s="26"/>
      <c r="E40" s="149">
        <v>50</v>
      </c>
      <c r="F40" s="149">
        <v>96</v>
      </c>
      <c r="G40" s="150">
        <f>'Mid States FY21'!J12/100</f>
        <v>7.6742376709185503E-2</v>
      </c>
      <c r="H40" s="145"/>
      <c r="I40" s="27"/>
      <c r="J40" s="27">
        <f t="shared" ref="J40" si="4">ROUND(+C40*G40,8)</f>
        <v>9.2934999999999997E-3</v>
      </c>
    </row>
    <row r="41" spans="1:10" x14ac:dyDescent="0.2">
      <c r="A41" s="125"/>
      <c r="B41" s="125"/>
      <c r="E41" s="125"/>
      <c r="F41" s="125"/>
      <c r="H41" s="93"/>
      <c r="I41" s="21"/>
      <c r="J41" s="21"/>
    </row>
    <row r="42" spans="1:10" x14ac:dyDescent="0.2">
      <c r="A42" s="146">
        <v>60</v>
      </c>
      <c r="B42" s="29">
        <v>30</v>
      </c>
      <c r="C42" s="25">
        <f>'3-Factor Composite'!F207</f>
        <v>7.7399999999999997E-2</v>
      </c>
      <c r="D42" s="25"/>
      <c r="E42" s="29">
        <v>60</v>
      </c>
      <c r="F42" s="29">
        <v>30</v>
      </c>
      <c r="G42" s="147">
        <v>-1</v>
      </c>
      <c r="H42" s="145"/>
      <c r="I42" s="21"/>
      <c r="J42" s="21"/>
    </row>
    <row r="43" spans="1:10" x14ac:dyDescent="0.2">
      <c r="A43" s="148">
        <v>60</v>
      </c>
      <c r="B43" s="149">
        <v>30</v>
      </c>
      <c r="C43" s="26">
        <f>C42</f>
        <v>7.7399999999999997E-2</v>
      </c>
      <c r="D43" s="26"/>
      <c r="E43" s="149">
        <v>60</v>
      </c>
      <c r="F43" s="149">
        <v>31</v>
      </c>
      <c r="G43" s="150">
        <f>'CO KS FY21'!J11</f>
        <v>0.44368969596206154</v>
      </c>
      <c r="H43" s="145"/>
      <c r="I43" s="27"/>
      <c r="J43" s="27">
        <f>ROUND(+C43*G43,8)</f>
        <v>3.4341579999999997E-2</v>
      </c>
    </row>
    <row r="44" spans="1:10" x14ac:dyDescent="0.2">
      <c r="A44" s="151">
        <v>60</v>
      </c>
      <c r="B44" s="152">
        <v>30</v>
      </c>
      <c r="C44" s="28">
        <f>C43</f>
        <v>7.7399999999999997E-2</v>
      </c>
      <c r="D44" s="28"/>
      <c r="E44" s="152">
        <v>60</v>
      </c>
      <c r="F44" s="152">
        <v>81</v>
      </c>
      <c r="G44" s="153">
        <f>'CO KS FY21'!J12</f>
        <v>0.55631030403793846</v>
      </c>
      <c r="H44" s="145"/>
      <c r="I44" s="27"/>
      <c r="J44" s="27">
        <f>C42-SUM(J43:J43)</f>
        <v>4.305842E-2</v>
      </c>
    </row>
    <row r="45" spans="1:10" x14ac:dyDescent="0.2">
      <c r="A45" s="125"/>
      <c r="B45" s="125"/>
      <c r="E45" s="125"/>
      <c r="F45" s="125"/>
      <c r="H45" s="93"/>
      <c r="I45" s="21"/>
      <c r="J45" s="21"/>
    </row>
    <row r="46" spans="1:10" x14ac:dyDescent="0.2">
      <c r="A46" s="142">
        <v>70</v>
      </c>
      <c r="B46" s="143">
        <v>170</v>
      </c>
      <c r="C46" s="25">
        <f>'3-Factor Composite'!J207</f>
        <v>8.6800000000000002E-2</v>
      </c>
      <c r="D46" s="30"/>
      <c r="E46" s="143"/>
      <c r="F46" s="143">
        <v>170</v>
      </c>
      <c r="G46" s="144"/>
      <c r="H46" s="145"/>
      <c r="I46" s="27"/>
      <c r="J46" s="27">
        <f>ROUND(+C46,8)</f>
        <v>8.6800000000000002E-2</v>
      </c>
    </row>
    <row r="47" spans="1:10" x14ac:dyDescent="0.2">
      <c r="A47" s="125"/>
      <c r="B47" s="125"/>
      <c r="E47" s="125"/>
      <c r="F47" s="125"/>
      <c r="H47" s="93"/>
      <c r="I47" s="21"/>
      <c r="J47" s="21"/>
    </row>
    <row r="48" spans="1:10" x14ac:dyDescent="0.2">
      <c r="A48" s="142">
        <v>80</v>
      </c>
      <c r="B48" s="143">
        <v>190</v>
      </c>
      <c r="C48" s="25">
        <f>'3-Factor Composite'!K207</f>
        <v>0.50339999999999996</v>
      </c>
      <c r="D48" s="30"/>
      <c r="E48" s="143"/>
      <c r="F48" s="143">
        <v>190</v>
      </c>
      <c r="G48" s="144"/>
      <c r="H48" s="93"/>
      <c r="I48" s="27"/>
      <c r="J48" s="27">
        <f>1-SUM(J13:J46,J52:J60)</f>
        <v>0.50339999999999996</v>
      </c>
    </row>
    <row r="49" spans="1:10" x14ac:dyDescent="0.2">
      <c r="A49" s="125"/>
      <c r="B49" s="125"/>
      <c r="E49" s="125"/>
      <c r="F49" s="125"/>
      <c r="H49" s="156"/>
      <c r="I49" s="21"/>
      <c r="J49" s="21"/>
    </row>
    <row r="50" spans="1:10" s="207" customFormat="1" x14ac:dyDescent="0.2">
      <c r="A50" s="201">
        <v>180</v>
      </c>
      <c r="B50" s="202">
        <v>700</v>
      </c>
      <c r="C50" s="203"/>
      <c r="D50" s="203"/>
      <c r="E50" s="202"/>
      <c r="F50" s="202">
        <v>700</v>
      </c>
      <c r="G50" s="204"/>
      <c r="H50" s="205"/>
      <c r="I50" s="206"/>
      <c r="J50" s="206">
        <f>ROUND(+C50,8)</f>
        <v>0</v>
      </c>
    </row>
    <row r="51" spans="1:10" x14ac:dyDescent="0.2">
      <c r="A51" s="125"/>
      <c r="B51" s="125"/>
      <c r="E51" s="125"/>
      <c r="F51" s="125"/>
    </row>
    <row r="52" spans="1:10" x14ac:dyDescent="0.2">
      <c r="A52" s="246">
        <v>220</v>
      </c>
      <c r="B52" s="143">
        <v>61</v>
      </c>
      <c r="C52" s="25">
        <f>'3-Factor Composite'!M207</f>
        <v>1E-3</v>
      </c>
      <c r="D52" s="30"/>
      <c r="E52" s="143"/>
      <c r="F52" s="143">
        <v>61</v>
      </c>
      <c r="G52" s="144"/>
      <c r="J52" s="27">
        <f>ROUND(+C52,8)</f>
        <v>1E-3</v>
      </c>
    </row>
    <row r="53" spans="1:10" x14ac:dyDescent="0.2">
      <c r="A53" s="125"/>
      <c r="B53" s="125"/>
      <c r="E53" s="125"/>
      <c r="F53" s="125"/>
    </row>
    <row r="54" spans="1:10" x14ac:dyDescent="0.2">
      <c r="A54" s="246">
        <v>232</v>
      </c>
      <c r="B54" s="143">
        <v>800</v>
      </c>
      <c r="C54" s="25">
        <f>'3-Factor Composite'!N207</f>
        <v>5.0000000000000001E-4</v>
      </c>
      <c r="D54" s="30"/>
      <c r="E54" s="143"/>
      <c r="F54" s="143">
        <v>800</v>
      </c>
      <c r="G54" s="144"/>
      <c r="J54" s="27">
        <f>ROUND(+C54,8)</f>
        <v>5.0000000000000001E-4</v>
      </c>
    </row>
    <row r="55" spans="1:10" x14ac:dyDescent="0.2">
      <c r="A55" s="125"/>
      <c r="B55" s="125"/>
      <c r="E55" s="125"/>
      <c r="F55" s="125"/>
    </row>
    <row r="56" spans="1:10" x14ac:dyDescent="0.2">
      <c r="A56" s="246">
        <v>233</v>
      </c>
      <c r="B56" s="143">
        <v>817</v>
      </c>
      <c r="C56" s="25">
        <f>'3-Factor Composite'!O207</f>
        <v>5.9999999999999995E-4</v>
      </c>
      <c r="D56" s="30"/>
      <c r="E56" s="143"/>
      <c r="F56" s="143">
        <v>817</v>
      </c>
      <c r="G56" s="144"/>
      <c r="J56" s="27">
        <f>ROUND(+C56,8)</f>
        <v>5.9999999999999995E-4</v>
      </c>
    </row>
    <row r="57" spans="1:10" x14ac:dyDescent="0.2">
      <c r="A57" s="125"/>
      <c r="B57" s="125"/>
      <c r="E57" s="125"/>
      <c r="F57" s="125"/>
    </row>
    <row r="58" spans="1:10" x14ac:dyDescent="0.2">
      <c r="A58" s="246">
        <v>303</v>
      </c>
      <c r="B58" s="143">
        <v>57</v>
      </c>
      <c r="C58" s="25">
        <f>'3-Factor Composite'!P207</f>
        <v>2.2000000000000001E-3</v>
      </c>
      <c r="D58" s="30"/>
      <c r="E58" s="143"/>
      <c r="F58" s="143">
        <v>57</v>
      </c>
      <c r="G58" s="144"/>
      <c r="J58" s="27">
        <f>ROUND(+C58,8)</f>
        <v>2.2000000000000001E-3</v>
      </c>
    </row>
    <row r="59" spans="1:10" x14ac:dyDescent="0.2">
      <c r="A59" s="149"/>
      <c r="B59" s="149"/>
      <c r="C59" s="26"/>
      <c r="D59" s="26"/>
      <c r="E59" s="149"/>
      <c r="F59" s="149"/>
      <c r="G59" s="145"/>
      <c r="J59" s="27"/>
    </row>
    <row r="60" spans="1:10" x14ac:dyDescent="0.2">
      <c r="A60" s="246">
        <v>312</v>
      </c>
      <c r="B60" s="143">
        <v>820</v>
      </c>
      <c r="C60" s="25">
        <f>+'3-Factor Composite'!Q207</f>
        <v>1E-4</v>
      </c>
      <c r="D60" s="30"/>
      <c r="E60" s="143"/>
      <c r="F60" s="143">
        <v>820</v>
      </c>
      <c r="G60" s="144"/>
      <c r="J60" s="27">
        <f t="shared" ref="J60" si="5">ROUND(+C60,8)</f>
        <v>1E-4</v>
      </c>
    </row>
    <row r="61" spans="1:10" x14ac:dyDescent="0.2">
      <c r="B61" s="125"/>
      <c r="E61" s="125"/>
      <c r="F61" s="125"/>
    </row>
    <row r="62" spans="1:10" x14ac:dyDescent="0.2">
      <c r="A62" s="41"/>
      <c r="B62" s="125"/>
      <c r="E62" s="125"/>
      <c r="F62" s="125"/>
      <c r="I62" s="31"/>
      <c r="J62" s="31"/>
    </row>
    <row r="63" spans="1:10" x14ac:dyDescent="0.2">
      <c r="A63" s="41" t="s">
        <v>1</v>
      </c>
      <c r="B63" s="125"/>
      <c r="C63" s="216">
        <f>C60+C58+C56+C54+C52+C48+C46+C44+C40+C33+C14</f>
        <v>1</v>
      </c>
      <c r="E63" s="125"/>
      <c r="F63" s="125"/>
      <c r="J63" s="31">
        <f>SUM(J13:J60)</f>
        <v>1</v>
      </c>
    </row>
    <row r="64" spans="1:10" x14ac:dyDescent="0.2">
      <c r="B64" s="125"/>
      <c r="E64" s="125"/>
      <c r="F64" s="125"/>
    </row>
    <row r="65" spans="2:6" x14ac:dyDescent="0.2">
      <c r="B65" s="125"/>
      <c r="E65" s="125"/>
      <c r="F65" s="125"/>
    </row>
  </sheetData>
  <printOptions horizontalCentered="1"/>
  <pageMargins left="0.25" right="0.25" top="0.25" bottom="0.75" header="0.3" footer="0.3"/>
  <pageSetup scale="67" orientation="landscape" r:id="rId1"/>
  <headerFooter alignWithMargins="0">
    <oddFooter>&amp;C&amp;Z&amp;F
&amp;A</oddFooter>
  </headerFooter>
  <rowBreaks count="1" manualBreakCount="1">
    <brk id="6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4">
    <tabColor rgb="FF00B0F0"/>
    <pageSetUpPr fitToPage="1"/>
  </sheetPr>
  <dimension ref="A1:R49"/>
  <sheetViews>
    <sheetView zoomScaleNormal="100" workbookViewId="0">
      <selection activeCell="S11" sqref="S11"/>
    </sheetView>
  </sheetViews>
  <sheetFormatPr defaultColWidth="9.140625" defaultRowHeight="12.75" x14ac:dyDescent="0.2"/>
  <cols>
    <col min="1" max="1" width="9.85546875" style="9" bestFit="1" customWidth="1"/>
    <col min="2" max="2" width="8.42578125" style="9" bestFit="1" customWidth="1"/>
    <col min="3" max="3" width="10.42578125" style="24" bestFit="1" customWidth="1"/>
    <col min="4" max="4" width="2.7109375" style="24" customWidth="1"/>
    <col min="5" max="5" width="9.85546875" style="9" bestFit="1" customWidth="1"/>
    <col min="6" max="6" width="8.42578125" style="9" bestFit="1" customWidth="1"/>
    <col min="7" max="7" width="15.42578125" style="93" bestFit="1" customWidth="1"/>
    <col min="8" max="8" width="2.7109375" style="9" customWidth="1"/>
    <col min="9" max="9" width="1.85546875" style="19" customWidth="1"/>
    <col min="10" max="10" width="14.140625" style="19" customWidth="1"/>
    <col min="11" max="11" width="2.7109375" style="9" customWidth="1"/>
    <col min="12" max="12" width="10.28515625" style="9" bestFit="1" customWidth="1"/>
    <col min="13" max="14" width="11.28515625" style="9" bestFit="1" customWidth="1"/>
    <col min="15" max="15" width="9.140625" style="9"/>
    <col min="16" max="16" width="12.85546875" style="9" bestFit="1" customWidth="1"/>
    <col min="17" max="18" width="11.28515625" style="9" bestFit="1" customWidth="1"/>
    <col min="19" max="16384" width="9.140625" style="9"/>
  </cols>
  <sheetData>
    <row r="1" spans="1:18" x14ac:dyDescent="0.2">
      <c r="A1" s="59" t="s">
        <v>17</v>
      </c>
      <c r="B1" s="59"/>
      <c r="C1" s="91"/>
      <c r="D1" s="91"/>
      <c r="E1" s="59"/>
      <c r="F1" s="59"/>
      <c r="J1" s="35"/>
    </row>
    <row r="2" spans="1:18" x14ac:dyDescent="0.2">
      <c r="A2" s="59" t="s">
        <v>18</v>
      </c>
      <c r="B2" s="59"/>
      <c r="C2" s="91"/>
      <c r="D2" s="91"/>
      <c r="E2" s="59"/>
      <c r="F2" s="59"/>
    </row>
    <row r="3" spans="1:18" x14ac:dyDescent="0.2">
      <c r="A3" s="59" t="s">
        <v>225</v>
      </c>
      <c r="B3" s="59"/>
      <c r="C3" s="91"/>
      <c r="D3" s="91"/>
      <c r="E3" s="59"/>
      <c r="F3" s="59"/>
    </row>
    <row r="4" spans="1:18" x14ac:dyDescent="0.2">
      <c r="A4" s="41" t="s">
        <v>212</v>
      </c>
    </row>
    <row r="5" spans="1:18" ht="15.75" x14ac:dyDescent="0.25">
      <c r="J5" s="200" t="s">
        <v>27</v>
      </c>
    </row>
    <row r="6" spans="1:18" x14ac:dyDescent="0.2">
      <c r="A6" s="130" t="s">
        <v>19</v>
      </c>
      <c r="B6" s="131"/>
      <c r="C6" s="132"/>
      <c r="D6" s="91"/>
      <c r="E6" s="130" t="s">
        <v>20</v>
      </c>
      <c r="F6" s="131"/>
      <c r="G6" s="133"/>
      <c r="H6" s="134" t="s">
        <v>21</v>
      </c>
      <c r="I6" s="20"/>
      <c r="J6" s="20"/>
    </row>
    <row r="7" spans="1:18" x14ac:dyDescent="0.2">
      <c r="I7" s="21"/>
      <c r="J7" s="21"/>
    </row>
    <row r="8" spans="1:18" ht="25.5" x14ac:dyDescent="0.2">
      <c r="A8" s="135" t="s">
        <v>22</v>
      </c>
      <c r="B8" s="136" t="s">
        <v>23</v>
      </c>
      <c r="C8" s="137" t="s">
        <v>24</v>
      </c>
      <c r="D8" s="137"/>
      <c r="E8" s="135" t="s">
        <v>22</v>
      </c>
      <c r="F8" s="136" t="s">
        <v>23</v>
      </c>
      <c r="G8" s="138" t="s">
        <v>24</v>
      </c>
      <c r="H8" s="137"/>
      <c r="I8" s="22"/>
      <c r="J8" s="22" t="s">
        <v>216</v>
      </c>
    </row>
    <row r="9" spans="1:18" x14ac:dyDescent="0.2">
      <c r="A9" s="56"/>
      <c r="B9" s="139"/>
      <c r="C9" s="140"/>
      <c r="D9" s="140"/>
      <c r="E9" s="56"/>
      <c r="F9" s="139"/>
      <c r="G9" s="141"/>
      <c r="H9" s="140"/>
      <c r="I9" s="23"/>
      <c r="J9" s="23"/>
      <c r="P9" s="197" t="s">
        <v>183</v>
      </c>
      <c r="Q9" s="198"/>
      <c r="R9" s="199"/>
    </row>
    <row r="10" spans="1:18" x14ac:dyDescent="0.2">
      <c r="A10" s="142">
        <v>10</v>
      </c>
      <c r="B10" s="143">
        <v>12</v>
      </c>
      <c r="C10" s="30">
        <v>-1</v>
      </c>
      <c r="D10" s="30"/>
      <c r="E10" s="143"/>
      <c r="F10" s="143">
        <v>12</v>
      </c>
      <c r="G10" s="144"/>
      <c r="H10" s="26"/>
      <c r="I10" s="21"/>
      <c r="J10" s="21"/>
      <c r="P10" s="41" t="s">
        <v>205</v>
      </c>
      <c r="Q10" s="41" t="s">
        <v>206</v>
      </c>
      <c r="R10" s="9" t="s">
        <v>1</v>
      </c>
    </row>
    <row r="11" spans="1:18" x14ac:dyDescent="0.2">
      <c r="A11" s="125"/>
      <c r="B11" s="125"/>
      <c r="E11" s="125"/>
      <c r="F11" s="125"/>
      <c r="H11" s="24"/>
      <c r="I11" s="21"/>
      <c r="J11" s="21"/>
      <c r="P11" s="114">
        <f>'3-Factor Composite'!G25</f>
        <v>73477</v>
      </c>
      <c r="Q11" s="114">
        <f>'3-Factor Composite'!H25</f>
        <v>280594</v>
      </c>
      <c r="R11" s="181">
        <f>P11+Q11</f>
        <v>354071</v>
      </c>
    </row>
    <row r="12" spans="1:18" x14ac:dyDescent="0.2">
      <c r="A12" s="146">
        <v>20</v>
      </c>
      <c r="B12" s="29">
        <v>107</v>
      </c>
      <c r="C12" s="25">
        <f>'3-Factor Composite'!G30+'3-Factor Composite'!H30</f>
        <v>0.11</v>
      </c>
      <c r="D12" s="25"/>
      <c r="E12" s="29">
        <v>20</v>
      </c>
      <c r="F12" s="29">
        <v>107</v>
      </c>
      <c r="G12" s="147">
        <f>-SUM(G13:G14)</f>
        <v>-1</v>
      </c>
      <c r="H12" s="145"/>
      <c r="I12" s="21"/>
      <c r="J12" s="21"/>
      <c r="P12" s="195">
        <f>P11/R11</f>
        <v>0.20752052554431175</v>
      </c>
      <c r="Q12" s="195">
        <f>Q11/R11</f>
        <v>0.79247947445568823</v>
      </c>
    </row>
    <row r="13" spans="1:18" x14ac:dyDescent="0.2">
      <c r="A13" s="148">
        <v>20</v>
      </c>
      <c r="B13" s="149">
        <v>107</v>
      </c>
      <c r="C13" s="26">
        <f>C12</f>
        <v>0.11</v>
      </c>
      <c r="D13" s="26"/>
      <c r="E13" s="149">
        <v>20</v>
      </c>
      <c r="F13" s="149">
        <v>7</v>
      </c>
      <c r="G13" s="150">
        <f>P12</f>
        <v>0.20752052554431175</v>
      </c>
      <c r="H13" s="145"/>
      <c r="I13" s="27"/>
      <c r="J13" s="27">
        <f>'3-Factor Composite'!G30</f>
        <v>2.2800000000000001E-2</v>
      </c>
    </row>
    <row r="14" spans="1:18" x14ac:dyDescent="0.2">
      <c r="A14" s="151">
        <v>20</v>
      </c>
      <c r="B14" s="152">
        <v>107</v>
      </c>
      <c r="C14" s="28">
        <f>C13</f>
        <v>0.11</v>
      </c>
      <c r="D14" s="28"/>
      <c r="E14" s="152">
        <v>20</v>
      </c>
      <c r="F14" s="152">
        <v>77</v>
      </c>
      <c r="G14" s="153">
        <f>Q12</f>
        <v>0.79247947445568823</v>
      </c>
      <c r="H14" s="145"/>
      <c r="I14" s="27"/>
      <c r="J14" s="27">
        <f>'3-Factor Composite'!H30</f>
        <v>8.72E-2</v>
      </c>
    </row>
    <row r="15" spans="1:18" x14ac:dyDescent="0.2">
      <c r="A15" s="125"/>
      <c r="B15" s="125"/>
      <c r="E15" s="125"/>
      <c r="F15" s="125"/>
      <c r="H15" s="93"/>
      <c r="I15" s="27"/>
      <c r="J15" s="27"/>
    </row>
    <row r="16" spans="1:18" x14ac:dyDescent="0.2">
      <c r="A16" s="146">
        <v>30</v>
      </c>
      <c r="B16" s="29">
        <v>10</v>
      </c>
      <c r="C16" s="25">
        <f>+'3-Factor Composite'!E30</f>
        <v>9.5599999999999907E-2</v>
      </c>
      <c r="D16" s="25"/>
      <c r="E16" s="29">
        <v>30</v>
      </c>
      <c r="F16" s="29">
        <v>10</v>
      </c>
      <c r="G16" s="147">
        <v>-1</v>
      </c>
      <c r="H16" s="145"/>
      <c r="I16" s="27"/>
      <c r="J16" s="27"/>
    </row>
    <row r="17" spans="1:10" x14ac:dyDescent="0.2">
      <c r="A17" s="148">
        <v>30</v>
      </c>
      <c r="B17" s="149">
        <v>10</v>
      </c>
      <c r="C17" s="26">
        <f t="shared" ref="C17:C33" si="0">C16</f>
        <v>9.5599999999999907E-2</v>
      </c>
      <c r="D17" s="26"/>
      <c r="E17" s="149">
        <v>30</v>
      </c>
      <c r="F17" s="149">
        <v>1</v>
      </c>
      <c r="G17" s="150">
        <f>'West Texas FY21 new rollup'!K11</f>
        <v>0</v>
      </c>
      <c r="H17" s="145"/>
      <c r="I17" s="27"/>
      <c r="J17" s="27">
        <f>ROUND(+C17*G17,8)</f>
        <v>0</v>
      </c>
    </row>
    <row r="18" spans="1:10" x14ac:dyDescent="0.2">
      <c r="A18" s="148">
        <v>30</v>
      </c>
      <c r="B18" s="149">
        <v>10</v>
      </c>
      <c r="C18" s="26">
        <f t="shared" si="0"/>
        <v>9.5599999999999907E-2</v>
      </c>
      <c r="D18" s="26"/>
      <c r="E18" s="149">
        <v>30</v>
      </c>
      <c r="F18" s="149">
        <v>3</v>
      </c>
      <c r="G18" s="150">
        <f>'West Texas FY21 new rollup'!K12</f>
        <v>0</v>
      </c>
      <c r="H18" s="145"/>
      <c r="I18" s="27"/>
      <c r="J18" s="27">
        <f>C16-SUM(J17+J19+J20+J21+J22+J23+J24+J25+J26+J27+J28+J29+J30+J31+J32+J33)</f>
        <v>0</v>
      </c>
    </row>
    <row r="19" spans="1:10" x14ac:dyDescent="0.2">
      <c r="A19" s="148">
        <v>30</v>
      </c>
      <c r="B19" s="149">
        <v>10</v>
      </c>
      <c r="C19" s="26">
        <f t="shared" si="0"/>
        <v>9.5599999999999907E-2</v>
      </c>
      <c r="D19" s="26"/>
      <c r="E19" s="149">
        <v>30</v>
      </c>
      <c r="F19" s="149">
        <v>4</v>
      </c>
      <c r="G19" s="150">
        <f>'West Texas FY21 new rollup'!K13</f>
        <v>0</v>
      </c>
      <c r="H19" s="145"/>
      <c r="I19" s="27"/>
      <c r="J19" s="27">
        <f t="shared" ref="J19:J33" si="1">ROUND(+C19*G19,8)</f>
        <v>0</v>
      </c>
    </row>
    <row r="20" spans="1:10" x14ac:dyDescent="0.2">
      <c r="A20" s="148">
        <v>30</v>
      </c>
      <c r="B20" s="149">
        <v>10</v>
      </c>
      <c r="C20" s="26">
        <f t="shared" si="0"/>
        <v>9.5599999999999907E-2</v>
      </c>
      <c r="D20" s="26"/>
      <c r="E20" s="149">
        <v>30</v>
      </c>
      <c r="F20" s="149">
        <v>5</v>
      </c>
      <c r="G20" s="150">
        <f>'West Texas FY21 new rollup'!K14</f>
        <v>0.99911541263398895</v>
      </c>
      <c r="H20" s="145"/>
      <c r="I20" s="27"/>
      <c r="J20" s="27">
        <f t="shared" si="1"/>
        <v>9.5515429999999998E-2</v>
      </c>
    </row>
    <row r="21" spans="1:10" x14ac:dyDescent="0.2">
      <c r="A21" s="148">
        <v>30</v>
      </c>
      <c r="B21" s="149">
        <v>10</v>
      </c>
      <c r="C21" s="26">
        <f t="shared" si="0"/>
        <v>9.5599999999999907E-2</v>
      </c>
      <c r="D21" s="26"/>
      <c r="E21" s="149">
        <v>30</v>
      </c>
      <c r="F21" s="149">
        <v>6</v>
      </c>
      <c r="G21" s="150">
        <f>'West Texas FY21 new rollup'!K15</f>
        <v>0</v>
      </c>
      <c r="H21" s="145"/>
      <c r="I21" s="27"/>
      <c r="J21" s="27">
        <f t="shared" si="1"/>
        <v>0</v>
      </c>
    </row>
    <row r="22" spans="1:10" x14ac:dyDescent="0.2">
      <c r="A22" s="148">
        <v>30</v>
      </c>
      <c r="B22" s="157">
        <v>10</v>
      </c>
      <c r="C22" s="26">
        <f>C21</f>
        <v>9.5599999999999907E-2</v>
      </c>
      <c r="D22" s="26"/>
      <c r="E22" s="149">
        <v>30</v>
      </c>
      <c r="F22" s="149">
        <v>8</v>
      </c>
      <c r="G22" s="150">
        <f>'West Texas FY21 new rollup'!K16</f>
        <v>2.5041627640753461E-4</v>
      </c>
      <c r="H22" s="145"/>
      <c r="I22" s="27"/>
      <c r="J22" s="27">
        <f t="shared" si="1"/>
        <v>2.3940000000000001E-5</v>
      </c>
    </row>
    <row r="23" spans="1:10" x14ac:dyDescent="0.2">
      <c r="A23" s="148">
        <v>30</v>
      </c>
      <c r="B23" s="149">
        <v>10</v>
      </c>
      <c r="C23" s="26">
        <f>C21</f>
        <v>9.5599999999999907E-2</v>
      </c>
      <c r="D23" s="26"/>
      <c r="E23" s="149">
        <v>30</v>
      </c>
      <c r="F23" s="149">
        <v>11</v>
      </c>
      <c r="G23" s="150">
        <f>'West Texas FY21 new rollup'!K17</f>
        <v>0</v>
      </c>
      <c r="H23" s="145"/>
      <c r="I23" s="27"/>
      <c r="J23" s="27">
        <f t="shared" si="1"/>
        <v>0</v>
      </c>
    </row>
    <row r="24" spans="1:10" x14ac:dyDescent="0.2">
      <c r="A24" s="148">
        <v>30</v>
      </c>
      <c r="B24" s="149">
        <v>10</v>
      </c>
      <c r="C24" s="26">
        <f t="shared" si="0"/>
        <v>9.5599999999999907E-2</v>
      </c>
      <c r="D24" s="26"/>
      <c r="E24" s="149">
        <v>30</v>
      </c>
      <c r="F24" s="149">
        <v>13</v>
      </c>
      <c r="G24" s="150">
        <f>'West Texas FY21 new rollup'!K18</f>
        <v>0</v>
      </c>
      <c r="H24" s="145"/>
      <c r="I24" s="27"/>
      <c r="J24" s="27">
        <f t="shared" si="1"/>
        <v>0</v>
      </c>
    </row>
    <row r="25" spans="1:10" x14ac:dyDescent="0.2">
      <c r="A25" s="148">
        <v>30</v>
      </c>
      <c r="B25" s="149">
        <v>10</v>
      </c>
      <c r="C25" s="26">
        <f t="shared" si="0"/>
        <v>9.5599999999999907E-2</v>
      </c>
      <c r="D25" s="26"/>
      <c r="E25" s="149">
        <v>30</v>
      </c>
      <c r="F25" s="149">
        <v>14</v>
      </c>
      <c r="G25" s="150">
        <f>'West Texas FY21 new rollup'!K19</f>
        <v>0</v>
      </c>
      <c r="H25" s="145"/>
      <c r="I25" s="27"/>
      <c r="J25" s="27">
        <f t="shared" si="1"/>
        <v>0</v>
      </c>
    </row>
    <row r="26" spans="1:10" x14ac:dyDescent="0.2">
      <c r="A26" s="148">
        <v>30</v>
      </c>
      <c r="B26" s="149">
        <v>10</v>
      </c>
      <c r="C26" s="26">
        <f t="shared" si="0"/>
        <v>9.5599999999999907E-2</v>
      </c>
      <c r="D26" s="26"/>
      <c r="E26" s="149">
        <v>30</v>
      </c>
      <c r="F26" s="149">
        <v>15</v>
      </c>
      <c r="G26" s="150">
        <f>'West Texas FY21 new rollup'!K20</f>
        <v>0</v>
      </c>
      <c r="H26" s="145"/>
      <c r="I26" s="27"/>
      <c r="J26" s="27">
        <f t="shared" si="1"/>
        <v>0</v>
      </c>
    </row>
    <row r="27" spans="1:10" x14ac:dyDescent="0.2">
      <c r="A27" s="148">
        <v>30</v>
      </c>
      <c r="B27" s="149">
        <v>10</v>
      </c>
      <c r="C27" s="26">
        <f t="shared" si="0"/>
        <v>9.5599999999999907E-2</v>
      </c>
      <c r="D27" s="26"/>
      <c r="E27" s="149">
        <v>30</v>
      </c>
      <c r="F27" s="149">
        <v>16</v>
      </c>
      <c r="G27" s="150">
        <f>'West Texas FY21 new rollup'!K21</f>
        <v>0</v>
      </c>
      <c r="H27" s="145"/>
      <c r="I27" s="27"/>
      <c r="J27" s="27">
        <f t="shared" si="1"/>
        <v>0</v>
      </c>
    </row>
    <row r="28" spans="1:10" x14ac:dyDescent="0.2">
      <c r="A28" s="148">
        <v>30</v>
      </c>
      <c r="B28" s="149">
        <v>10</v>
      </c>
      <c r="C28" s="26">
        <f t="shared" si="0"/>
        <v>9.5599999999999907E-2</v>
      </c>
      <c r="D28" s="26"/>
      <c r="E28" s="149">
        <v>30</v>
      </c>
      <c r="F28" s="149">
        <v>17</v>
      </c>
      <c r="G28" s="150">
        <f>'West Texas FY21 new rollup'!K22</f>
        <v>0</v>
      </c>
      <c r="H28" s="145"/>
      <c r="I28" s="27"/>
      <c r="J28" s="27">
        <f t="shared" si="1"/>
        <v>0</v>
      </c>
    </row>
    <row r="29" spans="1:10" x14ac:dyDescent="0.2">
      <c r="A29" s="148">
        <v>30</v>
      </c>
      <c r="B29" s="149">
        <v>10</v>
      </c>
      <c r="C29" s="26">
        <f t="shared" si="0"/>
        <v>9.5599999999999907E-2</v>
      </c>
      <c r="D29" s="26"/>
      <c r="E29" s="149">
        <v>30</v>
      </c>
      <c r="F29" s="149">
        <v>18</v>
      </c>
      <c r="G29" s="150">
        <f>'West Texas FY21 new rollup'!K23</f>
        <v>0</v>
      </c>
      <c r="H29" s="145"/>
      <c r="I29" s="27"/>
      <c r="J29" s="27">
        <f t="shared" si="1"/>
        <v>0</v>
      </c>
    </row>
    <row r="30" spans="1:10" x14ac:dyDescent="0.2">
      <c r="A30" s="148">
        <v>30</v>
      </c>
      <c r="B30" s="149">
        <v>10</v>
      </c>
      <c r="C30" s="26">
        <f t="shared" si="0"/>
        <v>9.5599999999999907E-2</v>
      </c>
      <c r="D30" s="26"/>
      <c r="E30" s="149">
        <v>30</v>
      </c>
      <c r="F30" s="149">
        <v>19</v>
      </c>
      <c r="G30" s="150">
        <f>'West Texas FY21 new rollup'!K24</f>
        <v>6.3417108960349671E-4</v>
      </c>
      <c r="H30" s="154"/>
      <c r="I30" s="27"/>
      <c r="J30" s="27">
        <f t="shared" si="1"/>
        <v>6.0630000000000001E-5</v>
      </c>
    </row>
    <row r="31" spans="1:10" x14ac:dyDescent="0.2">
      <c r="A31" s="148">
        <v>30</v>
      </c>
      <c r="B31" s="149">
        <v>10</v>
      </c>
      <c r="C31" s="26">
        <f t="shared" si="0"/>
        <v>9.5599999999999907E-2</v>
      </c>
      <c r="D31" s="26"/>
      <c r="E31" s="149">
        <v>30</v>
      </c>
      <c r="F31" s="149">
        <v>20</v>
      </c>
      <c r="G31" s="150">
        <f>'West Texas FY21 new rollup'!K25</f>
        <v>0</v>
      </c>
      <c r="H31" s="145"/>
      <c r="I31" s="27"/>
      <c r="J31" s="27">
        <f t="shared" si="1"/>
        <v>0</v>
      </c>
    </row>
    <row r="32" spans="1:10" x14ac:dyDescent="0.2">
      <c r="A32" s="148">
        <v>30</v>
      </c>
      <c r="B32" s="149">
        <v>10</v>
      </c>
      <c r="C32" s="26">
        <f t="shared" si="0"/>
        <v>9.5599999999999907E-2</v>
      </c>
      <c r="D32" s="26"/>
      <c r="E32" s="149">
        <v>30</v>
      </c>
      <c r="F32" s="149">
        <v>21</v>
      </c>
      <c r="G32" s="150">
        <f>'West Texas FY21 new rollup'!K26</f>
        <v>0</v>
      </c>
      <c r="H32" s="145"/>
      <c r="I32" s="27"/>
      <c r="J32" s="27">
        <f t="shared" si="1"/>
        <v>0</v>
      </c>
    </row>
    <row r="33" spans="1:10" x14ac:dyDescent="0.2">
      <c r="A33" s="151">
        <v>30</v>
      </c>
      <c r="B33" s="152">
        <v>10</v>
      </c>
      <c r="C33" s="28">
        <f t="shared" si="0"/>
        <v>9.5599999999999907E-2</v>
      </c>
      <c r="D33" s="28"/>
      <c r="E33" s="152">
        <v>30</v>
      </c>
      <c r="F33" s="152">
        <v>40</v>
      </c>
      <c r="G33" s="153">
        <f>'West Texas FY21 new rollup'!K27</f>
        <v>0</v>
      </c>
      <c r="H33" s="145"/>
      <c r="I33" s="27"/>
      <c r="J33" s="27">
        <f t="shared" si="1"/>
        <v>0</v>
      </c>
    </row>
    <row r="34" spans="1:10" x14ac:dyDescent="0.2">
      <c r="A34" s="149"/>
      <c r="B34" s="149"/>
      <c r="C34" s="26"/>
      <c r="D34" s="26"/>
      <c r="E34" s="149"/>
      <c r="F34" s="149"/>
      <c r="G34" s="145"/>
      <c r="H34" s="145"/>
      <c r="I34" s="27"/>
      <c r="J34" s="27"/>
    </row>
    <row r="35" spans="1:10" x14ac:dyDescent="0.2">
      <c r="A35" s="148">
        <v>50</v>
      </c>
      <c r="B35" s="149">
        <v>91</v>
      </c>
      <c r="C35" s="26">
        <f>+'3-Factor Composite'!I30</f>
        <v>0.1103</v>
      </c>
      <c r="D35" s="26"/>
      <c r="E35" s="149">
        <v>50</v>
      </c>
      <c r="F35" s="149">
        <v>91</v>
      </c>
      <c r="G35" s="150">
        <v>-1</v>
      </c>
      <c r="H35" s="145"/>
      <c r="I35" s="27"/>
      <c r="J35" s="27"/>
    </row>
    <row r="36" spans="1:10" x14ac:dyDescent="0.2">
      <c r="A36" s="148">
        <v>50</v>
      </c>
      <c r="B36" s="149">
        <v>91</v>
      </c>
      <c r="C36" s="26">
        <f>C35</f>
        <v>0.1103</v>
      </c>
      <c r="D36" s="26"/>
      <c r="E36" s="149">
        <v>50</v>
      </c>
      <c r="F36" s="149">
        <v>9</v>
      </c>
      <c r="G36" s="150">
        <f>'Mid States FY21'!H10/100</f>
        <v>0.50433762726009124</v>
      </c>
      <c r="H36" s="145"/>
      <c r="I36" s="27"/>
      <c r="J36" s="27">
        <f>C36-SUM(J37:J38)</f>
        <v>5.5628439999999994E-2</v>
      </c>
    </row>
    <row r="37" spans="1:10" x14ac:dyDescent="0.2">
      <c r="A37" s="148">
        <v>50</v>
      </c>
      <c r="B37" s="149">
        <v>91</v>
      </c>
      <c r="C37" s="26">
        <f>C36</f>
        <v>0.1103</v>
      </c>
      <c r="D37" s="26"/>
      <c r="E37" s="149">
        <v>50</v>
      </c>
      <c r="F37" s="149">
        <v>93</v>
      </c>
      <c r="G37" s="150">
        <f>'Mid States FY21'!H11/100</f>
        <v>0.42864553817873224</v>
      </c>
      <c r="H37" s="145"/>
      <c r="I37" s="27"/>
      <c r="J37" s="27">
        <f t="shared" ref="J37:J38" si="2">ROUND(+C37*G37,8)</f>
        <v>4.7279599999999998E-2</v>
      </c>
    </row>
    <row r="38" spans="1:10" x14ac:dyDescent="0.2">
      <c r="A38" s="148">
        <v>50</v>
      </c>
      <c r="B38" s="149">
        <v>91</v>
      </c>
      <c r="C38" s="26">
        <f>C37</f>
        <v>0.1103</v>
      </c>
      <c r="D38" s="26"/>
      <c r="E38" s="149">
        <v>50</v>
      </c>
      <c r="F38" s="149">
        <v>96</v>
      </c>
      <c r="G38" s="150">
        <f>'Mid States FY21'!H12/100</f>
        <v>6.7016834561176478E-2</v>
      </c>
      <c r="H38" s="145"/>
      <c r="I38" s="27"/>
      <c r="J38" s="27">
        <f t="shared" si="2"/>
        <v>7.3919600000000004E-3</v>
      </c>
    </row>
    <row r="39" spans="1:10" x14ac:dyDescent="0.2">
      <c r="A39" s="125"/>
      <c r="B39" s="125"/>
      <c r="E39" s="125"/>
      <c r="F39" s="125"/>
      <c r="H39" s="93"/>
      <c r="I39" s="21"/>
      <c r="J39" s="21"/>
    </row>
    <row r="40" spans="1:10" x14ac:dyDescent="0.2">
      <c r="A40" s="146">
        <v>60</v>
      </c>
      <c r="B40" s="29">
        <v>30</v>
      </c>
      <c r="C40" s="25">
        <f>+'3-Factor Composite'!F30</f>
        <v>8.1100000000000005E-2</v>
      </c>
      <c r="D40" s="25"/>
      <c r="E40" s="29">
        <v>60</v>
      </c>
      <c r="F40" s="29">
        <v>30</v>
      </c>
      <c r="G40" s="147">
        <v>-1</v>
      </c>
      <c r="H40" s="145"/>
      <c r="I40" s="21"/>
      <c r="J40" s="21"/>
    </row>
    <row r="41" spans="1:10" x14ac:dyDescent="0.2">
      <c r="A41" s="148">
        <v>60</v>
      </c>
      <c r="B41" s="149">
        <v>30</v>
      </c>
      <c r="C41" s="26">
        <f>C40</f>
        <v>8.1100000000000005E-2</v>
      </c>
      <c r="D41" s="26"/>
      <c r="E41" s="149">
        <v>60</v>
      </c>
      <c r="F41" s="149">
        <v>31</v>
      </c>
      <c r="G41" s="150">
        <f>'CO KS FY21'!H11</f>
        <v>0.47475266508167802</v>
      </c>
      <c r="H41" s="145"/>
      <c r="I41" s="27"/>
      <c r="J41" s="27">
        <f>ROUND(+C41*G41,8)</f>
        <v>3.8502439999999999E-2</v>
      </c>
    </row>
    <row r="42" spans="1:10" x14ac:dyDescent="0.2">
      <c r="A42" s="151">
        <v>60</v>
      </c>
      <c r="B42" s="152">
        <v>30</v>
      </c>
      <c r="C42" s="28">
        <f>C41</f>
        <v>8.1100000000000005E-2</v>
      </c>
      <c r="D42" s="28"/>
      <c r="E42" s="152">
        <v>60</v>
      </c>
      <c r="F42" s="152">
        <v>81</v>
      </c>
      <c r="G42" s="153">
        <f>'CO KS FY21'!H12</f>
        <v>0.52524733491832198</v>
      </c>
      <c r="H42" s="145"/>
      <c r="I42" s="27"/>
      <c r="J42" s="27">
        <f>C42-SUM(J41:J41)</f>
        <v>4.2597560000000007E-2</v>
      </c>
    </row>
    <row r="43" spans="1:10" x14ac:dyDescent="0.2">
      <c r="A43" s="125"/>
      <c r="B43" s="125"/>
      <c r="E43" s="125"/>
      <c r="F43" s="125"/>
      <c r="H43" s="93"/>
      <c r="I43" s="21"/>
      <c r="J43" s="21"/>
    </row>
    <row r="44" spans="1:10" x14ac:dyDescent="0.2">
      <c r="A44" s="142">
        <v>70</v>
      </c>
      <c r="B44" s="143">
        <v>170</v>
      </c>
      <c r="C44" s="30">
        <f>+'3-Factor Composite'!J30</f>
        <v>7.6999999999999999E-2</v>
      </c>
      <c r="D44" s="30"/>
      <c r="E44" s="143"/>
      <c r="F44" s="143">
        <v>170</v>
      </c>
      <c r="G44" s="144"/>
      <c r="H44" s="145"/>
      <c r="I44" s="27"/>
      <c r="J44" s="27">
        <f>ROUND(+C44,8)</f>
        <v>7.6999999999999999E-2</v>
      </c>
    </row>
    <row r="45" spans="1:10" x14ac:dyDescent="0.2">
      <c r="A45" s="125"/>
      <c r="B45" s="125"/>
      <c r="E45" s="125"/>
      <c r="F45" s="125"/>
      <c r="H45" s="93"/>
      <c r="I45" s="21"/>
      <c r="J45" s="21"/>
    </row>
    <row r="46" spans="1:10" x14ac:dyDescent="0.2">
      <c r="A46" s="125">
        <v>80</v>
      </c>
      <c r="B46" s="125">
        <v>190</v>
      </c>
      <c r="C46" s="24">
        <f>+'3-Factor Composite'!K30</f>
        <v>0.52600000000000002</v>
      </c>
      <c r="E46" s="125"/>
      <c r="F46" s="125">
        <v>190</v>
      </c>
      <c r="H46" s="93"/>
      <c r="I46" s="27"/>
      <c r="J46" s="27">
        <f>1-SUM(J13:J44)</f>
        <v>0.52600000000000002</v>
      </c>
    </row>
    <row r="47" spans="1:10" x14ac:dyDescent="0.2">
      <c r="A47" s="125"/>
      <c r="B47" s="125"/>
      <c r="E47" s="125"/>
      <c r="F47" s="125"/>
      <c r="H47" s="156"/>
      <c r="I47" s="21"/>
      <c r="J47" s="21"/>
    </row>
    <row r="48" spans="1:10" x14ac:dyDescent="0.2">
      <c r="A48" s="9" t="s">
        <v>1</v>
      </c>
      <c r="B48" s="125"/>
      <c r="C48" s="216">
        <f>C12+C16+C35+C40+C44+C46</f>
        <v>1</v>
      </c>
      <c r="E48" s="125"/>
      <c r="F48" s="125"/>
      <c r="I48" s="31"/>
      <c r="J48" s="31">
        <f>SUM(J13:J46)</f>
        <v>1</v>
      </c>
    </row>
    <row r="49" spans="2:6" x14ac:dyDescent="0.2">
      <c r="B49" s="125"/>
      <c r="E49" s="125"/>
      <c r="F49" s="125"/>
    </row>
  </sheetData>
  <printOptions horizontalCentered="1"/>
  <pageMargins left="0.25" right="0.25" top="0.25" bottom="0.75" header="0.3" footer="0.3"/>
  <pageSetup scale="83" orientation="landscape" r:id="rId1"/>
  <headerFooter alignWithMargins="0">
    <oddFooter>&amp;C&amp;Z&amp;F
&amp;A</oddFooter>
  </headerFooter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rgb="FF00B050"/>
    <pageSetUpPr fitToPage="1"/>
  </sheetPr>
  <dimension ref="A1:R33"/>
  <sheetViews>
    <sheetView topLeftCell="B9" workbookViewId="0">
      <selection activeCell="D29" sqref="D29"/>
    </sheetView>
  </sheetViews>
  <sheetFormatPr defaultColWidth="9.140625" defaultRowHeight="12.75" x14ac:dyDescent="0.2"/>
  <cols>
    <col min="1" max="1" width="6.140625" style="9" customWidth="1"/>
    <col min="2" max="2" width="24.5703125" style="9" customWidth="1"/>
    <col min="3" max="3" width="16.7109375" style="9" bestFit="1" customWidth="1"/>
    <col min="4" max="4" width="15.28515625" style="9" customWidth="1"/>
    <col min="5" max="5" width="15.42578125" style="9" customWidth="1"/>
    <col min="6" max="6" width="15.7109375" style="9" customWidth="1"/>
    <col min="7" max="7" width="14.28515625" style="9" customWidth="1"/>
    <col min="8" max="8" width="14" style="9" customWidth="1"/>
    <col min="9" max="9" width="11.5703125" style="9" customWidth="1"/>
    <col min="10" max="10" width="15.140625" style="9" customWidth="1"/>
    <col min="11" max="11" width="7.5703125" style="9" bestFit="1" customWidth="1"/>
    <col min="12" max="12" width="14" style="9" bestFit="1" customWidth="1"/>
    <col min="13" max="13" width="10.7109375" style="9" bestFit="1" customWidth="1"/>
    <col min="14" max="16384" width="9.140625" style="9"/>
  </cols>
  <sheetData>
    <row r="1" spans="1:18" ht="14.25" x14ac:dyDescent="0.2">
      <c r="A1" s="300" t="s">
        <v>17</v>
      </c>
      <c r="B1" s="300"/>
      <c r="C1" s="300"/>
      <c r="D1" s="300"/>
      <c r="E1" s="300"/>
      <c r="F1" s="300"/>
      <c r="G1" s="300"/>
      <c r="H1" s="300"/>
      <c r="I1" s="300"/>
      <c r="J1" s="300"/>
      <c r="K1" s="85"/>
      <c r="L1" s="228"/>
      <c r="M1" s="85"/>
    </row>
    <row r="2" spans="1:18" ht="14.25" x14ac:dyDescent="0.2">
      <c r="A2" s="300" t="s">
        <v>29</v>
      </c>
      <c r="B2" s="300"/>
      <c r="C2" s="300"/>
      <c r="D2" s="300"/>
      <c r="E2" s="300"/>
      <c r="F2" s="300"/>
      <c r="G2" s="300"/>
      <c r="H2" s="300"/>
      <c r="I2" s="300"/>
      <c r="J2" s="300"/>
    </row>
    <row r="3" spans="1:18" ht="14.25" x14ac:dyDescent="0.2">
      <c r="A3" s="301" t="s">
        <v>30</v>
      </c>
      <c r="B3" s="300"/>
      <c r="C3" s="300"/>
      <c r="D3" s="300"/>
      <c r="E3" s="300"/>
      <c r="F3" s="300"/>
      <c r="G3" s="300"/>
      <c r="H3" s="300"/>
      <c r="I3" s="300"/>
      <c r="J3" s="300"/>
    </row>
    <row r="4" spans="1:18" ht="14.25" x14ac:dyDescent="0.2">
      <c r="A4" s="300" t="s">
        <v>225</v>
      </c>
      <c r="B4" s="300"/>
      <c r="C4" s="300"/>
      <c r="D4" s="300"/>
      <c r="E4" s="300"/>
      <c r="F4" s="300"/>
      <c r="G4" s="300"/>
      <c r="H4" s="300"/>
      <c r="I4" s="300"/>
      <c r="J4" s="300"/>
    </row>
    <row r="6" spans="1:18" x14ac:dyDescent="0.2">
      <c r="J6" s="59" t="s">
        <v>74</v>
      </c>
    </row>
    <row r="7" spans="1:18" ht="38.25" x14ac:dyDescent="0.2">
      <c r="A7" s="53" t="s">
        <v>31</v>
      </c>
      <c r="B7" s="53" t="s">
        <v>32</v>
      </c>
      <c r="C7" s="233" t="s">
        <v>228</v>
      </c>
      <c r="D7" s="241" t="s">
        <v>33</v>
      </c>
      <c r="E7" s="233" t="s">
        <v>229</v>
      </c>
      <c r="F7" s="241" t="s">
        <v>34</v>
      </c>
      <c r="G7" s="233" t="s">
        <v>230</v>
      </c>
      <c r="H7" s="241" t="s">
        <v>35</v>
      </c>
      <c r="I7" s="166" t="s">
        <v>187</v>
      </c>
      <c r="J7" s="55" t="s">
        <v>36</v>
      </c>
      <c r="K7" s="166" t="s">
        <v>186</v>
      </c>
      <c r="L7" s="214"/>
      <c r="M7" s="214"/>
    </row>
    <row r="8" spans="1:18" ht="38.25" x14ac:dyDescent="0.2">
      <c r="B8" s="56"/>
      <c r="C8" s="242" t="s">
        <v>37</v>
      </c>
      <c r="D8" s="236" t="s">
        <v>38</v>
      </c>
      <c r="E8" s="236" t="s">
        <v>39</v>
      </c>
      <c r="F8" s="236" t="s">
        <v>40</v>
      </c>
      <c r="G8" s="236" t="s">
        <v>41</v>
      </c>
      <c r="H8" s="236" t="s">
        <v>42</v>
      </c>
      <c r="I8" s="57"/>
      <c r="J8" s="58" t="s">
        <v>43</v>
      </c>
      <c r="K8" s="66"/>
      <c r="L8" s="168" t="s">
        <v>220</v>
      </c>
      <c r="M8" s="168" t="s">
        <v>221</v>
      </c>
    </row>
    <row r="9" spans="1:18" x14ac:dyDescent="0.2">
      <c r="C9" s="234"/>
      <c r="D9" s="234"/>
      <c r="E9" s="234"/>
      <c r="F9" s="234"/>
      <c r="G9" s="234"/>
      <c r="H9" s="234"/>
      <c r="J9" s="59"/>
      <c r="L9" s="41" t="s">
        <v>194</v>
      </c>
      <c r="M9" s="41" t="s">
        <v>195</v>
      </c>
    </row>
    <row r="10" spans="1:18" x14ac:dyDescent="0.2">
      <c r="A10" s="158" t="s">
        <v>28</v>
      </c>
      <c r="B10" s="9" t="s">
        <v>46</v>
      </c>
      <c r="C10" s="237">
        <v>776387470.49000001</v>
      </c>
      <c r="D10" s="252">
        <f>+C10/$C$15*100</f>
        <v>49.492862296473383</v>
      </c>
      <c r="E10" s="263">
        <v>16144027.49</v>
      </c>
      <c r="F10" s="264">
        <f>+E10/$E$15*100</f>
        <v>51.34587468456774</v>
      </c>
      <c r="G10" s="237">
        <v>178882</v>
      </c>
      <c r="H10" s="272">
        <f>+G10/$G$15*100</f>
        <v>50.433762726009121</v>
      </c>
      <c r="I10" s="162" t="s">
        <v>153</v>
      </c>
      <c r="J10" s="63">
        <f>(D10+F10+H10)/3</f>
        <v>50.424166569016755</v>
      </c>
      <c r="K10" s="41" t="s">
        <v>156</v>
      </c>
      <c r="L10" s="162">
        <f>ROUND(H10,2)</f>
        <v>50.43</v>
      </c>
      <c r="M10" s="62">
        <f>ROUND(J10,2)</f>
        <v>50.42</v>
      </c>
    </row>
    <row r="11" spans="1:18" x14ac:dyDescent="0.2">
      <c r="A11" s="64">
        <v>93</v>
      </c>
      <c r="B11" s="9" t="s">
        <v>44</v>
      </c>
      <c r="C11" s="253">
        <f>681907604.64+13000</f>
        <v>681920604.63999999</v>
      </c>
      <c r="D11" s="252">
        <f>+C11/$C$15*100</f>
        <v>43.47082335225565</v>
      </c>
      <c r="E11" s="263">
        <v>12378420.720000001</v>
      </c>
      <c r="F11" s="264">
        <f>+E11/$E$15*100</f>
        <v>39.369410110065218</v>
      </c>
      <c r="G11" s="263">
        <v>152035</v>
      </c>
      <c r="H11" s="272">
        <f>+G11/$G$15*100</f>
        <v>42.864553817873222</v>
      </c>
      <c r="I11" s="162" t="s">
        <v>154</v>
      </c>
      <c r="J11" s="63">
        <f>(D11+F11+H11)/3</f>
        <v>41.901595760064701</v>
      </c>
      <c r="K11" s="41" t="s">
        <v>157</v>
      </c>
      <c r="L11" s="162">
        <f>ROUND(H11,2)+0.01</f>
        <v>42.87</v>
      </c>
      <c r="M11" s="62">
        <f>ROUND(J11,2)+0.01</f>
        <v>41.91</v>
      </c>
    </row>
    <row r="12" spans="1:18" x14ac:dyDescent="0.2">
      <c r="A12" s="64">
        <v>96</v>
      </c>
      <c r="B12" s="9" t="s">
        <v>45</v>
      </c>
      <c r="C12" s="237">
        <v>110377659.47</v>
      </c>
      <c r="D12" s="252">
        <f>+C12/$C$15*100</f>
        <v>7.0363143512709545</v>
      </c>
      <c r="E12" s="263">
        <v>2919274.4</v>
      </c>
      <c r="F12" s="264">
        <f>+E12/$E$15*100</f>
        <v>9.2847152053670516</v>
      </c>
      <c r="G12" s="263">
        <v>23770</v>
      </c>
      <c r="H12" s="272">
        <f>+G12/$G$15*100</f>
        <v>6.7016834561176477</v>
      </c>
      <c r="I12" s="162" t="s">
        <v>155</v>
      </c>
      <c r="J12" s="63">
        <f>(D12+F12+H12)/3</f>
        <v>7.6742376709185507</v>
      </c>
      <c r="K12" s="41" t="s">
        <v>158</v>
      </c>
      <c r="L12" s="162">
        <f>ROUND(H12,2)</f>
        <v>6.7</v>
      </c>
      <c r="M12" s="62">
        <f>ROUND(J12,2)</f>
        <v>7.67</v>
      </c>
    </row>
    <row r="13" spans="1:18" x14ac:dyDescent="0.2">
      <c r="A13" s="64"/>
      <c r="C13" s="254"/>
      <c r="D13" s="255"/>
      <c r="E13" s="262"/>
      <c r="F13" s="265"/>
      <c r="G13" s="240"/>
      <c r="H13" s="273"/>
      <c r="I13" s="106"/>
      <c r="J13" s="107"/>
      <c r="M13" s="63"/>
      <c r="N13" s="63"/>
      <c r="R13" s="159"/>
    </row>
    <row r="14" spans="1:18" x14ac:dyDescent="0.2">
      <c r="C14" s="256"/>
      <c r="D14" s="234"/>
      <c r="E14" s="266"/>
      <c r="F14" s="264"/>
      <c r="G14" s="237"/>
      <c r="H14" s="234"/>
      <c r="J14" s="63"/>
    </row>
    <row r="15" spans="1:18" x14ac:dyDescent="0.2">
      <c r="B15" s="9" t="s">
        <v>1</v>
      </c>
      <c r="C15" s="257">
        <f>SUM(C10:C12)</f>
        <v>1568685734.6000001</v>
      </c>
      <c r="D15" s="256">
        <f t="shared" ref="D15" si="0">SUM(D10:D12)</f>
        <v>100</v>
      </c>
      <c r="E15" s="256">
        <f>SUM(E10:E12)</f>
        <v>31441722.609999999</v>
      </c>
      <c r="F15" s="256">
        <f>SUM(F10:F12)</f>
        <v>100.00000000000001</v>
      </c>
      <c r="G15" s="237">
        <f>SUM(G10:G12)</f>
        <v>354687</v>
      </c>
      <c r="H15" s="256">
        <f>SUM(H10:H12)</f>
        <v>100</v>
      </c>
      <c r="I15" s="109"/>
      <c r="J15" s="109">
        <f>SUM(J10:J12)</f>
        <v>100</v>
      </c>
    </row>
    <row r="16" spans="1:18" x14ac:dyDescent="0.2">
      <c r="C16" s="257"/>
      <c r="D16" s="234"/>
      <c r="E16" s="267"/>
      <c r="F16" s="234"/>
      <c r="G16" s="234"/>
      <c r="H16" s="234"/>
    </row>
    <row r="17" spans="2:8" x14ac:dyDescent="0.2">
      <c r="B17" s="124" t="s">
        <v>118</v>
      </c>
      <c r="C17" s="257">
        <v>1571399765.04</v>
      </c>
      <c r="D17" s="257"/>
      <c r="E17" s="257">
        <v>41742549.240000002</v>
      </c>
      <c r="F17" s="257"/>
      <c r="G17" s="274">
        <v>354687</v>
      </c>
      <c r="H17" s="234"/>
    </row>
    <row r="18" spans="2:8" x14ac:dyDescent="0.2">
      <c r="B18" s="124"/>
      <c r="C18" s="257"/>
      <c r="D18" s="257"/>
      <c r="E18" s="257"/>
      <c r="F18" s="257"/>
      <c r="G18" s="257"/>
      <c r="H18" s="234"/>
    </row>
    <row r="19" spans="2:8" x14ac:dyDescent="0.2">
      <c r="B19" s="124" t="s">
        <v>116</v>
      </c>
      <c r="C19" s="257">
        <f>C17-C15</f>
        <v>2714030.4399998188</v>
      </c>
      <c r="D19" s="257"/>
      <c r="E19" s="257">
        <f>E17-E15</f>
        <v>10300826.630000003</v>
      </c>
      <c r="F19" s="257"/>
      <c r="G19" s="257">
        <f>G15-G17</f>
        <v>0</v>
      </c>
      <c r="H19" s="234"/>
    </row>
    <row r="20" spans="2:8" x14ac:dyDescent="0.2">
      <c r="B20" s="124" t="s">
        <v>114</v>
      </c>
      <c r="C20" s="257">
        <v>2714030.44</v>
      </c>
      <c r="D20" s="258"/>
      <c r="E20" s="257">
        <v>10300826.630000001</v>
      </c>
      <c r="F20" s="234"/>
      <c r="G20" s="258"/>
      <c r="H20" s="234"/>
    </row>
    <row r="21" spans="2:8" x14ac:dyDescent="0.2">
      <c r="B21" s="124" t="s">
        <v>115</v>
      </c>
      <c r="C21" s="257">
        <f>C19-C20</f>
        <v>-1.8114224076271057E-7</v>
      </c>
      <c r="D21" s="234"/>
      <c r="E21" s="266">
        <f>E19-E20</f>
        <v>0</v>
      </c>
      <c r="F21" s="234"/>
      <c r="G21" s="237"/>
      <c r="H21" s="234"/>
    </row>
    <row r="22" spans="2:8" x14ac:dyDescent="0.2">
      <c r="B22" s="124" t="s">
        <v>117</v>
      </c>
      <c r="C22" s="257"/>
      <c r="D22" s="234"/>
      <c r="E22" s="257">
        <v>451</v>
      </c>
      <c r="F22" s="258"/>
      <c r="G22" s="234"/>
      <c r="H22" s="234"/>
    </row>
    <row r="23" spans="2:8" x14ac:dyDescent="0.2">
      <c r="B23" s="124" t="s">
        <v>116</v>
      </c>
      <c r="C23" s="257"/>
      <c r="D23" s="234"/>
      <c r="E23" s="257">
        <f>E21-E22</f>
        <v>-451</v>
      </c>
      <c r="F23" s="268"/>
      <c r="G23" s="234"/>
      <c r="H23" s="234"/>
    </row>
    <row r="24" spans="2:8" x14ac:dyDescent="0.2">
      <c r="B24" s="124"/>
      <c r="C24" s="105"/>
      <c r="E24" s="105"/>
      <c r="F24" s="41"/>
    </row>
    <row r="25" spans="2:8" x14ac:dyDescent="0.2">
      <c r="B25" s="124"/>
      <c r="C25" s="105"/>
      <c r="E25" s="105"/>
    </row>
    <row r="26" spans="2:8" x14ac:dyDescent="0.2">
      <c r="B26" s="124"/>
      <c r="C26" s="105"/>
      <c r="E26" s="105"/>
      <c r="F26" s="41"/>
    </row>
    <row r="27" spans="2:8" x14ac:dyDescent="0.2">
      <c r="B27" s="124"/>
      <c r="C27" s="105"/>
      <c r="E27" s="105"/>
    </row>
    <row r="28" spans="2:8" x14ac:dyDescent="0.2">
      <c r="B28" s="124"/>
      <c r="C28" s="105"/>
      <c r="E28" s="105"/>
    </row>
    <row r="29" spans="2:8" x14ac:dyDescent="0.2">
      <c r="B29" s="124"/>
      <c r="C29" s="105"/>
      <c r="E29" s="105"/>
    </row>
    <row r="30" spans="2:8" x14ac:dyDescent="0.2">
      <c r="B30" s="124"/>
      <c r="C30" s="105"/>
      <c r="E30" s="105"/>
    </row>
    <row r="31" spans="2:8" x14ac:dyDescent="0.2">
      <c r="B31" s="124"/>
      <c r="C31" s="105"/>
      <c r="E31" s="105"/>
    </row>
    <row r="32" spans="2:8" x14ac:dyDescent="0.2">
      <c r="B32" s="124"/>
      <c r="C32" s="105"/>
    </row>
    <row r="33" spans="2:5" x14ac:dyDescent="0.2">
      <c r="B33" s="124"/>
      <c r="C33" s="105"/>
      <c r="E33" s="105"/>
    </row>
  </sheetData>
  <mergeCells count="4">
    <mergeCell ref="A1:J1"/>
    <mergeCell ref="A2:J2"/>
    <mergeCell ref="A3:J3"/>
    <mergeCell ref="A4:J4"/>
  </mergeCells>
  <phoneticPr fontId="0" type="noConversion"/>
  <pageMargins left="0.59" right="0.54" top="1" bottom="1" header="0.5" footer="0.5"/>
  <pageSetup scale="70" orientation="landscape" horizontalDpi="4294967294" verticalDpi="4294967294" r:id="rId1"/>
  <headerFooter alignWithMargins="0">
    <oddFooter>&amp;L&amp;"Times New Roman,Italic"&amp;9General Accounting&amp;R&amp;"Times New Roman,Italic"&amp;9&amp;T&amp;D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34D64-85BE-4BD5-9597-D9F94C1B88D8}">
  <sheetPr codeName="Sheet6">
    <tabColor rgb="FF00B050"/>
    <pageSetUpPr fitToPage="1"/>
  </sheetPr>
  <dimension ref="A1:R33"/>
  <sheetViews>
    <sheetView topLeftCell="G1" workbookViewId="0">
      <selection activeCell="T17" sqref="T17"/>
    </sheetView>
  </sheetViews>
  <sheetFormatPr defaultColWidth="9.140625" defaultRowHeight="12.75" x14ac:dyDescent="0.2"/>
  <cols>
    <col min="1" max="1" width="6.140625" style="9" customWidth="1"/>
    <col min="2" max="2" width="24.5703125" style="9" customWidth="1"/>
    <col min="3" max="3" width="16.7109375" style="9" bestFit="1" customWidth="1"/>
    <col min="4" max="4" width="15.28515625" style="9" customWidth="1"/>
    <col min="5" max="5" width="15.42578125" style="9" customWidth="1"/>
    <col min="6" max="6" width="15.7109375" style="9" customWidth="1"/>
    <col min="7" max="7" width="14.28515625" style="9" customWidth="1"/>
    <col min="8" max="8" width="14" style="9" customWidth="1"/>
    <col min="9" max="9" width="11.5703125" style="9" customWidth="1"/>
    <col min="10" max="10" width="15.140625" style="9" customWidth="1"/>
    <col min="11" max="11" width="7.5703125" style="9" bestFit="1" customWidth="1"/>
    <col min="12" max="12" width="14" style="9" bestFit="1" customWidth="1"/>
    <col min="13" max="13" width="10.7109375" style="9" bestFit="1" customWidth="1"/>
    <col min="14" max="14" width="9.140625" style="9"/>
    <col min="15" max="15" width="21.42578125" style="9" bestFit="1" customWidth="1"/>
    <col min="16" max="16" width="9.140625" style="9"/>
    <col min="17" max="17" width="19.7109375" style="9" bestFit="1" customWidth="1"/>
    <col min="18" max="16384" width="9.140625" style="9"/>
  </cols>
  <sheetData>
    <row r="1" spans="1:18" ht="14.25" x14ac:dyDescent="0.2">
      <c r="A1" s="300" t="s">
        <v>17</v>
      </c>
      <c r="B1" s="300"/>
      <c r="C1" s="300"/>
      <c r="D1" s="300"/>
      <c r="E1" s="300"/>
      <c r="F1" s="300"/>
      <c r="G1" s="300"/>
      <c r="H1" s="300"/>
      <c r="I1" s="300"/>
      <c r="J1" s="300"/>
      <c r="K1" s="85"/>
      <c r="L1" s="228"/>
      <c r="M1" s="85"/>
    </row>
    <row r="2" spans="1:18" ht="14.25" x14ac:dyDescent="0.2">
      <c r="A2" s="300" t="s">
        <v>29</v>
      </c>
      <c r="B2" s="300"/>
      <c r="C2" s="300"/>
      <c r="D2" s="300"/>
      <c r="E2" s="300"/>
      <c r="F2" s="300"/>
      <c r="G2" s="300"/>
      <c r="H2" s="300"/>
      <c r="I2" s="300"/>
      <c r="J2" s="300"/>
    </row>
    <row r="3" spans="1:18" ht="14.25" x14ac:dyDescent="0.2">
      <c r="A3" s="301" t="s">
        <v>30</v>
      </c>
      <c r="B3" s="300"/>
      <c r="C3" s="300"/>
      <c r="D3" s="300"/>
      <c r="E3" s="300"/>
      <c r="F3" s="300"/>
      <c r="G3" s="300"/>
      <c r="H3" s="300"/>
      <c r="I3" s="300"/>
      <c r="J3" s="300"/>
    </row>
    <row r="4" spans="1:18" ht="14.25" x14ac:dyDescent="0.2">
      <c r="A4" s="300" t="s">
        <v>225</v>
      </c>
      <c r="B4" s="300"/>
      <c r="C4" s="300"/>
      <c r="D4" s="300"/>
      <c r="E4" s="300"/>
      <c r="F4" s="300"/>
      <c r="G4" s="300"/>
      <c r="H4" s="300"/>
      <c r="I4" s="300"/>
      <c r="J4" s="300"/>
    </row>
    <row r="6" spans="1:18" x14ac:dyDescent="0.2">
      <c r="J6" s="59" t="s">
        <v>74</v>
      </c>
    </row>
    <row r="7" spans="1:18" ht="38.25" x14ac:dyDescent="0.2">
      <c r="A7" s="53" t="s">
        <v>31</v>
      </c>
      <c r="B7" s="53" t="s">
        <v>32</v>
      </c>
      <c r="C7" s="233" t="s">
        <v>228</v>
      </c>
      <c r="D7" s="241" t="s">
        <v>33</v>
      </c>
      <c r="E7" s="233" t="s">
        <v>229</v>
      </c>
      <c r="F7" s="241" t="s">
        <v>34</v>
      </c>
      <c r="G7" s="233" t="s">
        <v>230</v>
      </c>
      <c r="H7" s="241" t="s">
        <v>35</v>
      </c>
      <c r="I7" s="166" t="s">
        <v>187</v>
      </c>
      <c r="J7" s="55" t="s">
        <v>36</v>
      </c>
      <c r="K7" s="166" t="s">
        <v>186</v>
      </c>
      <c r="L7" s="214"/>
      <c r="M7" s="214"/>
      <c r="O7" s="41" t="s">
        <v>234</v>
      </c>
      <c r="P7" s="41"/>
      <c r="Q7" s="41" t="s">
        <v>237</v>
      </c>
    </row>
    <row r="8" spans="1:18" ht="38.25" x14ac:dyDescent="0.2">
      <c r="B8" s="56"/>
      <c r="C8" s="242" t="s">
        <v>37</v>
      </c>
      <c r="D8" s="236" t="s">
        <v>38</v>
      </c>
      <c r="E8" s="236" t="s">
        <v>39</v>
      </c>
      <c r="F8" s="236" t="s">
        <v>40</v>
      </c>
      <c r="G8" s="236" t="s">
        <v>41</v>
      </c>
      <c r="H8" s="236" t="s">
        <v>42</v>
      </c>
      <c r="I8" s="57"/>
      <c r="J8" s="58" t="s">
        <v>43</v>
      </c>
      <c r="K8" s="66"/>
      <c r="L8" s="168" t="s">
        <v>220</v>
      </c>
      <c r="M8" s="168" t="s">
        <v>221</v>
      </c>
      <c r="O8" s="281">
        <v>9.8900000000000002E-2</v>
      </c>
      <c r="P8" s="281"/>
      <c r="Q8" s="281"/>
    </row>
    <row r="9" spans="1:18" x14ac:dyDescent="0.2">
      <c r="C9" s="234"/>
      <c r="D9" s="234"/>
      <c r="E9" s="234"/>
      <c r="F9" s="234"/>
      <c r="G9" s="234"/>
      <c r="H9" s="234"/>
      <c r="J9" s="59"/>
      <c r="L9" s="41" t="s">
        <v>194</v>
      </c>
      <c r="M9" s="41" t="s">
        <v>195</v>
      </c>
      <c r="O9" s="41" t="s">
        <v>233</v>
      </c>
      <c r="P9" s="41"/>
    </row>
    <row r="10" spans="1:18" x14ac:dyDescent="0.2">
      <c r="A10" s="158" t="s">
        <v>28</v>
      </c>
      <c r="B10" s="9" t="s">
        <v>46</v>
      </c>
      <c r="C10" s="237">
        <v>776387470.49000001</v>
      </c>
      <c r="D10" s="252">
        <f>+C10/$C$15*100</f>
        <v>49.492862296473383</v>
      </c>
      <c r="E10" s="263">
        <v>16144027.49</v>
      </c>
      <c r="F10" s="264">
        <f>+E10/$E$15*100</f>
        <v>51.34587468456774</v>
      </c>
      <c r="G10" s="237">
        <v>178882</v>
      </c>
      <c r="H10" s="272">
        <f>+G10/$G$15*100</f>
        <v>50.433762726009121</v>
      </c>
      <c r="I10" s="162" t="s">
        <v>153</v>
      </c>
      <c r="J10" s="63">
        <f>(D10+F10+H10)/3</f>
        <v>50.424166569016755</v>
      </c>
      <c r="K10" s="41" t="s">
        <v>156</v>
      </c>
      <c r="L10" s="162">
        <f>ROUND(H10,2)</f>
        <v>50.43</v>
      </c>
      <c r="M10" s="62">
        <f>ROUND(J10,2)</f>
        <v>50.42</v>
      </c>
      <c r="O10" s="9">
        <f>M10*$O$8</f>
        <v>4.9865380000000004</v>
      </c>
      <c r="P10" s="9">
        <f>ROUND(O10,2)</f>
        <v>4.99</v>
      </c>
      <c r="Q10" s="285" t="s">
        <v>238</v>
      </c>
    </row>
    <row r="11" spans="1:18" x14ac:dyDescent="0.2">
      <c r="A11" s="64">
        <v>93</v>
      </c>
      <c r="B11" s="9" t="s">
        <v>44</v>
      </c>
      <c r="C11" s="253">
        <f>681907604.64+13000</f>
        <v>681920604.63999999</v>
      </c>
      <c r="D11" s="252">
        <f>+C11/$C$15*100</f>
        <v>43.47082335225565</v>
      </c>
      <c r="E11" s="263">
        <v>12378420.720000001</v>
      </c>
      <c r="F11" s="264">
        <f>+E11/$E$15*100</f>
        <v>39.369410110065218</v>
      </c>
      <c r="G11" s="263">
        <v>152035</v>
      </c>
      <c r="H11" s="272">
        <f>+G11/$G$15*100</f>
        <v>42.864553817873222</v>
      </c>
      <c r="I11" s="162" t="s">
        <v>154</v>
      </c>
      <c r="J11" s="63">
        <f>(D11+F11+H11)/3</f>
        <v>41.901595760064701</v>
      </c>
      <c r="K11" s="41" t="s">
        <v>157</v>
      </c>
      <c r="L11" s="162">
        <f>ROUND(H11,2)+0.01</f>
        <v>42.87</v>
      </c>
      <c r="M11" s="62">
        <f>ROUND(J11,2)+0.01</f>
        <v>41.91</v>
      </c>
      <c r="O11" s="9">
        <f t="shared" ref="O11:O12" si="0">M11*$O$8</f>
        <v>4.1448989999999997</v>
      </c>
      <c r="P11" s="9">
        <f t="shared" ref="P11:P12" si="1">ROUND(O11,2)</f>
        <v>4.1399999999999997</v>
      </c>
      <c r="Q11" s="285" t="s">
        <v>239</v>
      </c>
    </row>
    <row r="12" spans="1:18" x14ac:dyDescent="0.2">
      <c r="A12" s="64">
        <v>96</v>
      </c>
      <c r="B12" s="9" t="s">
        <v>45</v>
      </c>
      <c r="C12" s="237">
        <v>110377659.47</v>
      </c>
      <c r="D12" s="252">
        <f>+C12/$C$15*100</f>
        <v>7.0363143512709545</v>
      </c>
      <c r="E12" s="263">
        <v>2919274.4</v>
      </c>
      <c r="F12" s="264">
        <f>+E12/$E$15*100</f>
        <v>9.2847152053670516</v>
      </c>
      <c r="G12" s="263">
        <v>23770</v>
      </c>
      <c r="H12" s="272">
        <f>+G12/$G$15*100</f>
        <v>6.7016834561176477</v>
      </c>
      <c r="I12" s="162" t="s">
        <v>155</v>
      </c>
      <c r="J12" s="63">
        <f>(D12+F12+H12)/3</f>
        <v>7.6742376709185507</v>
      </c>
      <c r="K12" s="41" t="s">
        <v>158</v>
      </c>
      <c r="L12" s="162">
        <f>ROUND(H12,2)</f>
        <v>6.7</v>
      </c>
      <c r="M12" s="62">
        <f>ROUND(J12,2)</f>
        <v>7.67</v>
      </c>
      <c r="O12" s="9">
        <f t="shared" si="0"/>
        <v>0.75856299999999999</v>
      </c>
      <c r="P12" s="9">
        <f t="shared" si="1"/>
        <v>0.76</v>
      </c>
      <c r="Q12" s="285" t="s">
        <v>240</v>
      </c>
    </row>
    <row r="13" spans="1:18" x14ac:dyDescent="0.2">
      <c r="A13" s="64"/>
      <c r="C13" s="254"/>
      <c r="D13" s="255"/>
      <c r="E13" s="262"/>
      <c r="F13" s="265"/>
      <c r="G13" s="240"/>
      <c r="H13" s="273"/>
      <c r="I13" s="106"/>
      <c r="J13" s="107"/>
      <c r="M13" s="63"/>
      <c r="N13" s="63"/>
      <c r="R13" s="159"/>
    </row>
    <row r="14" spans="1:18" x14ac:dyDescent="0.2">
      <c r="C14" s="256"/>
      <c r="D14" s="234"/>
      <c r="E14" s="266"/>
      <c r="F14" s="264"/>
      <c r="G14" s="237"/>
      <c r="H14" s="234"/>
      <c r="J14" s="63"/>
    </row>
    <row r="15" spans="1:18" x14ac:dyDescent="0.2">
      <c r="B15" s="9" t="s">
        <v>1</v>
      </c>
      <c r="C15" s="257">
        <f>SUM(C10:C12)</f>
        <v>1568685734.6000001</v>
      </c>
      <c r="D15" s="256">
        <f t="shared" ref="D15" si="2">SUM(D10:D12)</f>
        <v>100</v>
      </c>
      <c r="E15" s="256">
        <f>SUM(E10:E12)</f>
        <v>31441722.609999999</v>
      </c>
      <c r="F15" s="256">
        <f>SUM(F10:F12)</f>
        <v>100.00000000000001</v>
      </c>
      <c r="G15" s="237">
        <f>SUM(G10:G12)</f>
        <v>354687</v>
      </c>
      <c r="H15" s="256">
        <f>SUM(H10:H12)</f>
        <v>100</v>
      </c>
      <c r="I15" s="109"/>
      <c r="J15" s="109">
        <f>SUM(J10:J12)</f>
        <v>100</v>
      </c>
    </row>
    <row r="16" spans="1:18" x14ac:dyDescent="0.2">
      <c r="C16" s="257"/>
      <c r="D16" s="234"/>
      <c r="E16" s="267"/>
      <c r="F16" s="234"/>
      <c r="G16" s="234"/>
      <c r="H16" s="234"/>
    </row>
    <row r="17" spans="2:8" x14ac:dyDescent="0.2">
      <c r="B17" s="124" t="s">
        <v>118</v>
      </c>
      <c r="C17" s="257">
        <v>1571399765.04</v>
      </c>
      <c r="D17" s="257"/>
      <c r="E17" s="257">
        <v>41742549.240000002</v>
      </c>
      <c r="F17" s="257"/>
      <c r="G17" s="274">
        <v>354687</v>
      </c>
      <c r="H17" s="234"/>
    </row>
    <row r="18" spans="2:8" x14ac:dyDescent="0.2">
      <c r="B18" s="124"/>
      <c r="C18" s="257"/>
      <c r="D18" s="257"/>
      <c r="E18" s="257"/>
      <c r="F18" s="257"/>
      <c r="G18" s="257"/>
      <c r="H18" s="234"/>
    </row>
    <row r="19" spans="2:8" x14ac:dyDescent="0.2">
      <c r="B19" s="124" t="s">
        <v>116</v>
      </c>
      <c r="C19" s="257">
        <f>C17-C15</f>
        <v>2714030.4399998188</v>
      </c>
      <c r="D19" s="257"/>
      <c r="E19" s="257">
        <f>E17-E15</f>
        <v>10300826.630000003</v>
      </c>
      <c r="F19" s="257"/>
      <c r="G19" s="257">
        <f>G15-G17</f>
        <v>0</v>
      </c>
      <c r="H19" s="234"/>
    </row>
    <row r="20" spans="2:8" x14ac:dyDescent="0.2">
      <c r="B20" s="124" t="s">
        <v>114</v>
      </c>
      <c r="C20" s="257">
        <v>2714030.44</v>
      </c>
      <c r="D20" s="258"/>
      <c r="E20" s="257">
        <v>10300826.630000001</v>
      </c>
      <c r="F20" s="234"/>
      <c r="G20" s="258"/>
      <c r="H20" s="234"/>
    </row>
    <row r="21" spans="2:8" x14ac:dyDescent="0.2">
      <c r="B21" s="124" t="s">
        <v>115</v>
      </c>
      <c r="C21" s="257">
        <f>C19-C20</f>
        <v>-1.8114224076271057E-7</v>
      </c>
      <c r="D21" s="234"/>
      <c r="E21" s="266">
        <f>E19-E20</f>
        <v>0</v>
      </c>
      <c r="F21" s="234"/>
      <c r="G21" s="237"/>
      <c r="H21" s="234"/>
    </row>
    <row r="22" spans="2:8" x14ac:dyDescent="0.2">
      <c r="B22" s="124" t="s">
        <v>117</v>
      </c>
      <c r="C22" s="257"/>
      <c r="D22" s="234"/>
      <c r="E22" s="257">
        <v>451</v>
      </c>
      <c r="F22" s="258"/>
      <c r="G22" s="234"/>
      <c r="H22" s="234"/>
    </row>
    <row r="23" spans="2:8" x14ac:dyDescent="0.2">
      <c r="B23" s="124" t="s">
        <v>116</v>
      </c>
      <c r="C23" s="257"/>
      <c r="D23" s="234"/>
      <c r="E23" s="257">
        <f>E21-E22</f>
        <v>-451</v>
      </c>
      <c r="F23" s="268"/>
      <c r="G23" s="234"/>
      <c r="H23" s="234"/>
    </row>
    <row r="24" spans="2:8" x14ac:dyDescent="0.2">
      <c r="B24" s="124"/>
      <c r="C24" s="105"/>
      <c r="E24" s="105"/>
      <c r="F24" s="41"/>
    </row>
    <row r="25" spans="2:8" x14ac:dyDescent="0.2">
      <c r="B25" s="124"/>
      <c r="C25" s="105"/>
      <c r="E25" s="105"/>
    </row>
    <row r="26" spans="2:8" x14ac:dyDescent="0.2">
      <c r="B26" s="124"/>
      <c r="C26" s="105"/>
      <c r="E26" s="105"/>
      <c r="F26" s="41"/>
    </row>
    <row r="27" spans="2:8" x14ac:dyDescent="0.2">
      <c r="B27" s="124"/>
      <c r="C27" s="105"/>
      <c r="E27" s="105"/>
    </row>
    <row r="28" spans="2:8" x14ac:dyDescent="0.2">
      <c r="B28" s="124"/>
      <c r="C28" s="105"/>
      <c r="E28" s="105"/>
    </row>
    <row r="29" spans="2:8" x14ac:dyDescent="0.2">
      <c r="B29" s="124"/>
      <c r="C29" s="105"/>
      <c r="E29" s="105"/>
    </row>
    <row r="30" spans="2:8" x14ac:dyDescent="0.2">
      <c r="B30" s="124"/>
      <c r="C30" s="105"/>
      <c r="E30" s="105"/>
    </row>
    <row r="31" spans="2:8" x14ac:dyDescent="0.2">
      <c r="B31" s="124"/>
      <c r="C31" s="105"/>
      <c r="E31" s="105"/>
    </row>
    <row r="32" spans="2:8" x14ac:dyDescent="0.2">
      <c r="B32" s="124"/>
      <c r="C32" s="105"/>
    </row>
    <row r="33" spans="2:5" x14ac:dyDescent="0.2">
      <c r="B33" s="124"/>
      <c r="C33" s="105"/>
      <c r="E33" s="105"/>
    </row>
  </sheetData>
  <mergeCells count="4">
    <mergeCell ref="A1:J1"/>
    <mergeCell ref="A2:J2"/>
    <mergeCell ref="A3:J3"/>
    <mergeCell ref="A4:J4"/>
  </mergeCells>
  <pageMargins left="0.59" right="0.54" top="1" bottom="1" header="0.5" footer="0.5"/>
  <pageSetup scale="70" orientation="landscape" horizontalDpi="4294967294" verticalDpi="4294967294" r:id="rId1"/>
  <headerFooter alignWithMargins="0">
    <oddFooter>&amp;L&amp;"Times New Roman,Italic"&amp;9General Accounting&amp;R&amp;"Times New Roman,Italic"&amp;9&amp;T&amp;D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rgb="FF00B050"/>
    <pageSetUpPr fitToPage="1"/>
  </sheetPr>
  <dimension ref="A1:M30"/>
  <sheetViews>
    <sheetView topLeftCell="C2" workbookViewId="0">
      <selection activeCell="M15" sqref="M15"/>
    </sheetView>
  </sheetViews>
  <sheetFormatPr defaultColWidth="9.140625" defaultRowHeight="12.75" x14ac:dyDescent="0.2"/>
  <cols>
    <col min="1" max="1" width="6.5703125" style="9" customWidth="1"/>
    <col min="2" max="2" width="23.28515625" style="9" customWidth="1"/>
    <col min="3" max="3" width="16.85546875" style="9" customWidth="1"/>
    <col min="4" max="4" width="13.42578125" style="9" customWidth="1"/>
    <col min="5" max="5" width="15.7109375" style="9" customWidth="1"/>
    <col min="6" max="6" width="13.7109375" style="9" customWidth="1"/>
    <col min="7" max="7" width="13.28515625" style="9" customWidth="1"/>
    <col min="8" max="8" width="11.42578125" style="9" customWidth="1"/>
    <col min="9" max="9" width="10.140625" style="9" bestFit="1" customWidth="1"/>
    <col min="10" max="10" width="12.42578125" style="9" customWidth="1"/>
    <col min="11" max="11" width="7.5703125" style="9" bestFit="1" customWidth="1"/>
    <col min="12" max="13" width="18.85546875" style="9" bestFit="1" customWidth="1"/>
    <col min="14" max="16384" width="9.140625" style="9"/>
  </cols>
  <sheetData>
    <row r="1" spans="1:13" ht="14.25" x14ac:dyDescent="0.2">
      <c r="A1" s="300" t="s">
        <v>17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1:13" ht="14.25" x14ac:dyDescent="0.2">
      <c r="A2" s="300" t="s">
        <v>47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</row>
    <row r="3" spans="1:13" ht="14.25" x14ac:dyDescent="0.2">
      <c r="A3" s="300" t="s">
        <v>48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</row>
    <row r="4" spans="1:13" ht="14.25" x14ac:dyDescent="0.2">
      <c r="A4" s="300" t="s">
        <v>225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</row>
    <row r="6" spans="1:13" x14ac:dyDescent="0.2">
      <c r="H6" s="59" t="s">
        <v>73</v>
      </c>
      <c r="I6" s="59"/>
      <c r="J6" s="59" t="s">
        <v>74</v>
      </c>
    </row>
    <row r="7" spans="1:13" ht="38.25" x14ac:dyDescent="0.2">
      <c r="A7" s="53" t="s">
        <v>31</v>
      </c>
      <c r="B7" s="53" t="s">
        <v>32</v>
      </c>
      <c r="C7" s="233" t="s">
        <v>228</v>
      </c>
      <c r="D7" s="241" t="s">
        <v>75</v>
      </c>
      <c r="E7" s="233" t="s">
        <v>229</v>
      </c>
      <c r="F7" s="241" t="s">
        <v>76</v>
      </c>
      <c r="G7" s="233" t="s">
        <v>231</v>
      </c>
      <c r="H7" s="182" t="s">
        <v>77</v>
      </c>
      <c r="I7" s="235" t="s">
        <v>187</v>
      </c>
      <c r="J7" s="182" t="s">
        <v>49</v>
      </c>
      <c r="K7" s="235" t="s">
        <v>186</v>
      </c>
    </row>
    <row r="8" spans="1:13" x14ac:dyDescent="0.2">
      <c r="B8" s="56"/>
      <c r="C8" s="242" t="s">
        <v>37</v>
      </c>
      <c r="D8" s="236" t="s">
        <v>38</v>
      </c>
      <c r="E8" s="236" t="s">
        <v>39</v>
      </c>
      <c r="F8" s="236" t="s">
        <v>40</v>
      </c>
      <c r="G8" s="236" t="s">
        <v>41</v>
      </c>
      <c r="H8" s="184" t="s">
        <v>42</v>
      </c>
      <c r="I8" s="236"/>
      <c r="J8" s="184" t="s">
        <v>43</v>
      </c>
      <c r="K8" s="275"/>
    </row>
    <row r="9" spans="1:13" x14ac:dyDescent="0.2">
      <c r="C9" s="234"/>
      <c r="D9" s="234"/>
      <c r="E9" s="234"/>
      <c r="F9" s="234"/>
      <c r="G9" s="234"/>
      <c r="H9" s="186"/>
      <c r="I9" s="234"/>
      <c r="J9" s="186"/>
      <c r="K9" s="234"/>
      <c r="L9" s="41" t="s">
        <v>218</v>
      </c>
      <c r="M9" s="41" t="s">
        <v>219</v>
      </c>
    </row>
    <row r="10" spans="1:13" x14ac:dyDescent="0.2">
      <c r="C10" s="234"/>
      <c r="D10" s="234"/>
      <c r="E10" s="234"/>
      <c r="F10" s="234"/>
      <c r="G10" s="234"/>
      <c r="H10" s="186"/>
      <c r="I10" s="234"/>
      <c r="J10" s="186"/>
      <c r="K10" s="234"/>
      <c r="L10" s="41" t="s">
        <v>192</v>
      </c>
      <c r="M10" s="41" t="s">
        <v>193</v>
      </c>
    </row>
    <row r="11" spans="1:13" x14ac:dyDescent="0.2">
      <c r="A11" s="64">
        <v>31</v>
      </c>
      <c r="B11" s="9" t="s">
        <v>50</v>
      </c>
      <c r="C11" s="257">
        <f>'COdiv 2021_old way'!C16</f>
        <v>342169150</v>
      </c>
      <c r="D11" s="244">
        <f>C11/$C$14</f>
        <v>0.45630292299656994</v>
      </c>
      <c r="E11" s="257">
        <f>'COdiv 2021_old way'!E16+1855763.92</f>
        <v>9565495.9399999995</v>
      </c>
      <c r="F11" s="244">
        <f>E11/$E$14</f>
        <v>0.4000134998079366</v>
      </c>
      <c r="G11" s="276">
        <f>'COdiv 2021_old way'!G16</f>
        <v>123806</v>
      </c>
      <c r="H11" s="238">
        <f>G11/$G$14</f>
        <v>0.47475266508167802</v>
      </c>
      <c r="I11" s="268" t="s">
        <v>151</v>
      </c>
      <c r="J11" s="238">
        <f>(D11+F11+H11)/3</f>
        <v>0.44368969596206154</v>
      </c>
      <c r="K11" s="268" t="s">
        <v>149</v>
      </c>
      <c r="L11" s="100">
        <f>ROUND(H11,4)</f>
        <v>0.4748</v>
      </c>
      <c r="M11" s="100">
        <f>ROUND(J11,4)</f>
        <v>0.44369999999999998</v>
      </c>
    </row>
    <row r="12" spans="1:13" x14ac:dyDescent="0.2">
      <c r="A12" s="64">
        <v>81</v>
      </c>
      <c r="B12" s="9" t="s">
        <v>51</v>
      </c>
      <c r="C12" s="258">
        <v>407703648.87</v>
      </c>
      <c r="D12" s="244">
        <f>C12/$C$14</f>
        <v>0.54369707700343006</v>
      </c>
      <c r="E12" s="257">
        <v>14347436.859999999</v>
      </c>
      <c r="F12" s="244">
        <f>E12/$E$14</f>
        <v>0.59998650019206345</v>
      </c>
      <c r="G12" s="276">
        <v>136974</v>
      </c>
      <c r="H12" s="238">
        <f>G12/$G$14</f>
        <v>0.52524733491832198</v>
      </c>
      <c r="I12" s="268" t="s">
        <v>152</v>
      </c>
      <c r="J12" s="238">
        <f>(D12+F12+H12)/3</f>
        <v>0.55631030403793846</v>
      </c>
      <c r="K12" s="268" t="s">
        <v>150</v>
      </c>
      <c r="L12" s="100">
        <f>ROUND(H12,4)</f>
        <v>0.5252</v>
      </c>
      <c r="M12" s="100">
        <f>ROUND(J12,4)</f>
        <v>0.55630000000000002</v>
      </c>
    </row>
    <row r="13" spans="1:13" x14ac:dyDescent="0.2">
      <c r="C13" s="259"/>
      <c r="D13" s="260"/>
      <c r="E13" s="262"/>
      <c r="F13" s="255"/>
      <c r="G13" s="277"/>
      <c r="H13" s="278"/>
      <c r="I13" s="265"/>
      <c r="J13" s="279"/>
      <c r="K13" s="234"/>
    </row>
    <row r="14" spans="1:13" x14ac:dyDescent="0.2">
      <c r="B14" s="9" t="s">
        <v>1</v>
      </c>
      <c r="C14" s="257">
        <f>C11+C12</f>
        <v>749872798.87</v>
      </c>
      <c r="D14" s="244">
        <f t="shared" ref="D14:J14" si="0">SUM(D11:D12)</f>
        <v>1</v>
      </c>
      <c r="E14" s="266">
        <f>SUM(E11:E12)</f>
        <v>23912932.799999997</v>
      </c>
      <c r="F14" s="244">
        <f>SUM(F11:F12)</f>
        <v>1</v>
      </c>
      <c r="G14" s="276">
        <f>SUM(G11:G12)</f>
        <v>260780</v>
      </c>
      <c r="H14" s="188">
        <f t="shared" si="0"/>
        <v>1</v>
      </c>
      <c r="I14" s="244"/>
      <c r="J14" s="188">
        <f t="shared" si="0"/>
        <v>1</v>
      </c>
      <c r="K14" s="234"/>
    </row>
    <row r="15" spans="1:13" x14ac:dyDescent="0.2">
      <c r="C15" s="257"/>
      <c r="D15" s="234"/>
      <c r="E15" s="266"/>
      <c r="F15" s="234"/>
      <c r="G15" s="234"/>
      <c r="H15" s="234"/>
      <c r="I15" s="234"/>
      <c r="J15" s="234"/>
      <c r="K15" s="234"/>
    </row>
    <row r="16" spans="1:13" x14ac:dyDescent="0.2">
      <c r="B16" s="124" t="s">
        <v>120</v>
      </c>
      <c r="C16" s="257">
        <v>750894078.5</v>
      </c>
      <c r="D16" s="257"/>
      <c r="E16" s="257">
        <v>30303178.539999999</v>
      </c>
      <c r="F16" s="257"/>
      <c r="G16" s="274">
        <v>260779</v>
      </c>
      <c r="H16" s="234"/>
      <c r="I16" s="234"/>
      <c r="J16" s="234"/>
      <c r="K16" s="234"/>
    </row>
    <row r="17" spans="1:11" x14ac:dyDescent="0.2">
      <c r="B17" s="124"/>
      <c r="C17" s="257"/>
      <c r="D17" s="258"/>
      <c r="E17" s="257"/>
      <c r="F17" s="257"/>
      <c r="G17" s="257"/>
      <c r="H17" s="234"/>
      <c r="I17" s="234"/>
      <c r="J17" s="234"/>
      <c r="K17" s="234"/>
    </row>
    <row r="18" spans="1:11" x14ac:dyDescent="0.2">
      <c r="B18" s="124" t="s">
        <v>116</v>
      </c>
      <c r="C18" s="257">
        <f>C16-C14</f>
        <v>1021279.6299999952</v>
      </c>
      <c r="D18" s="234"/>
      <c r="E18" s="257">
        <f>E16-E14</f>
        <v>6390245.7400000021</v>
      </c>
      <c r="F18" s="234"/>
      <c r="G18" s="257">
        <f>G14-G16</f>
        <v>1</v>
      </c>
      <c r="H18" s="234"/>
      <c r="I18" s="234"/>
      <c r="J18" s="234"/>
      <c r="K18" s="234"/>
    </row>
    <row r="19" spans="1:11" x14ac:dyDescent="0.2">
      <c r="B19" s="124" t="s">
        <v>121</v>
      </c>
      <c r="C19" s="257">
        <v>1021279.63</v>
      </c>
      <c r="D19" s="234"/>
      <c r="E19" s="269">
        <v>6390245.7400000002</v>
      </c>
      <c r="F19" s="268"/>
      <c r="G19" s="268"/>
      <c r="H19" s="234"/>
      <c r="I19" s="234"/>
      <c r="J19" s="234"/>
      <c r="K19" s="234"/>
    </row>
    <row r="20" spans="1:11" x14ac:dyDescent="0.2">
      <c r="B20" s="124" t="s">
        <v>119</v>
      </c>
      <c r="C20" s="257">
        <f>C18-C19</f>
        <v>-4.7730281949043274E-9</v>
      </c>
      <c r="D20" s="234"/>
      <c r="E20" s="257">
        <f>E18-E19</f>
        <v>0</v>
      </c>
      <c r="F20" s="268"/>
      <c r="G20" s="234"/>
      <c r="H20" s="234"/>
      <c r="I20" s="234"/>
      <c r="J20" s="234"/>
      <c r="K20" s="234"/>
    </row>
    <row r="21" spans="1:11" x14ac:dyDescent="0.2">
      <c r="B21" s="124"/>
      <c r="E21" s="105"/>
      <c r="F21" s="116"/>
    </row>
    <row r="22" spans="1:11" x14ac:dyDescent="0.2">
      <c r="B22" s="124"/>
      <c r="E22" s="105"/>
    </row>
    <row r="23" spans="1:11" x14ac:dyDescent="0.2">
      <c r="B23" s="124"/>
      <c r="E23" s="105"/>
      <c r="F23" s="41"/>
    </row>
    <row r="24" spans="1:11" x14ac:dyDescent="0.2">
      <c r="B24" s="124"/>
    </row>
    <row r="25" spans="1:11" x14ac:dyDescent="0.2">
      <c r="A25" s="59" t="s">
        <v>97</v>
      </c>
      <c r="B25" s="124"/>
    </row>
    <row r="26" spans="1:11" x14ac:dyDescent="0.2">
      <c r="B26" s="124"/>
    </row>
    <row r="27" spans="1:11" x14ac:dyDescent="0.2">
      <c r="B27" s="124"/>
    </row>
    <row r="28" spans="1:11" x14ac:dyDescent="0.2">
      <c r="B28" s="124"/>
    </row>
    <row r="29" spans="1:11" x14ac:dyDescent="0.2">
      <c r="B29" s="124"/>
    </row>
    <row r="30" spans="1:11" x14ac:dyDescent="0.2">
      <c r="B30" s="124"/>
    </row>
  </sheetData>
  <mergeCells count="4">
    <mergeCell ref="A1:K1"/>
    <mergeCell ref="A2:K2"/>
    <mergeCell ref="A3:K3"/>
    <mergeCell ref="A4:K4"/>
  </mergeCells>
  <phoneticPr fontId="0" type="noConversion"/>
  <pageMargins left="0.46" right="0.28000000000000003" top="1" bottom="1" header="0.5" footer="0.5"/>
  <pageSetup scale="77" orientation="landscape" horizontalDpi="4294967294" verticalDpi="4294967294" r:id="rId1"/>
  <headerFooter alignWithMargins="0">
    <oddFooter>&amp;L&amp;"Times New Roman,Italic"General Accounting&amp;R&amp;"Times New Roman,Italic"&amp;9&amp;T&amp;D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>
    <tabColor rgb="FF00B050"/>
    <pageSetUpPr fitToPage="1"/>
  </sheetPr>
  <dimension ref="A1:R34"/>
  <sheetViews>
    <sheetView workbookViewId="0">
      <selection activeCell="A18" sqref="A18"/>
    </sheetView>
  </sheetViews>
  <sheetFormatPr defaultColWidth="9.140625" defaultRowHeight="12.75" x14ac:dyDescent="0.2"/>
  <cols>
    <col min="1" max="1" width="6.5703125" style="9" customWidth="1"/>
    <col min="2" max="2" width="23.28515625" style="9" customWidth="1"/>
    <col min="3" max="3" width="16.85546875" style="9" customWidth="1"/>
    <col min="4" max="4" width="13.42578125" style="9" customWidth="1"/>
    <col min="5" max="5" width="14.7109375" style="9" customWidth="1"/>
    <col min="6" max="6" width="13.7109375" style="9" customWidth="1"/>
    <col min="7" max="7" width="13.28515625" style="9" customWidth="1"/>
    <col min="8" max="9" width="11.42578125" style="9" customWidth="1"/>
    <col min="10" max="10" width="3.5703125" style="9" customWidth="1"/>
    <col min="11" max="11" width="12.42578125" style="9" customWidth="1"/>
    <col min="12" max="12" width="12" style="160" bestFit="1" customWidth="1"/>
    <col min="13" max="13" width="8.140625" style="160" bestFit="1" customWidth="1"/>
    <col min="14" max="14" width="3.85546875" style="160" customWidth="1"/>
    <col min="15" max="15" width="18.5703125" style="9" bestFit="1" customWidth="1"/>
    <col min="16" max="16" width="9.5703125" style="9" bestFit="1" customWidth="1"/>
    <col min="17" max="17" width="18.5703125" style="9" bestFit="1" customWidth="1"/>
    <col min="18" max="18" width="9.5703125" style="9" bestFit="1" customWidth="1"/>
    <col min="19" max="16384" width="9.140625" style="9"/>
  </cols>
  <sheetData>
    <row r="1" spans="1:18" ht="14.25" x14ac:dyDescent="0.2">
      <c r="A1" s="300" t="s">
        <v>17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163"/>
      <c r="M1" s="163"/>
      <c r="N1" s="163"/>
    </row>
    <row r="2" spans="1:18" ht="14.25" x14ac:dyDescent="0.2">
      <c r="A2" s="300" t="s">
        <v>87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163"/>
      <c r="M2" s="163"/>
      <c r="N2" s="163"/>
    </row>
    <row r="3" spans="1:18" ht="14.25" x14ac:dyDescent="0.2">
      <c r="A3" s="300" t="s">
        <v>48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163"/>
      <c r="M3" s="163"/>
      <c r="N3" s="163"/>
    </row>
    <row r="4" spans="1:18" ht="14.25" x14ac:dyDescent="0.2">
      <c r="A4" s="300" t="s">
        <v>225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163"/>
      <c r="M4" s="163"/>
      <c r="N4" s="163"/>
      <c r="O4" s="41" t="s">
        <v>190</v>
      </c>
      <c r="P4" s="41"/>
    </row>
    <row r="5" spans="1:18" x14ac:dyDescent="0.2">
      <c r="K5" s="302"/>
      <c r="L5" s="302"/>
      <c r="M5" s="302"/>
      <c r="N5" s="302"/>
      <c r="O5" s="302"/>
      <c r="P5" s="302"/>
      <c r="Q5" s="302"/>
    </row>
    <row r="6" spans="1:18" x14ac:dyDescent="0.2">
      <c r="K6" s="41" t="s">
        <v>108</v>
      </c>
      <c r="L6" s="161"/>
      <c r="M6" s="161"/>
      <c r="N6" s="161"/>
      <c r="O6" s="41" t="s">
        <v>109</v>
      </c>
      <c r="P6" s="41"/>
      <c r="Q6" s="41" t="s">
        <v>110</v>
      </c>
    </row>
    <row r="7" spans="1:18" ht="38.25" x14ac:dyDescent="0.2">
      <c r="A7" s="53" t="s">
        <v>31</v>
      </c>
      <c r="B7" s="53" t="s">
        <v>32</v>
      </c>
      <c r="C7" s="233" t="s">
        <v>228</v>
      </c>
      <c r="D7" s="241" t="s">
        <v>75</v>
      </c>
      <c r="E7" s="233" t="s">
        <v>229</v>
      </c>
      <c r="F7" s="241" t="s">
        <v>76</v>
      </c>
      <c r="G7" s="233" t="s">
        <v>231</v>
      </c>
      <c r="H7" s="241" t="s">
        <v>77</v>
      </c>
      <c r="I7" s="166" t="s">
        <v>188</v>
      </c>
      <c r="J7" s="54"/>
      <c r="K7" s="182" t="s">
        <v>88</v>
      </c>
      <c r="L7" s="183" t="s">
        <v>186</v>
      </c>
      <c r="M7" s="183"/>
      <c r="N7" s="167"/>
      <c r="O7" s="189" t="s">
        <v>88</v>
      </c>
      <c r="P7" s="189" t="s">
        <v>203</v>
      </c>
      <c r="Q7" s="189" t="s">
        <v>88</v>
      </c>
      <c r="R7" s="221" t="s">
        <v>203</v>
      </c>
    </row>
    <row r="8" spans="1:18" x14ac:dyDescent="0.2">
      <c r="B8" s="56"/>
      <c r="C8" s="242" t="s">
        <v>37</v>
      </c>
      <c r="D8" s="236" t="s">
        <v>38</v>
      </c>
      <c r="E8" s="236" t="s">
        <v>39</v>
      </c>
      <c r="F8" s="236" t="s">
        <v>40</v>
      </c>
      <c r="G8" s="236" t="s">
        <v>41</v>
      </c>
      <c r="H8" s="236" t="s">
        <v>42</v>
      </c>
      <c r="I8" s="57"/>
      <c r="J8" s="57"/>
      <c r="K8" s="184" t="s">
        <v>43</v>
      </c>
      <c r="L8" s="185"/>
      <c r="M8" s="185"/>
      <c r="N8" s="164"/>
      <c r="O8" s="191"/>
      <c r="P8" s="191"/>
      <c r="Q8" s="190"/>
      <c r="R8" s="190"/>
    </row>
    <row r="9" spans="1:18" x14ac:dyDescent="0.2">
      <c r="C9" s="234"/>
      <c r="D9" s="234"/>
      <c r="E9" s="234"/>
      <c r="F9" s="234"/>
      <c r="G9" s="234"/>
      <c r="H9" s="234"/>
      <c r="K9" s="186"/>
      <c r="L9" s="187"/>
      <c r="M9" s="187"/>
      <c r="N9" s="161"/>
      <c r="O9" s="190"/>
      <c r="P9" s="190"/>
      <c r="Q9" s="190"/>
      <c r="R9" s="190"/>
    </row>
    <row r="10" spans="1:18" x14ac:dyDescent="0.2">
      <c r="C10" s="234"/>
      <c r="D10" s="234"/>
      <c r="E10" s="234"/>
      <c r="F10" s="234"/>
      <c r="G10" s="234"/>
      <c r="H10" s="234"/>
      <c r="K10" s="186"/>
      <c r="L10" s="187"/>
      <c r="M10" s="187"/>
      <c r="N10" s="161"/>
      <c r="O10" s="190"/>
      <c r="P10" s="190"/>
      <c r="Q10" s="190"/>
      <c r="R10" s="190"/>
    </row>
    <row r="11" spans="1:18" x14ac:dyDescent="0.2">
      <c r="A11" s="64">
        <v>33</v>
      </c>
      <c r="B11" s="9" t="s">
        <v>89</v>
      </c>
      <c r="C11" s="261">
        <v>242640109.68000001</v>
      </c>
      <c r="D11" s="244">
        <f>C11/$C$16</f>
        <v>0.70912327917347318</v>
      </c>
      <c r="E11" s="261">
        <v>3401755.61</v>
      </c>
      <c r="F11" s="244">
        <f>E11/$E$16</f>
        <v>0.44122877438222557</v>
      </c>
      <c r="G11" s="276">
        <v>56554</v>
      </c>
      <c r="H11" s="244">
        <f>G11/$G$16</f>
        <v>0.45679530878955787</v>
      </c>
      <c r="I11" s="172" t="s">
        <v>165</v>
      </c>
      <c r="J11" s="172"/>
      <c r="K11" s="188">
        <f>AVERAGE(D11,F11,H11)</f>
        <v>0.53571578744841897</v>
      </c>
      <c r="L11" s="187" t="s">
        <v>159</v>
      </c>
      <c r="M11" s="187" t="s">
        <v>169</v>
      </c>
      <c r="N11" s="161"/>
      <c r="O11" s="192">
        <f>K11*$O$16</f>
        <v>9.4285978590921745E-3</v>
      </c>
      <c r="P11" s="220" t="s">
        <v>199</v>
      </c>
      <c r="Q11" s="192">
        <f>K11*$Q$16</f>
        <v>0.23689352120969087</v>
      </c>
      <c r="R11" s="193" t="s">
        <v>173</v>
      </c>
    </row>
    <row r="12" spans="1:18" x14ac:dyDescent="0.2">
      <c r="A12" s="64">
        <v>34</v>
      </c>
      <c r="B12" s="9" t="s">
        <v>90</v>
      </c>
      <c r="C12" s="261">
        <v>27666075.629999999</v>
      </c>
      <c r="D12" s="244">
        <f>C12/$C$16</f>
        <v>8.0854967871884412E-2</v>
      </c>
      <c r="E12" s="261">
        <v>1779187.02</v>
      </c>
      <c r="F12" s="244">
        <f>E12/$E$16</f>
        <v>0.2307715774536091</v>
      </c>
      <c r="G12" s="276">
        <v>27296</v>
      </c>
      <c r="H12" s="244">
        <f>G12/$G$16</f>
        <v>0.22047396733599342</v>
      </c>
      <c r="I12" s="172" t="s">
        <v>166</v>
      </c>
      <c r="J12" s="172"/>
      <c r="K12" s="188">
        <f>AVERAGE(D12,F12,H12)</f>
        <v>0.17736683755382898</v>
      </c>
      <c r="L12" s="187" t="s">
        <v>160</v>
      </c>
      <c r="M12" s="187" t="s">
        <v>170</v>
      </c>
      <c r="N12" s="161"/>
      <c r="O12" s="192">
        <f>K12*$O$16</f>
        <v>3.1216563409473901E-3</v>
      </c>
      <c r="P12" s="220" t="s">
        <v>200</v>
      </c>
      <c r="Q12" s="192">
        <f>K12*$Q$16</f>
        <v>7.8431615566303167E-2</v>
      </c>
      <c r="R12" s="193" t="s">
        <v>174</v>
      </c>
    </row>
    <row r="13" spans="1:18" x14ac:dyDescent="0.2">
      <c r="A13" s="64">
        <v>35</v>
      </c>
      <c r="B13" s="9" t="s">
        <v>91</v>
      </c>
      <c r="C13" s="261">
        <v>37487258.100000001</v>
      </c>
      <c r="D13" s="244">
        <f>C13/$C$16</f>
        <v>0.10955767958625143</v>
      </c>
      <c r="E13" s="261">
        <v>1484322.58</v>
      </c>
      <c r="F13" s="244">
        <f>E13/$E$16</f>
        <v>0.19252583308336574</v>
      </c>
      <c r="G13" s="276">
        <v>21545</v>
      </c>
      <c r="H13" s="244">
        <f>G13/$G$16</f>
        <v>0.17402226063357187</v>
      </c>
      <c r="I13" s="172" t="s">
        <v>167</v>
      </c>
      <c r="J13" s="172"/>
      <c r="K13" s="188">
        <f>AVERAGE(D13,F13,H13)</f>
        <v>0.15870192443439635</v>
      </c>
      <c r="L13" s="187" t="s">
        <v>161</v>
      </c>
      <c r="M13" s="187" t="s">
        <v>171</v>
      </c>
      <c r="N13" s="161"/>
      <c r="O13" s="192">
        <f>K13*$O$16</f>
        <v>2.7931538700453761E-3</v>
      </c>
      <c r="P13" s="220" t="s">
        <v>201</v>
      </c>
      <c r="Q13" s="192">
        <f>K13*$Q$16</f>
        <v>7.0177990984890068E-2</v>
      </c>
      <c r="R13" s="193" t="s">
        <v>175</v>
      </c>
    </row>
    <row r="14" spans="1:18" x14ac:dyDescent="0.2">
      <c r="A14" s="64">
        <v>36</v>
      </c>
      <c r="B14" s="9" t="s">
        <v>92</v>
      </c>
      <c r="C14" s="261">
        <v>34375706.590000004</v>
      </c>
      <c r="D14" s="244">
        <f>C14/$C$16</f>
        <v>0.10046407336839105</v>
      </c>
      <c r="E14" s="261">
        <v>1044466.81</v>
      </c>
      <c r="F14" s="244">
        <f>E14/$E$16</f>
        <v>0.13547381508079967</v>
      </c>
      <c r="G14" s="276">
        <v>18411</v>
      </c>
      <c r="H14" s="244">
        <f>G14/$G$16</f>
        <v>0.14870846324087686</v>
      </c>
      <c r="I14" s="172" t="s">
        <v>168</v>
      </c>
      <c r="J14" s="172"/>
      <c r="K14" s="188">
        <f>AVERAGE(D14,F14,H14)</f>
        <v>0.12821545056335584</v>
      </c>
      <c r="L14" s="187" t="s">
        <v>162</v>
      </c>
      <c r="M14" s="187" t="s">
        <v>172</v>
      </c>
      <c r="N14" s="161"/>
      <c r="O14" s="192">
        <f>K14*$O$16</f>
        <v>2.256591929915063E-3</v>
      </c>
      <c r="P14" s="220" t="s">
        <v>202</v>
      </c>
      <c r="Q14" s="192">
        <f>K14*$Q$16</f>
        <v>5.6696872239115952E-2</v>
      </c>
      <c r="R14" s="193" t="s">
        <v>176</v>
      </c>
    </row>
    <row r="15" spans="1:18" x14ac:dyDescent="0.2">
      <c r="C15" s="262"/>
      <c r="D15" s="260"/>
      <c r="E15" s="270"/>
      <c r="F15" s="255"/>
      <c r="G15" s="277"/>
      <c r="H15" s="265"/>
      <c r="I15" s="68"/>
      <c r="J15" s="68"/>
      <c r="K15" s="69"/>
      <c r="L15" s="165"/>
      <c r="M15" s="165"/>
      <c r="N15" s="165"/>
      <c r="O15" s="190"/>
      <c r="P15" s="190"/>
      <c r="Q15" s="192"/>
      <c r="R15" s="190"/>
    </row>
    <row r="16" spans="1:18" x14ac:dyDescent="0.2">
      <c r="B16" s="9" t="s">
        <v>1</v>
      </c>
      <c r="C16" s="257">
        <f>SUM(C11:C14)</f>
        <v>342169150</v>
      </c>
      <c r="D16" s="244">
        <f>SUM(D11:D14)</f>
        <v>1</v>
      </c>
      <c r="E16" s="261">
        <f>SUM(E11:E14)</f>
        <v>7709732.0199999996</v>
      </c>
      <c r="F16" s="244">
        <f t="shared" ref="F16" si="0">SUM(F11:F14)</f>
        <v>1</v>
      </c>
      <c r="G16" s="261">
        <f>SUM(G11:G14)</f>
        <v>123806</v>
      </c>
      <c r="H16" s="244">
        <f>SUM(H11:H14)</f>
        <v>1</v>
      </c>
      <c r="I16" s="100"/>
      <c r="J16" s="100"/>
      <c r="K16" s="101">
        <f>SUM(K11:K14)</f>
        <v>1.0000000000000002</v>
      </c>
      <c r="L16" s="161"/>
      <c r="M16" s="161"/>
      <c r="N16" s="161"/>
      <c r="O16" s="215">
        <v>1.7600000000000001E-2</v>
      </c>
      <c r="P16" s="215"/>
      <c r="Q16" s="192">
        <v>0.44219999999999998</v>
      </c>
      <c r="R16" s="190"/>
    </row>
    <row r="17" spans="1:17" x14ac:dyDescent="0.2">
      <c r="C17" s="105"/>
      <c r="E17" s="34"/>
      <c r="L17" s="161"/>
      <c r="M17" s="161"/>
      <c r="N17" s="161"/>
    </row>
    <row r="18" spans="1:17" x14ac:dyDescent="0.2">
      <c r="A18" s="41"/>
      <c r="B18" s="124"/>
      <c r="C18" s="105"/>
      <c r="E18" s="34"/>
      <c r="G18" s="67"/>
      <c r="L18" s="161"/>
      <c r="M18" s="161"/>
      <c r="N18" s="161"/>
      <c r="Q18" s="41"/>
    </row>
    <row r="19" spans="1:17" x14ac:dyDescent="0.2">
      <c r="A19" s="9" t="s">
        <v>180</v>
      </c>
      <c r="B19" s="124"/>
      <c r="C19" s="105"/>
      <c r="K19" s="100"/>
      <c r="L19" s="161"/>
      <c r="Q19" s="41"/>
    </row>
    <row r="20" spans="1:17" x14ac:dyDescent="0.2">
      <c r="B20" s="124"/>
      <c r="C20" s="105"/>
      <c r="K20" s="100"/>
    </row>
    <row r="21" spans="1:17" x14ac:dyDescent="0.2">
      <c r="B21" s="124"/>
      <c r="C21" s="105"/>
      <c r="K21" s="100"/>
    </row>
    <row r="22" spans="1:17" x14ac:dyDescent="0.2">
      <c r="B22" s="124"/>
      <c r="C22" s="105"/>
      <c r="K22" s="100"/>
    </row>
    <row r="23" spans="1:17" x14ac:dyDescent="0.2">
      <c r="B23" s="124"/>
      <c r="C23" s="105"/>
      <c r="K23" s="280"/>
    </row>
    <row r="24" spans="1:17" x14ac:dyDescent="0.2">
      <c r="B24" s="124"/>
      <c r="C24" s="105"/>
    </row>
    <row r="25" spans="1:17" x14ac:dyDescent="0.2">
      <c r="B25" s="124"/>
      <c r="C25" s="105"/>
    </row>
    <row r="26" spans="1:17" x14ac:dyDescent="0.2">
      <c r="B26" s="124"/>
      <c r="C26" s="105"/>
    </row>
    <row r="27" spans="1:17" x14ac:dyDescent="0.2">
      <c r="B27" s="124"/>
      <c r="C27" s="105"/>
    </row>
    <row r="28" spans="1:17" x14ac:dyDescent="0.2">
      <c r="B28" s="124"/>
      <c r="C28" s="105"/>
    </row>
    <row r="29" spans="1:17" x14ac:dyDescent="0.2">
      <c r="B29" s="124"/>
      <c r="C29" s="105"/>
    </row>
    <row r="30" spans="1:17" x14ac:dyDescent="0.2">
      <c r="B30" s="124"/>
      <c r="C30" s="105"/>
    </row>
    <row r="31" spans="1:17" x14ac:dyDescent="0.2">
      <c r="B31" s="124"/>
      <c r="C31" s="105"/>
    </row>
    <row r="32" spans="1:17" x14ac:dyDescent="0.2">
      <c r="B32" s="124"/>
      <c r="C32" s="105"/>
    </row>
    <row r="33" spans="2:3" x14ac:dyDescent="0.2">
      <c r="B33" s="124"/>
      <c r="C33" s="105"/>
    </row>
    <row r="34" spans="2:3" x14ac:dyDescent="0.2">
      <c r="B34" s="124"/>
      <c r="C34" s="105"/>
    </row>
  </sheetData>
  <mergeCells count="5">
    <mergeCell ref="K5:Q5"/>
    <mergeCell ref="A1:K1"/>
    <mergeCell ref="A2:K2"/>
    <mergeCell ref="A3:K3"/>
    <mergeCell ref="A4:K4"/>
  </mergeCells>
  <phoneticPr fontId="0" type="noConversion"/>
  <pageMargins left="0.5" right="0" top="1" bottom="1" header="0.5" footer="0.5"/>
  <pageSetup scale="60" orientation="landscape" r:id="rId1"/>
  <headerFooter alignWithMargins="0">
    <oddFooter>&amp;L&amp;"Times New Roman,Italic"General Accounting&amp;R&amp;"Times New Roman,Italic"&amp;T&amp;D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33224-67CB-462C-9291-7FB8CEBAD75C}">
  <sheetPr codeName="Sheet1">
    <tabColor rgb="FF00B050"/>
    <pageSetUpPr fitToPage="1"/>
  </sheetPr>
  <dimension ref="A1:R34"/>
  <sheetViews>
    <sheetView topLeftCell="A2" workbookViewId="0">
      <selection activeCell="A20" sqref="A20"/>
    </sheetView>
  </sheetViews>
  <sheetFormatPr defaultColWidth="9.140625" defaultRowHeight="12.75" x14ac:dyDescent="0.2"/>
  <cols>
    <col min="1" max="1" width="6.5703125" style="9" customWidth="1"/>
    <col min="2" max="2" width="23.28515625" style="9" customWidth="1"/>
    <col min="3" max="3" width="16.85546875" style="9" customWidth="1"/>
    <col min="4" max="4" width="13.42578125" style="9" customWidth="1"/>
    <col min="5" max="5" width="14.7109375" style="9" customWidth="1"/>
    <col min="6" max="6" width="13.7109375" style="9" customWidth="1"/>
    <col min="7" max="7" width="13.28515625" style="9" customWidth="1"/>
    <col min="8" max="9" width="11.42578125" style="9" customWidth="1"/>
    <col min="10" max="10" width="3.5703125" style="9" customWidth="1"/>
    <col min="11" max="11" width="12.42578125" style="9" customWidth="1"/>
    <col min="12" max="12" width="12" style="160" bestFit="1" customWidth="1"/>
    <col min="13" max="13" width="8.140625" style="160" bestFit="1" customWidth="1"/>
    <col min="14" max="14" width="3.85546875" style="160" customWidth="1"/>
    <col min="15" max="15" width="18.5703125" style="9" bestFit="1" customWidth="1"/>
    <col min="16" max="16" width="9.5703125" style="9" bestFit="1" customWidth="1"/>
    <col min="17" max="17" width="18.5703125" style="9" bestFit="1" customWidth="1"/>
    <col min="18" max="18" width="9.5703125" style="9" bestFit="1" customWidth="1"/>
    <col min="19" max="16384" width="9.140625" style="9"/>
  </cols>
  <sheetData>
    <row r="1" spans="1:18" ht="14.25" x14ac:dyDescent="0.2">
      <c r="A1" s="300" t="s">
        <v>17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163"/>
      <c r="M1" s="163"/>
      <c r="N1" s="163"/>
    </row>
    <row r="2" spans="1:18" ht="14.25" x14ac:dyDescent="0.2">
      <c r="A2" s="300" t="s">
        <v>87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163"/>
      <c r="M2" s="163"/>
      <c r="N2" s="163"/>
    </row>
    <row r="3" spans="1:18" ht="14.25" x14ac:dyDescent="0.2">
      <c r="A3" s="300" t="s">
        <v>48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163"/>
      <c r="M3" s="163"/>
      <c r="N3" s="163"/>
    </row>
    <row r="4" spans="1:18" ht="14.25" x14ac:dyDescent="0.2">
      <c r="A4" s="300" t="s">
        <v>225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163"/>
      <c r="M4" s="163"/>
      <c r="N4" s="163"/>
      <c r="O4" s="41" t="s">
        <v>190</v>
      </c>
      <c r="P4" s="41"/>
    </row>
    <row r="5" spans="1:18" x14ac:dyDescent="0.2">
      <c r="K5" s="302"/>
      <c r="L5" s="302"/>
      <c r="M5" s="302"/>
      <c r="N5" s="302"/>
      <c r="O5" s="302"/>
      <c r="P5" s="302"/>
      <c r="Q5" s="302"/>
    </row>
    <row r="6" spans="1:18" x14ac:dyDescent="0.2">
      <c r="K6" s="41" t="s">
        <v>108</v>
      </c>
      <c r="L6" s="161"/>
      <c r="M6" s="161"/>
      <c r="N6" s="161"/>
      <c r="O6" s="41" t="s">
        <v>109</v>
      </c>
      <c r="P6" s="41"/>
      <c r="Q6" s="41" t="s">
        <v>110</v>
      </c>
    </row>
    <row r="7" spans="1:18" ht="38.25" x14ac:dyDescent="0.2">
      <c r="A7" s="53" t="s">
        <v>31</v>
      </c>
      <c r="B7" s="53" t="s">
        <v>32</v>
      </c>
      <c r="C7" s="233" t="s">
        <v>228</v>
      </c>
      <c r="D7" s="241" t="s">
        <v>75</v>
      </c>
      <c r="E7" s="233" t="s">
        <v>229</v>
      </c>
      <c r="F7" s="241" t="s">
        <v>76</v>
      </c>
      <c r="G7" s="233" t="s">
        <v>231</v>
      </c>
      <c r="H7" s="241" t="s">
        <v>77</v>
      </c>
      <c r="I7" s="166" t="s">
        <v>188</v>
      </c>
      <c r="J7" s="54"/>
      <c r="K7" s="182" t="s">
        <v>88</v>
      </c>
      <c r="L7" s="183" t="s">
        <v>186</v>
      </c>
      <c r="M7" s="183"/>
      <c r="N7" s="167"/>
      <c r="O7" s="189" t="s">
        <v>88</v>
      </c>
      <c r="P7" s="189" t="s">
        <v>203</v>
      </c>
      <c r="Q7" s="189" t="s">
        <v>88</v>
      </c>
      <c r="R7" s="221" t="s">
        <v>203</v>
      </c>
    </row>
    <row r="8" spans="1:18" x14ac:dyDescent="0.2">
      <c r="B8" s="56"/>
      <c r="C8" s="242" t="s">
        <v>37</v>
      </c>
      <c r="D8" s="236" t="s">
        <v>38</v>
      </c>
      <c r="E8" s="236" t="s">
        <v>39</v>
      </c>
      <c r="F8" s="236" t="s">
        <v>40</v>
      </c>
      <c r="G8" s="236" t="s">
        <v>41</v>
      </c>
      <c r="H8" s="236" t="s">
        <v>42</v>
      </c>
      <c r="I8" s="57"/>
      <c r="J8" s="57"/>
      <c r="K8" s="184" t="s">
        <v>43</v>
      </c>
      <c r="L8" s="185"/>
      <c r="M8" s="185"/>
      <c r="N8" s="164"/>
      <c r="O8" s="191"/>
      <c r="P8" s="191"/>
      <c r="Q8" s="190"/>
      <c r="R8" s="190"/>
    </row>
    <row r="9" spans="1:18" x14ac:dyDescent="0.2">
      <c r="C9" s="234"/>
      <c r="D9" s="234"/>
      <c r="E9" s="234"/>
      <c r="F9" s="234"/>
      <c r="G9" s="234"/>
      <c r="H9" s="234"/>
      <c r="K9" s="186"/>
      <c r="L9" s="187"/>
      <c r="M9" s="187"/>
      <c r="N9" s="161"/>
      <c r="O9" s="190"/>
      <c r="P9" s="190"/>
      <c r="Q9" s="190"/>
      <c r="R9" s="190"/>
    </row>
    <row r="10" spans="1:18" x14ac:dyDescent="0.2">
      <c r="C10" s="234"/>
      <c r="D10" s="234"/>
      <c r="E10" s="234"/>
      <c r="F10" s="234"/>
      <c r="G10" s="234"/>
      <c r="H10" s="234"/>
      <c r="K10" s="186"/>
      <c r="L10" s="187"/>
      <c r="M10" s="187"/>
      <c r="N10" s="161"/>
      <c r="O10" s="190"/>
      <c r="P10" s="190"/>
      <c r="Q10" s="190"/>
      <c r="R10" s="190"/>
    </row>
    <row r="11" spans="1:18" x14ac:dyDescent="0.2">
      <c r="A11" s="64">
        <v>33</v>
      </c>
      <c r="B11" s="9" t="s">
        <v>89</v>
      </c>
      <c r="C11" s="261">
        <f>'COdiv 2021_old way'!C16</f>
        <v>342169150</v>
      </c>
      <c r="D11" s="244">
        <f>C11/$C$16</f>
        <v>1</v>
      </c>
      <c r="E11" s="261">
        <v>7709732.0199999996</v>
      </c>
      <c r="F11" s="244">
        <f>E11/$E$16</f>
        <v>1</v>
      </c>
      <c r="G11" s="276">
        <f>'COdiv 2021_old way'!G16</f>
        <v>123806</v>
      </c>
      <c r="H11" s="244">
        <f>G11/$G$16</f>
        <v>1</v>
      </c>
      <c r="I11" s="172" t="s">
        <v>165</v>
      </c>
      <c r="J11" s="172"/>
      <c r="K11" s="188">
        <f>AVERAGE(D11,F11,H11)</f>
        <v>1</v>
      </c>
      <c r="L11" s="187" t="s">
        <v>159</v>
      </c>
      <c r="M11" s="187" t="s">
        <v>169</v>
      </c>
      <c r="N11" s="161"/>
      <c r="O11" s="192">
        <f>K11*$O$16</f>
        <v>1.7600000000000001E-2</v>
      </c>
      <c r="P11" s="220" t="s">
        <v>199</v>
      </c>
      <c r="Q11" s="192">
        <f>K11*$Q$16</f>
        <v>0.44219999999999998</v>
      </c>
      <c r="R11" s="193" t="s">
        <v>173</v>
      </c>
    </row>
    <row r="12" spans="1:18" x14ac:dyDescent="0.2">
      <c r="A12" s="64">
        <v>34</v>
      </c>
      <c r="B12" s="9" t="s">
        <v>232</v>
      </c>
      <c r="C12" s="261"/>
      <c r="D12" s="244">
        <f>C12/$C$16</f>
        <v>0</v>
      </c>
      <c r="E12" s="261"/>
      <c r="F12" s="244">
        <f>E12/$E$16</f>
        <v>0</v>
      </c>
      <c r="G12" s="276"/>
      <c r="H12" s="244">
        <f>G12/$G$16</f>
        <v>0</v>
      </c>
      <c r="I12" s="172" t="s">
        <v>166</v>
      </c>
      <c r="J12" s="172"/>
      <c r="K12" s="188">
        <f>AVERAGE(D12,F12,H12)</f>
        <v>0</v>
      </c>
      <c r="L12" s="187" t="s">
        <v>160</v>
      </c>
      <c r="M12" s="187" t="s">
        <v>170</v>
      </c>
      <c r="N12" s="161"/>
      <c r="O12" s="192">
        <f>K12*$O$16</f>
        <v>0</v>
      </c>
      <c r="P12" s="220" t="s">
        <v>200</v>
      </c>
      <c r="Q12" s="192">
        <f>K12*$Q$16</f>
        <v>0</v>
      </c>
      <c r="R12" s="193" t="s">
        <v>174</v>
      </c>
    </row>
    <row r="13" spans="1:18" x14ac:dyDescent="0.2">
      <c r="A13" s="64">
        <v>35</v>
      </c>
      <c r="B13" s="9" t="s">
        <v>232</v>
      </c>
      <c r="C13" s="261"/>
      <c r="D13" s="244">
        <f>C13/$C$16</f>
        <v>0</v>
      </c>
      <c r="E13" s="261"/>
      <c r="F13" s="244">
        <f>E13/$E$16</f>
        <v>0</v>
      </c>
      <c r="G13" s="276"/>
      <c r="H13" s="244">
        <f>G13/$G$16</f>
        <v>0</v>
      </c>
      <c r="I13" s="172" t="s">
        <v>167</v>
      </c>
      <c r="J13" s="172"/>
      <c r="K13" s="188">
        <f>AVERAGE(D13,F13,H13)</f>
        <v>0</v>
      </c>
      <c r="L13" s="187" t="s">
        <v>161</v>
      </c>
      <c r="M13" s="187" t="s">
        <v>171</v>
      </c>
      <c r="N13" s="161"/>
      <c r="O13" s="192">
        <f>K13*$O$16</f>
        <v>0</v>
      </c>
      <c r="P13" s="220" t="s">
        <v>201</v>
      </c>
      <c r="Q13" s="192">
        <f>K13*$Q$16</f>
        <v>0</v>
      </c>
      <c r="R13" s="193" t="s">
        <v>175</v>
      </c>
    </row>
    <row r="14" spans="1:18" x14ac:dyDescent="0.2">
      <c r="A14" s="64">
        <v>36</v>
      </c>
      <c r="B14" s="9" t="s">
        <v>232</v>
      </c>
      <c r="C14" s="261"/>
      <c r="D14" s="244">
        <f>C14/$C$16</f>
        <v>0</v>
      </c>
      <c r="E14" s="261"/>
      <c r="F14" s="244">
        <f>E14/$E$16</f>
        <v>0</v>
      </c>
      <c r="G14" s="276"/>
      <c r="H14" s="244">
        <f>G14/$G$16</f>
        <v>0</v>
      </c>
      <c r="I14" s="172" t="s">
        <v>168</v>
      </c>
      <c r="J14" s="172"/>
      <c r="K14" s="188">
        <f>AVERAGE(D14,F14,H14)</f>
        <v>0</v>
      </c>
      <c r="L14" s="187" t="s">
        <v>162</v>
      </c>
      <c r="M14" s="187" t="s">
        <v>172</v>
      </c>
      <c r="N14" s="161"/>
      <c r="O14" s="192">
        <f>K14*$O$16</f>
        <v>0</v>
      </c>
      <c r="P14" s="220" t="s">
        <v>202</v>
      </c>
      <c r="Q14" s="192">
        <f>K14*$Q$16</f>
        <v>0</v>
      </c>
      <c r="R14" s="193" t="s">
        <v>176</v>
      </c>
    </row>
    <row r="15" spans="1:18" x14ac:dyDescent="0.2">
      <c r="C15" s="262"/>
      <c r="D15" s="260"/>
      <c r="E15" s="270"/>
      <c r="F15" s="255"/>
      <c r="G15" s="277"/>
      <c r="H15" s="265"/>
      <c r="I15" s="68"/>
      <c r="J15" s="68"/>
      <c r="K15" s="69"/>
      <c r="L15" s="165"/>
      <c r="M15" s="165"/>
      <c r="N15" s="165"/>
      <c r="O15" s="190"/>
      <c r="P15" s="190"/>
      <c r="Q15" s="192"/>
      <c r="R15" s="190"/>
    </row>
    <row r="16" spans="1:18" x14ac:dyDescent="0.2">
      <c r="B16" s="9" t="s">
        <v>1</v>
      </c>
      <c r="C16" s="257">
        <f>SUM(C11:C14)</f>
        <v>342169150</v>
      </c>
      <c r="D16" s="244">
        <f>SUM(D11:D14)</f>
        <v>1</v>
      </c>
      <c r="E16" s="261">
        <f>SUM(E11:E14)</f>
        <v>7709732.0199999996</v>
      </c>
      <c r="F16" s="244">
        <f t="shared" ref="F16" si="0">SUM(F11:F14)</f>
        <v>1</v>
      </c>
      <c r="G16" s="261">
        <f>SUM(G11:G14)</f>
        <v>123806</v>
      </c>
      <c r="H16" s="244">
        <f>SUM(H11:H14)</f>
        <v>1</v>
      </c>
      <c r="I16" s="100"/>
      <c r="J16" s="100"/>
      <c r="K16" s="101">
        <f>SUM(K11:K14)</f>
        <v>1</v>
      </c>
      <c r="L16" s="161"/>
      <c r="M16" s="161"/>
      <c r="N16" s="161"/>
      <c r="O16" s="215">
        <v>1.7600000000000001E-2</v>
      </c>
      <c r="P16" s="215"/>
      <c r="Q16" s="192">
        <v>0.44219999999999998</v>
      </c>
      <c r="R16" s="190"/>
    </row>
    <row r="17" spans="1:17" x14ac:dyDescent="0.2">
      <c r="C17" s="105"/>
      <c r="E17" s="34"/>
      <c r="L17" s="161"/>
      <c r="M17" s="161"/>
      <c r="N17" s="161"/>
    </row>
    <row r="18" spans="1:17" x14ac:dyDescent="0.2">
      <c r="A18" s="41"/>
      <c r="B18" s="124"/>
      <c r="C18" s="105"/>
      <c r="E18" s="34"/>
      <c r="G18" s="67"/>
      <c r="L18" s="161"/>
      <c r="M18" s="161"/>
      <c r="N18" s="161"/>
      <c r="Q18" s="41"/>
    </row>
    <row r="19" spans="1:17" x14ac:dyDescent="0.2">
      <c r="A19" s="9" t="s">
        <v>180</v>
      </c>
      <c r="B19" s="124"/>
      <c r="C19" s="105"/>
      <c r="K19" s="100"/>
      <c r="L19" s="161"/>
      <c r="Q19" s="41"/>
    </row>
    <row r="20" spans="1:17" x14ac:dyDescent="0.2">
      <c r="B20" s="124"/>
      <c r="C20" s="105"/>
      <c r="K20" s="100"/>
    </row>
    <row r="21" spans="1:17" x14ac:dyDescent="0.2">
      <c r="B21" s="124"/>
      <c r="C21" s="105"/>
      <c r="K21" s="100"/>
    </row>
    <row r="22" spans="1:17" x14ac:dyDescent="0.2">
      <c r="B22" s="124"/>
      <c r="C22" s="105"/>
      <c r="K22" s="100"/>
    </row>
    <row r="23" spans="1:17" x14ac:dyDescent="0.2">
      <c r="B23" s="124"/>
      <c r="C23" s="105"/>
      <c r="K23" s="280"/>
    </row>
    <row r="24" spans="1:17" x14ac:dyDescent="0.2">
      <c r="B24" s="124"/>
      <c r="C24" s="105"/>
    </row>
    <row r="25" spans="1:17" x14ac:dyDescent="0.2">
      <c r="B25" s="124"/>
      <c r="C25" s="105"/>
    </row>
    <row r="26" spans="1:17" x14ac:dyDescent="0.2">
      <c r="B26" s="124"/>
      <c r="C26" s="105"/>
    </row>
    <row r="27" spans="1:17" x14ac:dyDescent="0.2">
      <c r="B27" s="124"/>
      <c r="C27" s="105"/>
    </row>
    <row r="28" spans="1:17" x14ac:dyDescent="0.2">
      <c r="B28" s="124"/>
      <c r="C28" s="105"/>
    </row>
    <row r="29" spans="1:17" x14ac:dyDescent="0.2">
      <c r="B29" s="124"/>
      <c r="C29" s="105"/>
    </row>
    <row r="30" spans="1:17" x14ac:dyDescent="0.2">
      <c r="B30" s="124"/>
      <c r="C30" s="105"/>
    </row>
    <row r="31" spans="1:17" x14ac:dyDescent="0.2">
      <c r="B31" s="124"/>
      <c r="C31" s="105"/>
    </row>
    <row r="32" spans="1:17" x14ac:dyDescent="0.2">
      <c r="B32" s="124"/>
      <c r="C32" s="105"/>
    </row>
    <row r="33" spans="2:3" x14ac:dyDescent="0.2">
      <c r="B33" s="124"/>
      <c r="C33" s="105"/>
    </row>
    <row r="34" spans="2:3" x14ac:dyDescent="0.2">
      <c r="B34" s="124"/>
      <c r="C34" s="105"/>
    </row>
  </sheetData>
  <mergeCells count="5">
    <mergeCell ref="A1:K1"/>
    <mergeCell ref="A2:K2"/>
    <mergeCell ref="A3:K3"/>
    <mergeCell ref="A4:K4"/>
    <mergeCell ref="K5:Q5"/>
  </mergeCells>
  <pageMargins left="0.5" right="0" top="1" bottom="1" header="0.5" footer="0.5"/>
  <pageSetup scale="60" orientation="landscape" r:id="rId1"/>
  <headerFooter alignWithMargins="0">
    <oddFooter>&amp;L&amp;"Times New Roman,Italic"General Accounting&amp;R&amp;"Times New Roman,Italic"&amp;T&amp;D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4EA41-AF69-4260-AC17-938CB642C50B}">
  <sheetPr codeName="Sheet2">
    <tabColor rgb="FF00B050"/>
    <pageSetUpPr fitToPage="1"/>
  </sheetPr>
  <dimension ref="A1:S34"/>
  <sheetViews>
    <sheetView topLeftCell="G10" workbookViewId="0">
      <selection activeCell="O26" sqref="O26"/>
    </sheetView>
  </sheetViews>
  <sheetFormatPr defaultColWidth="9.140625" defaultRowHeight="12.75" x14ac:dyDescent="0.2"/>
  <cols>
    <col min="1" max="1" width="6.5703125" style="9" customWidth="1"/>
    <col min="2" max="2" width="23.28515625" style="9" customWidth="1"/>
    <col min="3" max="3" width="16.85546875" style="9" customWidth="1"/>
    <col min="4" max="4" width="13.42578125" style="9" customWidth="1"/>
    <col min="5" max="5" width="14.7109375" style="9" customWidth="1"/>
    <col min="6" max="6" width="13.7109375" style="9" customWidth="1"/>
    <col min="7" max="7" width="13.28515625" style="9" customWidth="1"/>
    <col min="8" max="9" width="11.42578125" style="9" customWidth="1"/>
    <col min="10" max="10" width="3.5703125" style="9" customWidth="1"/>
    <col min="11" max="11" width="12.42578125" style="9" customWidth="1"/>
    <col min="12" max="12" width="12" style="160" bestFit="1" customWidth="1"/>
    <col min="13" max="13" width="8.140625" style="160" bestFit="1" customWidth="1"/>
    <col min="14" max="14" width="3.85546875" style="160" customWidth="1"/>
    <col min="15" max="15" width="18.5703125" style="9" bestFit="1" customWidth="1"/>
    <col min="16" max="16" width="9.5703125" style="9" bestFit="1" customWidth="1"/>
    <col min="17" max="17" width="18.5703125" style="9" bestFit="1" customWidth="1"/>
    <col min="18" max="18" width="9.5703125" style="9" bestFit="1" customWidth="1"/>
    <col min="19" max="16384" width="9.140625" style="9"/>
  </cols>
  <sheetData>
    <row r="1" spans="1:18" ht="14.25" x14ac:dyDescent="0.2">
      <c r="A1" s="300" t="s">
        <v>17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163"/>
      <c r="M1" s="163"/>
      <c r="N1" s="163"/>
    </row>
    <row r="2" spans="1:18" ht="14.25" x14ac:dyDescent="0.2">
      <c r="A2" s="300" t="s">
        <v>87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163"/>
      <c r="M2" s="163"/>
      <c r="N2" s="163"/>
    </row>
    <row r="3" spans="1:18" ht="14.25" x14ac:dyDescent="0.2">
      <c r="A3" s="300" t="s">
        <v>48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163"/>
      <c r="M3" s="163"/>
      <c r="N3" s="163"/>
    </row>
    <row r="4" spans="1:18" ht="14.25" x14ac:dyDescent="0.2">
      <c r="A4" s="300" t="s">
        <v>225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163"/>
      <c r="M4" s="163"/>
      <c r="N4" s="163"/>
      <c r="O4" s="41" t="s">
        <v>190</v>
      </c>
      <c r="P4" s="41"/>
    </row>
    <row r="5" spans="1:18" x14ac:dyDescent="0.2">
      <c r="K5" s="302"/>
      <c r="L5" s="302"/>
      <c r="M5" s="302"/>
      <c r="N5" s="302"/>
      <c r="O5" s="302"/>
      <c r="P5" s="302"/>
      <c r="Q5" s="302"/>
    </row>
    <row r="6" spans="1:18" x14ac:dyDescent="0.2">
      <c r="K6" s="41" t="s">
        <v>108</v>
      </c>
      <c r="L6" s="161"/>
      <c r="M6" s="161"/>
      <c r="N6" s="161"/>
      <c r="O6" s="41" t="s">
        <v>109</v>
      </c>
      <c r="P6" s="41"/>
      <c r="Q6" s="41" t="s">
        <v>110</v>
      </c>
    </row>
    <row r="7" spans="1:18" ht="38.25" x14ac:dyDescent="0.2">
      <c r="A7" s="53" t="s">
        <v>31</v>
      </c>
      <c r="B7" s="53" t="s">
        <v>32</v>
      </c>
      <c r="C7" s="233" t="s">
        <v>228</v>
      </c>
      <c r="D7" s="241" t="s">
        <v>75</v>
      </c>
      <c r="E7" s="233" t="s">
        <v>229</v>
      </c>
      <c r="F7" s="241" t="s">
        <v>76</v>
      </c>
      <c r="G7" s="233" t="s">
        <v>231</v>
      </c>
      <c r="H7" s="241" t="s">
        <v>77</v>
      </c>
      <c r="I7" s="166" t="s">
        <v>188</v>
      </c>
      <c r="J7" s="54"/>
      <c r="K7" s="182" t="s">
        <v>88</v>
      </c>
      <c r="L7" s="183" t="s">
        <v>186</v>
      </c>
      <c r="M7" s="183"/>
      <c r="N7" s="167"/>
      <c r="O7" s="189" t="s">
        <v>88</v>
      </c>
      <c r="P7" s="189" t="s">
        <v>203</v>
      </c>
      <c r="Q7" s="189" t="s">
        <v>88</v>
      </c>
      <c r="R7" s="221" t="s">
        <v>203</v>
      </c>
    </row>
    <row r="8" spans="1:18" x14ac:dyDescent="0.2">
      <c r="B8" s="56"/>
      <c r="C8" s="242" t="s">
        <v>37</v>
      </c>
      <c r="D8" s="236" t="s">
        <v>38</v>
      </c>
      <c r="E8" s="236" t="s">
        <v>39</v>
      </c>
      <c r="F8" s="236" t="s">
        <v>40</v>
      </c>
      <c r="G8" s="236" t="s">
        <v>41</v>
      </c>
      <c r="H8" s="236" t="s">
        <v>42</v>
      </c>
      <c r="I8" s="57"/>
      <c r="J8" s="57"/>
      <c r="K8" s="184" t="s">
        <v>43</v>
      </c>
      <c r="L8" s="185"/>
      <c r="M8" s="185"/>
      <c r="N8" s="164"/>
      <c r="O8" s="191"/>
      <c r="P8" s="191"/>
      <c r="Q8" s="190"/>
      <c r="R8" s="190"/>
    </row>
    <row r="9" spans="1:18" x14ac:dyDescent="0.2">
      <c r="C9" s="234"/>
      <c r="D9" s="234"/>
      <c r="E9" s="234"/>
      <c r="F9" s="234"/>
      <c r="G9" s="234"/>
      <c r="H9" s="234"/>
      <c r="K9" s="186"/>
      <c r="L9" s="187"/>
      <c r="M9" s="187"/>
      <c r="N9" s="161"/>
      <c r="O9" s="190"/>
      <c r="P9" s="190"/>
      <c r="Q9" s="190"/>
      <c r="R9" s="190"/>
    </row>
    <row r="10" spans="1:18" x14ac:dyDescent="0.2">
      <c r="C10" s="234"/>
      <c r="D10" s="234"/>
      <c r="E10" s="234"/>
      <c r="F10" s="234"/>
      <c r="G10" s="234"/>
      <c r="H10" s="234"/>
      <c r="K10" s="186"/>
      <c r="L10" s="187"/>
      <c r="M10" s="187"/>
      <c r="N10" s="161"/>
      <c r="O10" s="190"/>
      <c r="P10" s="190"/>
      <c r="Q10" s="190"/>
      <c r="R10" s="190"/>
    </row>
    <row r="11" spans="1:18" x14ac:dyDescent="0.2">
      <c r="A11" s="64">
        <v>33</v>
      </c>
      <c r="B11" s="9" t="s">
        <v>89</v>
      </c>
      <c r="C11" s="261">
        <f>'COdiv 2021_old way'!C16</f>
        <v>342169150</v>
      </c>
      <c r="D11" s="244">
        <f>C11/$C$16</f>
        <v>1</v>
      </c>
      <c r="E11" s="261">
        <v>7709732.0199999996</v>
      </c>
      <c r="F11" s="244">
        <f>E11/$E$16</f>
        <v>1</v>
      </c>
      <c r="G11" s="276">
        <f>'COdiv 2021_old way'!G16</f>
        <v>123806</v>
      </c>
      <c r="H11" s="244">
        <f>G11/$G$16</f>
        <v>1</v>
      </c>
      <c r="I11" s="172" t="s">
        <v>165</v>
      </c>
      <c r="J11" s="172"/>
      <c r="K11" s="188">
        <f>AVERAGE(D11,F11,H11)</f>
        <v>1</v>
      </c>
      <c r="L11" s="187" t="s">
        <v>159</v>
      </c>
      <c r="M11" s="187" t="s">
        <v>169</v>
      </c>
      <c r="N11" s="161"/>
      <c r="O11" s="192">
        <f>K11*$O$16</f>
        <v>1.7600000000000001E-2</v>
      </c>
      <c r="P11" s="220" t="s">
        <v>199</v>
      </c>
      <c r="Q11" s="192">
        <f>K11*$Q$16</f>
        <v>0.44219999999999998</v>
      </c>
      <c r="R11" s="193" t="s">
        <v>173</v>
      </c>
    </row>
    <row r="12" spans="1:18" x14ac:dyDescent="0.2">
      <c r="A12" s="64">
        <v>34</v>
      </c>
      <c r="B12" s="9" t="s">
        <v>232</v>
      </c>
      <c r="C12" s="261"/>
      <c r="D12" s="244">
        <f>C12/$C$16</f>
        <v>0</v>
      </c>
      <c r="E12" s="261"/>
      <c r="F12" s="244">
        <f>E12/$E$16</f>
        <v>0</v>
      </c>
      <c r="G12" s="276"/>
      <c r="H12" s="244">
        <f>G12/$G$16</f>
        <v>0</v>
      </c>
      <c r="I12" s="172" t="s">
        <v>166</v>
      </c>
      <c r="J12" s="172"/>
      <c r="K12" s="188">
        <f>AVERAGE(D12,F12,H12)</f>
        <v>0</v>
      </c>
      <c r="L12" s="187" t="s">
        <v>160</v>
      </c>
      <c r="M12" s="187" t="s">
        <v>170</v>
      </c>
      <c r="N12" s="161"/>
      <c r="O12" s="192">
        <f>K12*$O$16</f>
        <v>0</v>
      </c>
      <c r="P12" s="220" t="s">
        <v>200</v>
      </c>
      <c r="Q12" s="192">
        <f>K12*$Q$16</f>
        <v>0</v>
      </c>
      <c r="R12" s="193" t="s">
        <v>174</v>
      </c>
    </row>
    <row r="13" spans="1:18" x14ac:dyDescent="0.2">
      <c r="A13" s="64">
        <v>35</v>
      </c>
      <c r="B13" s="9" t="s">
        <v>232</v>
      </c>
      <c r="C13" s="261"/>
      <c r="D13" s="244">
        <f>C13/$C$16</f>
        <v>0</v>
      </c>
      <c r="E13" s="261"/>
      <c r="F13" s="244">
        <f>E13/$E$16</f>
        <v>0</v>
      </c>
      <c r="G13" s="276"/>
      <c r="H13" s="244">
        <f>G13/$G$16</f>
        <v>0</v>
      </c>
      <c r="I13" s="172" t="s">
        <v>167</v>
      </c>
      <c r="J13" s="172"/>
      <c r="K13" s="188">
        <f>AVERAGE(D13,F13,H13)</f>
        <v>0</v>
      </c>
      <c r="L13" s="187" t="s">
        <v>161</v>
      </c>
      <c r="M13" s="187" t="s">
        <v>171</v>
      </c>
      <c r="N13" s="161"/>
      <c r="O13" s="192">
        <f>K13*$O$16</f>
        <v>0</v>
      </c>
      <c r="P13" s="220" t="s">
        <v>201</v>
      </c>
      <c r="Q13" s="192">
        <f>K13*$Q$16</f>
        <v>0</v>
      </c>
      <c r="R13" s="193" t="s">
        <v>175</v>
      </c>
    </row>
    <row r="14" spans="1:18" x14ac:dyDescent="0.2">
      <c r="A14" s="64">
        <v>36</v>
      </c>
      <c r="B14" s="9" t="s">
        <v>232</v>
      </c>
      <c r="C14" s="261"/>
      <c r="D14" s="244">
        <f>C14/$C$16</f>
        <v>0</v>
      </c>
      <c r="E14" s="261"/>
      <c r="F14" s="244">
        <f>E14/$E$16</f>
        <v>0</v>
      </c>
      <c r="G14" s="276"/>
      <c r="H14" s="244">
        <f>G14/$G$16</f>
        <v>0</v>
      </c>
      <c r="I14" s="172" t="s">
        <v>168</v>
      </c>
      <c r="J14" s="172"/>
      <c r="K14" s="188">
        <f>AVERAGE(D14,F14,H14)</f>
        <v>0</v>
      </c>
      <c r="L14" s="187" t="s">
        <v>162</v>
      </c>
      <c r="M14" s="187" t="s">
        <v>172</v>
      </c>
      <c r="N14" s="161"/>
      <c r="O14" s="192">
        <f>K14*$O$16</f>
        <v>0</v>
      </c>
      <c r="P14" s="220" t="s">
        <v>202</v>
      </c>
      <c r="Q14" s="192">
        <f>K14*$Q$16</f>
        <v>0</v>
      </c>
      <c r="R14" s="193" t="s">
        <v>176</v>
      </c>
    </row>
    <row r="15" spans="1:18" x14ac:dyDescent="0.2">
      <c r="C15" s="262"/>
      <c r="D15" s="260"/>
      <c r="E15" s="270"/>
      <c r="F15" s="255"/>
      <c r="G15" s="277"/>
      <c r="H15" s="265"/>
      <c r="I15" s="68"/>
      <c r="J15" s="68"/>
      <c r="K15" s="69"/>
      <c r="L15" s="165"/>
      <c r="M15" s="165"/>
      <c r="N15" s="165"/>
      <c r="O15" s="190"/>
      <c r="P15" s="190"/>
      <c r="Q15" s="192"/>
      <c r="R15" s="190"/>
    </row>
    <row r="16" spans="1:18" x14ac:dyDescent="0.2">
      <c r="B16" s="9" t="s">
        <v>1</v>
      </c>
      <c r="C16" s="257">
        <f>SUM(C11:C14)</f>
        <v>342169150</v>
      </c>
      <c r="D16" s="244">
        <f>SUM(D11:D14)</f>
        <v>1</v>
      </c>
      <c r="E16" s="261">
        <f>SUM(E11:E14)</f>
        <v>7709732.0199999996</v>
      </c>
      <c r="F16" s="244">
        <f t="shared" ref="F16" si="0">SUM(F11:F14)</f>
        <v>1</v>
      </c>
      <c r="G16" s="261">
        <f>SUM(G11:G14)</f>
        <v>123806</v>
      </c>
      <c r="H16" s="244">
        <f>SUM(H11:H14)</f>
        <v>1</v>
      </c>
      <c r="I16" s="100"/>
      <c r="J16" s="100"/>
      <c r="K16" s="101">
        <f>SUM(K11:K14)</f>
        <v>1</v>
      </c>
      <c r="L16" s="161"/>
      <c r="M16" s="161"/>
      <c r="N16" s="161"/>
      <c r="O16" s="215">
        <v>1.7600000000000001E-2</v>
      </c>
      <c r="P16" s="215"/>
      <c r="Q16" s="192">
        <v>0.44219999999999998</v>
      </c>
      <c r="R16" s="190"/>
    </row>
    <row r="17" spans="1:19" x14ac:dyDescent="0.2">
      <c r="C17" s="105"/>
      <c r="E17" s="34"/>
      <c r="L17" s="161"/>
      <c r="M17" s="161"/>
      <c r="N17" s="161"/>
    </row>
    <row r="18" spans="1:19" x14ac:dyDescent="0.2">
      <c r="A18" s="41"/>
      <c r="B18" s="124"/>
      <c r="C18" s="105"/>
      <c r="E18" s="34"/>
      <c r="G18" s="67"/>
      <c r="L18" s="161"/>
      <c r="M18" s="161"/>
      <c r="N18" s="161"/>
      <c r="Q18" s="41"/>
    </row>
    <row r="19" spans="1:19" x14ac:dyDescent="0.2">
      <c r="A19" s="9" t="s">
        <v>180</v>
      </c>
      <c r="B19" s="124"/>
      <c r="C19" s="105"/>
      <c r="K19" s="100"/>
      <c r="L19" s="161"/>
      <c r="O19" s="281">
        <v>6.3899999999999998E-2</v>
      </c>
      <c r="P19" s="41" t="s">
        <v>241</v>
      </c>
      <c r="Q19" s="41"/>
    </row>
    <row r="20" spans="1:19" x14ac:dyDescent="0.2">
      <c r="B20" s="124"/>
      <c r="C20" s="105"/>
      <c r="K20" s="100"/>
    </row>
    <row r="21" spans="1:19" ht="14.25" x14ac:dyDescent="0.2">
      <c r="B21" s="124"/>
      <c r="C21" s="105"/>
      <c r="K21" s="286">
        <v>10</v>
      </c>
      <c r="L21" s="287">
        <v>0</v>
      </c>
      <c r="M21" s="287">
        <v>9229</v>
      </c>
      <c r="N21" s="288" t="s">
        <v>149</v>
      </c>
      <c r="O21" s="289">
        <v>0</v>
      </c>
      <c r="P21" s="287">
        <v>0</v>
      </c>
      <c r="Q21" s="290">
        <v>44.37</v>
      </c>
      <c r="R21" s="291"/>
      <c r="S21" s="292" t="s">
        <v>242</v>
      </c>
    </row>
    <row r="22" spans="1:19" ht="14.25" x14ac:dyDescent="0.2">
      <c r="B22" s="124"/>
      <c r="C22" s="105"/>
      <c r="K22" s="286">
        <v>10</v>
      </c>
      <c r="L22" s="287">
        <v>0</v>
      </c>
      <c r="M22" s="287">
        <v>9229</v>
      </c>
      <c r="N22" s="288" t="s">
        <v>150</v>
      </c>
      <c r="O22" s="289">
        <v>0</v>
      </c>
      <c r="P22" s="287">
        <v>0</v>
      </c>
      <c r="Q22" s="290">
        <v>55.63</v>
      </c>
      <c r="R22" s="291"/>
      <c r="S22" s="292" t="s">
        <v>242</v>
      </c>
    </row>
    <row r="23" spans="1:19" x14ac:dyDescent="0.2">
      <c r="B23" s="124"/>
      <c r="C23" s="105"/>
      <c r="K23" s="280"/>
    </row>
    <row r="24" spans="1:19" ht="14.25" x14ac:dyDescent="0.2">
      <c r="B24" s="124"/>
      <c r="C24" s="105"/>
      <c r="O24" s="290">
        <v>44.37</v>
      </c>
      <c r="P24" s="105">
        <f>O24*O19</f>
        <v>2.8352429999999997</v>
      </c>
      <c r="Q24" s="41" t="s">
        <v>243</v>
      </c>
      <c r="R24" s="288" t="s">
        <v>199</v>
      </c>
    </row>
    <row r="25" spans="1:19" ht="14.25" x14ac:dyDescent="0.2">
      <c r="B25" s="124"/>
      <c r="C25" s="105"/>
      <c r="O25" s="290">
        <v>55.63</v>
      </c>
      <c r="P25" s="105">
        <f>O25*O19</f>
        <v>3.5547569999999999</v>
      </c>
      <c r="Q25" s="41" t="s">
        <v>244</v>
      </c>
      <c r="R25" s="288" t="s">
        <v>245</v>
      </c>
    </row>
    <row r="26" spans="1:19" x14ac:dyDescent="0.2">
      <c r="B26" s="124"/>
      <c r="C26" s="105"/>
    </row>
    <row r="27" spans="1:19" x14ac:dyDescent="0.2">
      <c r="B27" s="124"/>
      <c r="C27" s="105"/>
    </row>
    <row r="28" spans="1:19" x14ac:dyDescent="0.2">
      <c r="B28" s="124"/>
      <c r="C28" s="105"/>
    </row>
    <row r="29" spans="1:19" x14ac:dyDescent="0.2">
      <c r="B29" s="124"/>
      <c r="C29" s="105"/>
    </row>
    <row r="30" spans="1:19" x14ac:dyDescent="0.2">
      <c r="B30" s="124"/>
      <c r="C30" s="105"/>
    </row>
    <row r="31" spans="1:19" x14ac:dyDescent="0.2">
      <c r="B31" s="124"/>
      <c r="C31" s="105"/>
    </row>
    <row r="32" spans="1:19" x14ac:dyDescent="0.2">
      <c r="B32" s="124"/>
      <c r="C32" s="105"/>
    </row>
    <row r="33" spans="2:3" x14ac:dyDescent="0.2">
      <c r="B33" s="124"/>
      <c r="C33" s="105"/>
    </row>
    <row r="34" spans="2:3" x14ac:dyDescent="0.2">
      <c r="B34" s="124"/>
      <c r="C34" s="105"/>
    </row>
  </sheetData>
  <mergeCells count="5">
    <mergeCell ref="A1:K1"/>
    <mergeCell ref="A2:K2"/>
    <mergeCell ref="A3:K3"/>
    <mergeCell ref="A4:K4"/>
    <mergeCell ref="K5:Q5"/>
  </mergeCells>
  <pageMargins left="0.5" right="0" top="1" bottom="1" header="0.5" footer="0.5"/>
  <pageSetup scale="60" orientation="landscape" r:id="rId1"/>
  <headerFooter alignWithMargins="0">
    <oddFooter>&amp;L&amp;"Times New Roman,Italic"General Accounting&amp;R&amp;"Times New Roman,Italic"&amp;T&amp;D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5">
    <tabColor rgb="FF00B050"/>
    <pageSetUpPr fitToPage="1"/>
  </sheetPr>
  <dimension ref="A1:T39"/>
  <sheetViews>
    <sheetView workbookViewId="0">
      <selection activeCell="I5" sqref="I5"/>
    </sheetView>
  </sheetViews>
  <sheetFormatPr defaultColWidth="9.140625" defaultRowHeight="12.75" x14ac:dyDescent="0.2"/>
  <cols>
    <col min="1" max="1" width="6.140625" style="9" customWidth="1"/>
    <col min="2" max="2" width="24.5703125" style="9" customWidth="1"/>
    <col min="3" max="4" width="16.7109375" style="9" customWidth="1"/>
    <col min="5" max="5" width="12.42578125" style="9" customWidth="1"/>
    <col min="6" max="7" width="15.42578125" style="9" customWidth="1"/>
    <col min="8" max="8" width="12.140625" style="9" customWidth="1"/>
    <col min="9" max="10" width="13.28515625" style="9" customWidth="1"/>
    <col min="11" max="11" width="11.42578125" style="9" customWidth="1"/>
    <col min="12" max="12" width="11.85546875" style="9" customWidth="1"/>
    <col min="13" max="13" width="15.140625" style="9" customWidth="1"/>
    <col min="14" max="14" width="7.5703125" style="9" bestFit="1" customWidth="1"/>
    <col min="15" max="15" width="20" style="9" bestFit="1" customWidth="1"/>
    <col min="16" max="16" width="10.28515625" style="9" bestFit="1" customWidth="1"/>
    <col min="17" max="19" width="9.140625" style="9"/>
    <col min="20" max="20" width="21.7109375" style="9" bestFit="1" customWidth="1"/>
    <col min="21" max="16384" width="9.140625" style="9"/>
  </cols>
  <sheetData>
    <row r="1" spans="1:20" ht="14.25" x14ac:dyDescent="0.2">
      <c r="A1" s="300" t="s">
        <v>17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</row>
    <row r="2" spans="1:20" ht="14.25" x14ac:dyDescent="0.2">
      <c r="A2" s="300" t="s">
        <v>52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</row>
    <row r="3" spans="1:20" ht="14.25" x14ac:dyDescent="0.2">
      <c r="A3" s="301" t="s">
        <v>30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</row>
    <row r="4" spans="1:20" ht="14.25" x14ac:dyDescent="0.2">
      <c r="A4" s="300" t="s">
        <v>225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</row>
    <row r="6" spans="1:20" x14ac:dyDescent="0.2">
      <c r="K6" s="59" t="s">
        <v>73</v>
      </c>
      <c r="L6" s="59"/>
      <c r="M6" s="59" t="s">
        <v>74</v>
      </c>
    </row>
    <row r="7" spans="1:20" ht="38.25" x14ac:dyDescent="0.2">
      <c r="A7" s="53" t="s">
        <v>31</v>
      </c>
      <c r="B7" s="53" t="s">
        <v>32</v>
      </c>
      <c r="C7" s="233" t="s">
        <v>228</v>
      </c>
      <c r="D7" s="233" t="s">
        <v>211</v>
      </c>
      <c r="E7" s="241" t="s">
        <v>53</v>
      </c>
      <c r="F7" s="233" t="s">
        <v>229</v>
      </c>
      <c r="G7" s="233" t="s">
        <v>211</v>
      </c>
      <c r="H7" s="241" t="s">
        <v>54</v>
      </c>
      <c r="I7" s="233" t="s">
        <v>230</v>
      </c>
      <c r="J7" s="233" t="s">
        <v>211</v>
      </c>
      <c r="K7" s="182" t="s">
        <v>55</v>
      </c>
      <c r="L7" s="235" t="s">
        <v>187</v>
      </c>
      <c r="M7" s="182" t="s">
        <v>56</v>
      </c>
      <c r="N7" s="168" t="s">
        <v>186</v>
      </c>
    </row>
    <row r="8" spans="1:20" x14ac:dyDescent="0.2">
      <c r="B8" s="56"/>
      <c r="C8" s="242" t="s">
        <v>37</v>
      </c>
      <c r="D8" s="242"/>
      <c r="E8" s="236" t="s">
        <v>38</v>
      </c>
      <c r="F8" s="236" t="s">
        <v>39</v>
      </c>
      <c r="G8" s="236"/>
      <c r="H8" s="236" t="s">
        <v>40</v>
      </c>
      <c r="I8" s="236" t="s">
        <v>41</v>
      </c>
      <c r="J8" s="236"/>
      <c r="K8" s="184" t="s">
        <v>42</v>
      </c>
      <c r="L8" s="236"/>
      <c r="M8" s="184" t="s">
        <v>43</v>
      </c>
      <c r="N8" s="66"/>
    </row>
    <row r="9" spans="1:20" x14ac:dyDescent="0.2">
      <c r="C9" s="234"/>
      <c r="D9" s="234"/>
      <c r="E9" s="234"/>
      <c r="F9" s="234"/>
      <c r="G9" s="234"/>
      <c r="H9" s="234"/>
      <c r="I9" s="234"/>
      <c r="J9" s="234"/>
      <c r="K9" s="186"/>
      <c r="L9" s="234"/>
      <c r="M9" s="186"/>
      <c r="O9" s="41" t="s">
        <v>217</v>
      </c>
      <c r="P9" s="41" t="s">
        <v>222</v>
      </c>
      <c r="T9" s="41"/>
    </row>
    <row r="10" spans="1:20" x14ac:dyDescent="0.2">
      <c r="C10" s="234"/>
      <c r="D10" s="234"/>
      <c r="E10" s="234"/>
      <c r="F10" s="234"/>
      <c r="G10" s="234"/>
      <c r="H10" s="234"/>
      <c r="I10" s="234"/>
      <c r="J10" s="234"/>
      <c r="K10" s="186"/>
      <c r="L10" s="234"/>
      <c r="M10" s="186"/>
      <c r="O10" s="41" t="s">
        <v>163</v>
      </c>
      <c r="P10" s="41" t="s">
        <v>164</v>
      </c>
    </row>
    <row r="11" spans="1:20" x14ac:dyDescent="0.2">
      <c r="A11" s="125">
        <v>1</v>
      </c>
      <c r="B11" s="9" t="s">
        <v>57</v>
      </c>
      <c r="C11" s="243">
        <v>0</v>
      </c>
      <c r="D11" s="237"/>
      <c r="E11" s="244">
        <f>D11/$D$29</f>
        <v>0</v>
      </c>
      <c r="F11" s="237">
        <v>0</v>
      </c>
      <c r="G11" s="237"/>
      <c r="H11" s="244">
        <f>G11/$G$29</f>
        <v>0</v>
      </c>
      <c r="I11" s="237">
        <v>0</v>
      </c>
      <c r="J11" s="237"/>
      <c r="K11" s="238">
        <f>J11/$J$29</f>
        <v>0</v>
      </c>
      <c r="L11" s="239"/>
      <c r="M11" s="238">
        <f>AVERAGE(E11,H11,K11)</f>
        <v>0</v>
      </c>
      <c r="N11" s="161"/>
      <c r="O11" s="108">
        <f>ROUND(K11,4)</f>
        <v>0</v>
      </c>
      <c r="P11" s="108">
        <f>ROUND(M11,4)</f>
        <v>0</v>
      </c>
      <c r="Q11" s="41"/>
    </row>
    <row r="12" spans="1:20" x14ac:dyDescent="0.2">
      <c r="A12" s="126">
        <v>3</v>
      </c>
      <c r="B12" s="9" t="s">
        <v>58</v>
      </c>
      <c r="C12" s="243">
        <v>0</v>
      </c>
      <c r="D12" s="237"/>
      <c r="E12" s="244">
        <f t="shared" ref="E12:E27" si="0">D12/$D$29</f>
        <v>0</v>
      </c>
      <c r="F12" s="237">
        <v>0</v>
      </c>
      <c r="G12" s="237"/>
      <c r="H12" s="244">
        <f t="shared" ref="H12:H27" si="1">G12/$G$29</f>
        <v>0</v>
      </c>
      <c r="I12" s="237"/>
      <c r="J12" s="237"/>
      <c r="K12" s="238">
        <f>J12/$J$29</f>
        <v>0</v>
      </c>
      <c r="L12" s="187" t="s">
        <v>137</v>
      </c>
      <c r="M12" s="238">
        <f>AVERAGE(E12,H12,K12)</f>
        <v>0</v>
      </c>
      <c r="N12" s="161" t="s">
        <v>124</v>
      </c>
      <c r="O12" s="108">
        <f t="shared" ref="O12:O27" si="2">ROUND(K12,4)</f>
        <v>0</v>
      </c>
      <c r="P12" s="108">
        <f t="shared" ref="P12:P27" si="3">ROUND(M12,4)</f>
        <v>0</v>
      </c>
    </row>
    <row r="13" spans="1:20" x14ac:dyDescent="0.2">
      <c r="A13" s="127">
        <v>4</v>
      </c>
      <c r="B13" s="9" t="s">
        <v>59</v>
      </c>
      <c r="C13" s="243">
        <v>0</v>
      </c>
      <c r="D13" s="237"/>
      <c r="E13" s="244">
        <f t="shared" si="0"/>
        <v>0</v>
      </c>
      <c r="F13" s="237">
        <v>0</v>
      </c>
      <c r="G13" s="237"/>
      <c r="H13" s="244">
        <f t="shared" si="1"/>
        <v>0</v>
      </c>
      <c r="I13" s="237"/>
      <c r="J13" s="237"/>
      <c r="K13" s="238">
        <f>J13/$J$29</f>
        <v>0</v>
      </c>
      <c r="L13" s="187" t="s">
        <v>138</v>
      </c>
      <c r="M13" s="238">
        <f>AVERAGE(E13,H13,K13)</f>
        <v>0</v>
      </c>
      <c r="N13" s="161" t="s">
        <v>125</v>
      </c>
      <c r="O13" s="108">
        <f t="shared" si="2"/>
        <v>0</v>
      </c>
      <c r="P13" s="108">
        <f>ROUND(M13,4)</f>
        <v>0</v>
      </c>
    </row>
    <row r="14" spans="1:20" x14ac:dyDescent="0.2">
      <c r="A14" s="126">
        <v>5</v>
      </c>
      <c r="B14" s="9" t="s">
        <v>60</v>
      </c>
      <c r="C14" s="245">
        <f>1027447046.7+28.48+63045.86</f>
        <v>1027510121.0400001</v>
      </c>
      <c r="D14" s="237">
        <f>C12+C13+C14+C18+C15+C22+C23+C21+C25+C26+C19</f>
        <v>1027510121.0400001</v>
      </c>
      <c r="E14" s="244">
        <f>D14/$D$29</f>
        <v>0.9522766570871779</v>
      </c>
      <c r="F14" s="237">
        <v>24805823.41</v>
      </c>
      <c r="G14" s="237">
        <f>F12+F13+F14+F18+F15+F22+F23+F21+F25+F26+F19+F20</f>
        <v>24805823.41</v>
      </c>
      <c r="H14" s="244">
        <f t="shared" si="1"/>
        <v>0.94644510381929037</v>
      </c>
      <c r="I14" s="237">
        <v>307216</v>
      </c>
      <c r="J14" s="237">
        <f>I12+I13+I14+I18+I15+I22+I23+I21+I25+I26+I19</f>
        <v>307216</v>
      </c>
      <c r="K14" s="238">
        <f>J14/$J$29</f>
        <v>0.99911541263398895</v>
      </c>
      <c r="L14" s="187" t="s">
        <v>139</v>
      </c>
      <c r="M14" s="238">
        <f>AVERAGE(E14,H14,K14)</f>
        <v>0.9659457245134857</v>
      </c>
      <c r="N14" s="161" t="s">
        <v>126</v>
      </c>
      <c r="O14" s="108">
        <f t="shared" si="2"/>
        <v>0.99909999999999999</v>
      </c>
      <c r="P14" s="108">
        <f>1-SUM(P12+P13+P15+P16+P17+P18+P19+P20+P21+P22+P23+P24+P25+P26+P27)</f>
        <v>0.96589999999999998</v>
      </c>
    </row>
    <row r="15" spans="1:20" x14ac:dyDescent="0.2">
      <c r="A15" s="126">
        <v>6</v>
      </c>
      <c r="B15" s="9" t="s">
        <v>61</v>
      </c>
      <c r="C15" s="243">
        <v>0</v>
      </c>
      <c r="D15" s="237"/>
      <c r="E15" s="244">
        <f t="shared" si="0"/>
        <v>0</v>
      </c>
      <c r="F15" s="237">
        <v>0</v>
      </c>
      <c r="G15" s="237"/>
      <c r="H15" s="244">
        <f t="shared" si="1"/>
        <v>0</v>
      </c>
      <c r="I15" s="237"/>
      <c r="J15" s="237"/>
      <c r="K15" s="238">
        <f t="shared" ref="K15:K27" si="4">J15/$J$29</f>
        <v>0</v>
      </c>
      <c r="L15" s="187" t="s">
        <v>140</v>
      </c>
      <c r="M15" s="238">
        <f t="shared" ref="M15:M27" si="5">AVERAGE(E15,H15,K15)</f>
        <v>0</v>
      </c>
      <c r="N15" s="161" t="s">
        <v>127</v>
      </c>
      <c r="O15" s="108">
        <f t="shared" si="2"/>
        <v>0</v>
      </c>
      <c r="P15" s="108">
        <f t="shared" si="3"/>
        <v>0</v>
      </c>
    </row>
    <row r="16" spans="1:20" x14ac:dyDescent="0.2">
      <c r="A16" s="126">
        <v>8</v>
      </c>
      <c r="B16" s="41" t="s">
        <v>98</v>
      </c>
      <c r="C16" s="243">
        <v>0</v>
      </c>
      <c r="D16" s="237">
        <f>C16</f>
        <v>0</v>
      </c>
      <c r="E16" s="244">
        <f t="shared" si="0"/>
        <v>0</v>
      </c>
      <c r="F16" s="237">
        <v>6394.97</v>
      </c>
      <c r="G16" s="237">
        <f>F16</f>
        <v>6394.97</v>
      </c>
      <c r="H16" s="244">
        <f t="shared" si="1"/>
        <v>2.4399464373882872E-4</v>
      </c>
      <c r="I16" s="237">
        <v>77</v>
      </c>
      <c r="J16" s="237">
        <f>I16</f>
        <v>77</v>
      </c>
      <c r="K16" s="238">
        <f>J16/$J$29</f>
        <v>2.5041627640753461E-4</v>
      </c>
      <c r="L16" s="187" t="s">
        <v>141</v>
      </c>
      <c r="M16" s="238">
        <f t="shared" si="5"/>
        <v>1.6480364004878777E-4</v>
      </c>
      <c r="N16" s="161" t="s">
        <v>128</v>
      </c>
      <c r="O16" s="108">
        <f t="shared" si="2"/>
        <v>2.9999999999999997E-4</v>
      </c>
      <c r="P16" s="108">
        <f>ROUND(M16,4)</f>
        <v>2.0000000000000001E-4</v>
      </c>
    </row>
    <row r="17" spans="1:20" x14ac:dyDescent="0.2">
      <c r="A17" s="126">
        <v>11</v>
      </c>
      <c r="B17" s="9" t="s">
        <v>62</v>
      </c>
      <c r="C17" s="243">
        <v>0</v>
      </c>
      <c r="D17" s="237"/>
      <c r="E17" s="244">
        <f t="shared" si="0"/>
        <v>0</v>
      </c>
      <c r="F17" s="237">
        <v>0</v>
      </c>
      <c r="G17" s="237"/>
      <c r="H17" s="244">
        <f t="shared" si="1"/>
        <v>0</v>
      </c>
      <c r="I17" s="237"/>
      <c r="J17" s="237"/>
      <c r="K17" s="238">
        <f t="shared" si="4"/>
        <v>0</v>
      </c>
      <c r="L17" s="187"/>
      <c r="M17" s="238">
        <f t="shared" si="5"/>
        <v>0</v>
      </c>
      <c r="N17" s="161"/>
      <c r="O17" s="108">
        <f t="shared" si="2"/>
        <v>0</v>
      </c>
      <c r="P17" s="108">
        <f t="shared" si="3"/>
        <v>0</v>
      </c>
    </row>
    <row r="18" spans="1:20" x14ac:dyDescent="0.2">
      <c r="A18" s="126">
        <v>13</v>
      </c>
      <c r="B18" s="9" t="s">
        <v>63</v>
      </c>
      <c r="C18" s="243">
        <v>0</v>
      </c>
      <c r="D18" s="237"/>
      <c r="E18" s="244">
        <f t="shared" si="0"/>
        <v>0</v>
      </c>
      <c r="F18" s="237">
        <v>0</v>
      </c>
      <c r="G18" s="237"/>
      <c r="H18" s="244">
        <f t="shared" si="1"/>
        <v>0</v>
      </c>
      <c r="I18" s="237"/>
      <c r="J18" s="237"/>
      <c r="K18" s="238">
        <f t="shared" si="4"/>
        <v>0</v>
      </c>
      <c r="L18" s="187" t="s">
        <v>142</v>
      </c>
      <c r="M18" s="238">
        <f t="shared" si="5"/>
        <v>0</v>
      </c>
      <c r="N18" s="161" t="s">
        <v>129</v>
      </c>
      <c r="O18" s="108">
        <f t="shared" si="2"/>
        <v>0</v>
      </c>
      <c r="P18" s="108">
        <f t="shared" si="3"/>
        <v>0</v>
      </c>
    </row>
    <row r="19" spans="1:20" x14ac:dyDescent="0.2">
      <c r="A19" s="126">
        <v>14</v>
      </c>
      <c r="B19" s="9" t="s">
        <v>64</v>
      </c>
      <c r="C19" s="243">
        <v>0</v>
      </c>
      <c r="D19" s="237"/>
      <c r="E19" s="244">
        <f t="shared" si="0"/>
        <v>0</v>
      </c>
      <c r="F19" s="237">
        <v>0</v>
      </c>
      <c r="G19" s="237"/>
      <c r="H19" s="244">
        <f t="shared" si="1"/>
        <v>0</v>
      </c>
      <c r="I19" s="237"/>
      <c r="J19" s="237"/>
      <c r="K19" s="238">
        <f t="shared" si="4"/>
        <v>0</v>
      </c>
      <c r="L19" s="187" t="s">
        <v>143</v>
      </c>
      <c r="M19" s="238">
        <f t="shared" si="5"/>
        <v>0</v>
      </c>
      <c r="N19" s="161" t="s">
        <v>130</v>
      </c>
      <c r="O19" s="108">
        <f t="shared" si="2"/>
        <v>0</v>
      </c>
      <c r="P19" s="108">
        <f t="shared" si="3"/>
        <v>0</v>
      </c>
    </row>
    <row r="20" spans="1:20" x14ac:dyDescent="0.2">
      <c r="A20" s="126">
        <v>15</v>
      </c>
      <c r="B20" s="9" t="s">
        <v>65</v>
      </c>
      <c r="C20" s="243">
        <v>0</v>
      </c>
      <c r="D20" s="237"/>
      <c r="E20" s="244">
        <f t="shared" si="0"/>
        <v>0</v>
      </c>
      <c r="F20" s="237">
        <v>0</v>
      </c>
      <c r="G20" s="237"/>
      <c r="H20" s="244">
        <f t="shared" si="1"/>
        <v>0</v>
      </c>
      <c r="I20" s="237"/>
      <c r="J20" s="237"/>
      <c r="K20" s="238">
        <f t="shared" si="4"/>
        <v>0</v>
      </c>
      <c r="L20" s="187" t="s">
        <v>144</v>
      </c>
      <c r="M20" s="238">
        <f t="shared" si="5"/>
        <v>0</v>
      </c>
      <c r="N20" s="161" t="s">
        <v>131</v>
      </c>
      <c r="O20" s="108">
        <f t="shared" si="2"/>
        <v>0</v>
      </c>
      <c r="P20" s="108">
        <f t="shared" si="3"/>
        <v>0</v>
      </c>
    </row>
    <row r="21" spans="1:20" x14ac:dyDescent="0.2">
      <c r="A21" s="126">
        <v>16</v>
      </c>
      <c r="B21" s="9" t="s">
        <v>66</v>
      </c>
      <c r="C21" s="243">
        <v>0</v>
      </c>
      <c r="D21" s="237"/>
      <c r="E21" s="244">
        <f t="shared" si="0"/>
        <v>0</v>
      </c>
      <c r="F21" s="237">
        <v>0</v>
      </c>
      <c r="G21" s="237"/>
      <c r="H21" s="244">
        <f t="shared" si="1"/>
        <v>0</v>
      </c>
      <c r="I21" s="237"/>
      <c r="J21" s="237"/>
      <c r="K21" s="238">
        <f t="shared" si="4"/>
        <v>0</v>
      </c>
      <c r="L21" s="187" t="s">
        <v>145</v>
      </c>
      <c r="M21" s="238">
        <f t="shared" si="5"/>
        <v>0</v>
      </c>
      <c r="N21" s="161" t="s">
        <v>132</v>
      </c>
      <c r="O21" s="108">
        <f t="shared" si="2"/>
        <v>0</v>
      </c>
      <c r="P21" s="108">
        <f t="shared" si="3"/>
        <v>0</v>
      </c>
    </row>
    <row r="22" spans="1:20" x14ac:dyDescent="0.2">
      <c r="A22" s="126">
        <v>17</v>
      </c>
      <c r="B22" s="9" t="s">
        <v>67</v>
      </c>
      <c r="C22" s="243">
        <v>0</v>
      </c>
      <c r="D22" s="237"/>
      <c r="E22" s="244">
        <f t="shared" si="0"/>
        <v>0</v>
      </c>
      <c r="F22" s="237">
        <v>0</v>
      </c>
      <c r="G22" s="237"/>
      <c r="H22" s="244">
        <f t="shared" si="1"/>
        <v>0</v>
      </c>
      <c r="I22" s="237"/>
      <c r="J22" s="237"/>
      <c r="K22" s="238">
        <f t="shared" si="4"/>
        <v>0</v>
      </c>
      <c r="L22" s="187"/>
      <c r="M22" s="238">
        <f t="shared" si="5"/>
        <v>0</v>
      </c>
      <c r="N22" s="161" t="s">
        <v>191</v>
      </c>
      <c r="O22" s="108">
        <f t="shared" si="2"/>
        <v>0</v>
      </c>
      <c r="P22" s="108">
        <f t="shared" si="3"/>
        <v>0</v>
      </c>
    </row>
    <row r="23" spans="1:20" x14ac:dyDescent="0.2">
      <c r="A23" s="126">
        <v>18</v>
      </c>
      <c r="B23" s="9" t="s">
        <v>68</v>
      </c>
      <c r="C23" s="243">
        <v>0</v>
      </c>
      <c r="D23" s="237"/>
      <c r="E23" s="244">
        <f t="shared" si="0"/>
        <v>0</v>
      </c>
      <c r="F23" s="256">
        <v>0</v>
      </c>
      <c r="G23" s="237"/>
      <c r="H23" s="244">
        <f t="shared" si="1"/>
        <v>0</v>
      </c>
      <c r="I23" s="237"/>
      <c r="J23" s="237"/>
      <c r="K23" s="238">
        <f t="shared" si="4"/>
        <v>0</v>
      </c>
      <c r="L23" s="187" t="s">
        <v>146</v>
      </c>
      <c r="M23" s="238">
        <f t="shared" si="5"/>
        <v>0</v>
      </c>
      <c r="N23" s="161" t="s">
        <v>133</v>
      </c>
      <c r="O23" s="108">
        <f t="shared" si="2"/>
        <v>0</v>
      </c>
      <c r="P23" s="108">
        <f>ROUND(M23,4)</f>
        <v>0</v>
      </c>
    </row>
    <row r="24" spans="1:20" x14ac:dyDescent="0.2">
      <c r="A24" s="126">
        <v>19</v>
      </c>
      <c r="B24" s="9" t="s">
        <v>69</v>
      </c>
      <c r="C24" s="243">
        <v>51493667.82</v>
      </c>
      <c r="D24" s="237">
        <f>C24</f>
        <v>51493667.82</v>
      </c>
      <c r="E24" s="244">
        <f t="shared" si="0"/>
        <v>4.7723342912822028E-2</v>
      </c>
      <c r="F24" s="237">
        <v>1397250.41</v>
      </c>
      <c r="G24" s="237">
        <f>F24</f>
        <v>1397250.41</v>
      </c>
      <c r="H24" s="244">
        <f t="shared" si="1"/>
        <v>5.331090153697083E-2</v>
      </c>
      <c r="I24" s="237">
        <v>195</v>
      </c>
      <c r="J24" s="237">
        <f>I24</f>
        <v>195</v>
      </c>
      <c r="K24" s="238">
        <f>J24/$J$29</f>
        <v>6.3417108960349671E-4</v>
      </c>
      <c r="L24" s="187" t="s">
        <v>177</v>
      </c>
      <c r="M24" s="238">
        <f t="shared" si="5"/>
        <v>3.3889471846465451E-2</v>
      </c>
      <c r="N24" s="161" t="s">
        <v>134</v>
      </c>
      <c r="O24" s="108">
        <f t="shared" si="2"/>
        <v>5.9999999999999995E-4</v>
      </c>
      <c r="P24" s="108">
        <f t="shared" si="3"/>
        <v>3.39E-2</v>
      </c>
      <c r="T24" s="9">
        <f>P24*T11</f>
        <v>0</v>
      </c>
    </row>
    <row r="25" spans="1:20" x14ac:dyDescent="0.2">
      <c r="A25" s="126">
        <v>20</v>
      </c>
      <c r="B25" s="9" t="s">
        <v>70</v>
      </c>
      <c r="C25" s="243">
        <v>0</v>
      </c>
      <c r="D25" s="237"/>
      <c r="E25" s="244">
        <f t="shared" si="0"/>
        <v>0</v>
      </c>
      <c r="F25" s="271">
        <v>0</v>
      </c>
      <c r="G25" s="237"/>
      <c r="H25" s="244">
        <f t="shared" si="1"/>
        <v>0</v>
      </c>
      <c r="I25" s="237"/>
      <c r="J25" s="237"/>
      <c r="K25" s="238">
        <f t="shared" si="4"/>
        <v>0</v>
      </c>
      <c r="L25" s="187" t="s">
        <v>147</v>
      </c>
      <c r="M25" s="238">
        <f t="shared" si="5"/>
        <v>0</v>
      </c>
      <c r="N25" s="161" t="s">
        <v>135</v>
      </c>
      <c r="O25" s="108">
        <f t="shared" si="2"/>
        <v>0</v>
      </c>
      <c r="P25" s="108">
        <f t="shared" si="3"/>
        <v>0</v>
      </c>
    </row>
    <row r="26" spans="1:20" x14ac:dyDescent="0.2">
      <c r="A26" s="126">
        <v>21</v>
      </c>
      <c r="B26" s="9" t="s">
        <v>71</v>
      </c>
      <c r="C26" s="243">
        <v>0</v>
      </c>
      <c r="D26" s="237"/>
      <c r="E26" s="244">
        <f t="shared" si="0"/>
        <v>0</v>
      </c>
      <c r="F26" s="237">
        <v>0</v>
      </c>
      <c r="G26" s="237"/>
      <c r="H26" s="244">
        <f t="shared" si="1"/>
        <v>0</v>
      </c>
      <c r="I26" s="237"/>
      <c r="J26" s="237"/>
      <c r="K26" s="238">
        <f t="shared" si="4"/>
        <v>0</v>
      </c>
      <c r="L26" s="187" t="s">
        <v>148</v>
      </c>
      <c r="M26" s="238">
        <f t="shared" si="5"/>
        <v>0</v>
      </c>
      <c r="N26" s="161" t="s">
        <v>136</v>
      </c>
      <c r="O26" s="108">
        <f t="shared" si="2"/>
        <v>0</v>
      </c>
      <c r="P26" s="108">
        <f t="shared" si="3"/>
        <v>0</v>
      </c>
    </row>
    <row r="27" spans="1:20" x14ac:dyDescent="0.2">
      <c r="A27" s="126">
        <v>40</v>
      </c>
      <c r="B27" s="9" t="s">
        <v>72</v>
      </c>
      <c r="C27" s="243">
        <v>0</v>
      </c>
      <c r="D27" s="240"/>
      <c r="E27" s="244">
        <f t="shared" si="0"/>
        <v>0</v>
      </c>
      <c r="F27" s="254">
        <v>0</v>
      </c>
      <c r="G27" s="240"/>
      <c r="H27" s="244">
        <f t="shared" si="1"/>
        <v>0</v>
      </c>
      <c r="I27" s="240">
        <v>0</v>
      </c>
      <c r="J27" s="240"/>
      <c r="K27" s="238">
        <f t="shared" si="4"/>
        <v>0</v>
      </c>
      <c r="L27" s="239"/>
      <c r="M27" s="238">
        <f t="shared" si="5"/>
        <v>0</v>
      </c>
      <c r="N27" s="161"/>
      <c r="O27" s="108">
        <f t="shared" si="2"/>
        <v>0</v>
      </c>
      <c r="P27" s="108">
        <f t="shared" si="3"/>
        <v>0</v>
      </c>
    </row>
    <row r="28" spans="1:20" x14ac:dyDescent="0.2">
      <c r="C28" s="109"/>
      <c r="D28" s="109"/>
      <c r="F28" s="34"/>
      <c r="G28" s="34"/>
      <c r="H28" s="61"/>
      <c r="I28" s="65"/>
      <c r="J28" s="65"/>
      <c r="M28" s="102"/>
      <c r="O28" s="108">
        <f>SUM(O11:O27)</f>
        <v>1</v>
      </c>
      <c r="P28" s="108">
        <f>SUM(P11:P27)</f>
        <v>1</v>
      </c>
    </row>
    <row r="29" spans="1:20" x14ac:dyDescent="0.2">
      <c r="B29" s="41" t="s">
        <v>185</v>
      </c>
      <c r="C29" s="109">
        <f>SUM(C11:C27)</f>
        <v>1079003788.8600001</v>
      </c>
      <c r="D29" s="109">
        <f>SUM(D11:D27)</f>
        <v>1079003788.8600001</v>
      </c>
      <c r="E29" s="100">
        <f t="shared" ref="E29:J29" si="6">SUM(E11:E27)</f>
        <v>0.99999999999999989</v>
      </c>
      <c r="F29" s="34">
        <f>SUM(F11:F27)</f>
        <v>26209468.789999999</v>
      </c>
      <c r="G29" s="34">
        <f t="shared" si="6"/>
        <v>26209468.789999999</v>
      </c>
      <c r="H29" s="100">
        <f t="shared" si="6"/>
        <v>1</v>
      </c>
      <c r="I29" s="65">
        <f>SUM(I11:I27)</f>
        <v>307488</v>
      </c>
      <c r="J29" s="65">
        <f t="shared" si="6"/>
        <v>307488</v>
      </c>
      <c r="K29" s="101">
        <f>SUM(K11:K27)</f>
        <v>1</v>
      </c>
      <c r="L29" s="100"/>
      <c r="M29" s="102">
        <f>SUM(M11:M27)</f>
        <v>0.99999999999999989</v>
      </c>
    </row>
    <row r="30" spans="1:20" x14ac:dyDescent="0.2">
      <c r="C30" s="109"/>
      <c r="D30" s="109"/>
      <c r="F30" s="60"/>
      <c r="G30" s="60"/>
      <c r="I30" s="65"/>
      <c r="J30" s="65"/>
    </row>
    <row r="31" spans="1:20" x14ac:dyDescent="0.2">
      <c r="B31" s="124" t="s">
        <v>122</v>
      </c>
      <c r="C31" s="109">
        <v>1092949490.3900001</v>
      </c>
      <c r="D31" s="109"/>
      <c r="F31" s="60">
        <v>36316769.729999997</v>
      </c>
      <c r="G31" s="60"/>
      <c r="I31" s="65">
        <v>307488</v>
      </c>
      <c r="J31" s="65"/>
    </row>
    <row r="32" spans="1:20" x14ac:dyDescent="0.2">
      <c r="B32" s="128"/>
      <c r="C32" s="109"/>
      <c r="D32" s="109"/>
      <c r="F32" s="60"/>
      <c r="G32" s="60"/>
      <c r="I32" s="65"/>
      <c r="J32" s="65"/>
    </row>
    <row r="33" spans="2:12" x14ac:dyDescent="0.2">
      <c r="B33" s="124" t="s">
        <v>116</v>
      </c>
      <c r="C33" s="109">
        <f>C29-C31</f>
        <v>-13945701.529999971</v>
      </c>
      <c r="D33" s="109"/>
      <c r="E33" s="41"/>
      <c r="F33" s="60">
        <f>F29-F31</f>
        <v>-10107300.939999998</v>
      </c>
      <c r="G33" s="60"/>
      <c r="H33" s="41"/>
      <c r="I33" s="65">
        <f>I29-I31</f>
        <v>0</v>
      </c>
      <c r="J33" s="65"/>
      <c r="L33" s="41"/>
    </row>
    <row r="34" spans="2:12" x14ac:dyDescent="0.2">
      <c r="B34" s="124" t="s">
        <v>123</v>
      </c>
      <c r="C34" s="109">
        <v>13945701.529999999</v>
      </c>
      <c r="D34" s="109"/>
      <c r="F34" s="60">
        <v>10107300.939999999</v>
      </c>
      <c r="G34" s="60"/>
      <c r="I34" s="41" t="s">
        <v>181</v>
      </c>
      <c r="J34" s="41"/>
    </row>
    <row r="35" spans="2:12" x14ac:dyDescent="0.2">
      <c r="B35" s="124" t="s">
        <v>119</v>
      </c>
      <c r="C35" s="109">
        <f>SUM(C33:C34)</f>
        <v>2.7939677238464355E-8</v>
      </c>
      <c r="D35" s="109"/>
      <c r="F35" s="34">
        <f>SUM(F33:F34)</f>
        <v>0</v>
      </c>
      <c r="G35" s="34"/>
      <c r="I35" s="65"/>
      <c r="J35" s="65"/>
    </row>
    <row r="36" spans="2:12" x14ac:dyDescent="0.2">
      <c r="B36" s="129"/>
      <c r="C36" s="109"/>
      <c r="D36" s="109"/>
    </row>
    <row r="39" spans="2:12" x14ac:dyDescent="0.2">
      <c r="B39" s="59" t="s">
        <v>223</v>
      </c>
    </row>
  </sheetData>
  <mergeCells count="4">
    <mergeCell ref="A1:M1"/>
    <mergeCell ref="A2:M2"/>
    <mergeCell ref="A3:M3"/>
    <mergeCell ref="A4:M4"/>
  </mergeCells>
  <pageMargins left="0.59" right="0.54" top="1" bottom="1" header="0.5" footer="0.5"/>
  <pageSetup scale="60" orientation="landscape" horizontalDpi="4294967294" verticalDpi="4294967294" r:id="rId1"/>
  <headerFooter alignWithMargins="0">
    <oddFooter>&amp;L&amp;"Times New Roman,Italic"&amp;9General Accounting&amp;R&amp;"Times New Roman,Italic"&amp;9&amp;T&amp;D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E3D0B-E537-493D-B33D-DFABABB01992}">
  <sheetPr codeName="Sheet26">
    <tabColor rgb="FF00B050"/>
    <pageSetUpPr fitToPage="1"/>
  </sheetPr>
  <dimension ref="A1:U39"/>
  <sheetViews>
    <sheetView topLeftCell="K1" workbookViewId="0">
      <selection activeCell="Q19" sqref="Q19"/>
    </sheetView>
  </sheetViews>
  <sheetFormatPr defaultColWidth="9.140625" defaultRowHeight="12.75" x14ac:dyDescent="0.2"/>
  <cols>
    <col min="1" max="1" width="6.140625" style="9" customWidth="1"/>
    <col min="2" max="2" width="24.5703125" style="9" customWidth="1"/>
    <col min="3" max="4" width="16.7109375" style="9" customWidth="1"/>
    <col min="5" max="5" width="12.42578125" style="9" customWidth="1"/>
    <col min="6" max="7" width="15.42578125" style="9" customWidth="1"/>
    <col min="8" max="8" width="12.140625" style="9" customWidth="1"/>
    <col min="9" max="10" width="13.28515625" style="9" customWidth="1"/>
    <col min="11" max="11" width="11.42578125" style="9" customWidth="1"/>
    <col min="12" max="12" width="11.85546875" style="9" customWidth="1"/>
    <col min="13" max="13" width="15.140625" style="9" customWidth="1"/>
    <col min="14" max="14" width="7.5703125" style="9" bestFit="1" customWidth="1"/>
    <col min="15" max="15" width="20" style="9" bestFit="1" customWidth="1"/>
    <col min="16" max="16" width="20.28515625" style="9" bestFit="1" customWidth="1"/>
    <col min="17" max="17" width="21.42578125" style="9" bestFit="1" customWidth="1"/>
    <col min="18" max="18" width="21.42578125" style="9" customWidth="1"/>
    <col min="19" max="19" width="13.85546875" style="9" bestFit="1" customWidth="1"/>
    <col min="20" max="20" width="9.140625" style="9"/>
    <col min="21" max="21" width="21.7109375" style="9" bestFit="1" customWidth="1"/>
    <col min="22" max="16384" width="9.140625" style="9"/>
  </cols>
  <sheetData>
    <row r="1" spans="1:21" ht="14.25" x14ac:dyDescent="0.2">
      <c r="A1" s="300" t="s">
        <v>17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</row>
    <row r="2" spans="1:21" ht="14.25" x14ac:dyDescent="0.2">
      <c r="A2" s="300" t="s">
        <v>52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</row>
    <row r="3" spans="1:21" ht="14.25" x14ac:dyDescent="0.2">
      <c r="A3" s="301" t="s">
        <v>30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</row>
    <row r="4" spans="1:21" ht="14.25" x14ac:dyDescent="0.2">
      <c r="A4" s="300" t="s">
        <v>225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</row>
    <row r="6" spans="1:21" x14ac:dyDescent="0.2">
      <c r="K6" s="59" t="s">
        <v>73</v>
      </c>
      <c r="L6" s="59"/>
      <c r="M6" s="59" t="s">
        <v>74</v>
      </c>
    </row>
    <row r="7" spans="1:21" ht="38.25" x14ac:dyDescent="0.2">
      <c r="A7" s="53" t="s">
        <v>31</v>
      </c>
      <c r="B7" s="53" t="s">
        <v>32</v>
      </c>
      <c r="C7" s="233" t="s">
        <v>228</v>
      </c>
      <c r="D7" s="233" t="s">
        <v>211</v>
      </c>
      <c r="E7" s="241" t="s">
        <v>53</v>
      </c>
      <c r="F7" s="233" t="s">
        <v>229</v>
      </c>
      <c r="G7" s="233" t="s">
        <v>211</v>
      </c>
      <c r="H7" s="241" t="s">
        <v>54</v>
      </c>
      <c r="I7" s="233" t="s">
        <v>230</v>
      </c>
      <c r="J7" s="233" t="s">
        <v>211</v>
      </c>
      <c r="K7" s="182" t="s">
        <v>55</v>
      </c>
      <c r="L7" s="235" t="s">
        <v>187</v>
      </c>
      <c r="M7" s="182" t="s">
        <v>56</v>
      </c>
      <c r="N7" s="168" t="s">
        <v>186</v>
      </c>
      <c r="Q7" s="41" t="s">
        <v>234</v>
      </c>
      <c r="R7" s="41"/>
      <c r="S7" s="41" t="s">
        <v>237</v>
      </c>
    </row>
    <row r="8" spans="1:21" x14ac:dyDescent="0.2">
      <c r="B8" s="56"/>
      <c r="C8" s="242" t="s">
        <v>37</v>
      </c>
      <c r="D8" s="242"/>
      <c r="E8" s="236" t="s">
        <v>38</v>
      </c>
      <c r="F8" s="236" t="s">
        <v>39</v>
      </c>
      <c r="G8" s="236"/>
      <c r="H8" s="236" t="s">
        <v>40</v>
      </c>
      <c r="I8" s="236" t="s">
        <v>41</v>
      </c>
      <c r="J8" s="236"/>
      <c r="K8" s="184" t="s">
        <v>42</v>
      </c>
      <c r="L8" s="236"/>
      <c r="M8" s="184" t="s">
        <v>43</v>
      </c>
      <c r="N8" s="66"/>
      <c r="Q8" s="281">
        <v>8.0100000000000005E-2</v>
      </c>
      <c r="R8" s="281"/>
      <c r="S8" s="281"/>
    </row>
    <row r="9" spans="1:21" x14ac:dyDescent="0.2">
      <c r="C9" s="234"/>
      <c r="D9" s="234"/>
      <c r="E9" s="234"/>
      <c r="F9" s="234"/>
      <c r="G9" s="234"/>
      <c r="H9" s="234"/>
      <c r="I9" s="234"/>
      <c r="J9" s="234"/>
      <c r="K9" s="186"/>
      <c r="L9" s="234"/>
      <c r="M9" s="186"/>
      <c r="O9" s="41" t="s">
        <v>217</v>
      </c>
      <c r="P9" s="41" t="s">
        <v>222</v>
      </c>
      <c r="Q9" s="41" t="s">
        <v>233</v>
      </c>
      <c r="R9" s="41"/>
      <c r="U9" s="41"/>
    </row>
    <row r="10" spans="1:21" x14ac:dyDescent="0.2">
      <c r="C10" s="234"/>
      <c r="D10" s="234"/>
      <c r="E10" s="234"/>
      <c r="F10" s="234"/>
      <c r="G10" s="234"/>
      <c r="H10" s="234"/>
      <c r="I10" s="234"/>
      <c r="J10" s="234"/>
      <c r="K10" s="186"/>
      <c r="L10" s="234"/>
      <c r="M10" s="186"/>
      <c r="O10" s="41" t="s">
        <v>163</v>
      </c>
      <c r="P10" s="41" t="s">
        <v>164</v>
      </c>
    </row>
    <row r="11" spans="1:21" x14ac:dyDescent="0.2">
      <c r="A11" s="125">
        <v>1</v>
      </c>
      <c r="B11" s="9" t="s">
        <v>57</v>
      </c>
      <c r="C11" s="243">
        <v>0</v>
      </c>
      <c r="D11" s="237"/>
      <c r="E11" s="244">
        <f>D11/$D$29</f>
        <v>0</v>
      </c>
      <c r="F11" s="237">
        <v>0</v>
      </c>
      <c r="G11" s="237"/>
      <c r="H11" s="244">
        <f>G11/$G$29</f>
        <v>0</v>
      </c>
      <c r="I11" s="237">
        <v>0</v>
      </c>
      <c r="J11" s="237"/>
      <c r="K11" s="238">
        <f>J11/$J$29</f>
        <v>0</v>
      </c>
      <c r="L11" s="239"/>
      <c r="M11" s="238">
        <f>AVERAGE(E11,H11,K11)</f>
        <v>0</v>
      </c>
      <c r="N11" s="161"/>
      <c r="O11" s="108">
        <f>ROUND(K11,4)</f>
        <v>0</v>
      </c>
      <c r="P11" s="108">
        <f>ROUND(M11,4)</f>
        <v>0</v>
      </c>
      <c r="Q11" s="282">
        <f>P11*$Q$8</f>
        <v>0</v>
      </c>
      <c r="R11" s="282">
        <f>ROUND(Q11,4)</f>
        <v>0</v>
      </c>
      <c r="S11" s="283"/>
    </row>
    <row r="12" spans="1:21" x14ac:dyDescent="0.2">
      <c r="A12" s="126">
        <v>3</v>
      </c>
      <c r="B12" s="9" t="s">
        <v>58</v>
      </c>
      <c r="C12" s="243">
        <v>0</v>
      </c>
      <c r="D12" s="237"/>
      <c r="E12" s="244">
        <f t="shared" ref="E12:E27" si="0">D12/$D$29</f>
        <v>0</v>
      </c>
      <c r="F12" s="237">
        <v>0</v>
      </c>
      <c r="G12" s="237"/>
      <c r="H12" s="244">
        <f t="shared" ref="H12:H27" si="1">G12/$G$29</f>
        <v>0</v>
      </c>
      <c r="I12" s="237"/>
      <c r="J12" s="237"/>
      <c r="K12" s="238">
        <f>J12/$J$29</f>
        <v>0</v>
      </c>
      <c r="L12" s="187" t="s">
        <v>137</v>
      </c>
      <c r="M12" s="238">
        <f>AVERAGE(E12,H12,K12)</f>
        <v>0</v>
      </c>
      <c r="N12" s="161" t="s">
        <v>124</v>
      </c>
      <c r="O12" s="108">
        <f t="shared" ref="O12:O27" si="2">ROUND(K12,4)</f>
        <v>0</v>
      </c>
      <c r="P12" s="108">
        <f t="shared" ref="P12:P27" si="3">ROUND(M12,4)</f>
        <v>0</v>
      </c>
      <c r="Q12" s="282">
        <f t="shared" ref="Q12:Q27" si="4">P12*$Q$8</f>
        <v>0</v>
      </c>
      <c r="R12" s="282">
        <f t="shared" ref="R12:R27" si="5">ROUND(Q12,4)</f>
        <v>0</v>
      </c>
      <c r="S12" s="283"/>
    </row>
    <row r="13" spans="1:21" x14ac:dyDescent="0.2">
      <c r="A13" s="127">
        <v>4</v>
      </c>
      <c r="B13" s="9" t="s">
        <v>59</v>
      </c>
      <c r="C13" s="243">
        <v>0</v>
      </c>
      <c r="D13" s="237"/>
      <c r="E13" s="244">
        <f t="shared" si="0"/>
        <v>0</v>
      </c>
      <c r="F13" s="237">
        <v>0</v>
      </c>
      <c r="G13" s="237"/>
      <c r="H13" s="244">
        <f t="shared" si="1"/>
        <v>0</v>
      </c>
      <c r="I13" s="237"/>
      <c r="J13" s="237"/>
      <c r="K13" s="238">
        <f>J13/$J$29</f>
        <v>0</v>
      </c>
      <c r="L13" s="187" t="s">
        <v>138</v>
      </c>
      <c r="M13" s="238">
        <f>AVERAGE(E13,H13,K13)</f>
        <v>0</v>
      </c>
      <c r="N13" s="161" t="s">
        <v>125</v>
      </c>
      <c r="O13" s="108">
        <f t="shared" si="2"/>
        <v>0</v>
      </c>
      <c r="P13" s="108">
        <f>ROUND(M13,4)</f>
        <v>0</v>
      </c>
      <c r="Q13" s="282">
        <f t="shared" si="4"/>
        <v>0</v>
      </c>
      <c r="R13" s="282">
        <f t="shared" si="5"/>
        <v>0</v>
      </c>
      <c r="S13" s="283"/>
    </row>
    <row r="14" spans="1:21" x14ac:dyDescent="0.2">
      <c r="A14" s="126">
        <v>5</v>
      </c>
      <c r="B14" s="9" t="s">
        <v>60</v>
      </c>
      <c r="C14" s="245">
        <f>1027447046.7+28.48+63045.86</f>
        <v>1027510121.0400001</v>
      </c>
      <c r="D14" s="237">
        <f>C12+C13+C14+C18+C15+C22+C23+C21+C25+C26+C19</f>
        <v>1027510121.0400001</v>
      </c>
      <c r="E14" s="244">
        <f>D14/$D$29</f>
        <v>0.9522766570871779</v>
      </c>
      <c r="F14" s="237">
        <v>24805823.41</v>
      </c>
      <c r="G14" s="237">
        <f>F12+F13+F14+F18+F15+F22+F23+F21+F25+F26+F19+F20</f>
        <v>24805823.41</v>
      </c>
      <c r="H14" s="244">
        <f t="shared" si="1"/>
        <v>0.94644510381929037</v>
      </c>
      <c r="I14" s="237">
        <v>307216</v>
      </c>
      <c r="J14" s="237">
        <f>I12+I13+I14+I18+I15+I22+I23+I21+I25+I26+I19</f>
        <v>307216</v>
      </c>
      <c r="K14" s="238">
        <f>J14/$J$29</f>
        <v>0.99911541263398895</v>
      </c>
      <c r="L14" s="187" t="s">
        <v>139</v>
      </c>
      <c r="M14" s="238">
        <f>AVERAGE(E14,H14,K14)</f>
        <v>0.9659457245134857</v>
      </c>
      <c r="N14" s="161" t="s">
        <v>126</v>
      </c>
      <c r="O14" s="108">
        <f t="shared" si="2"/>
        <v>0.99909999999999999</v>
      </c>
      <c r="P14" s="108">
        <f>1-SUM(P12+P13+P15+P16+P17+P18+P19+P20+P21+P22+P23+P24+P25+P26+P27)</f>
        <v>0.96589999999999998</v>
      </c>
      <c r="Q14" s="282">
        <f t="shared" si="4"/>
        <v>7.7368590000000001E-2</v>
      </c>
      <c r="R14" s="282">
        <f t="shared" si="5"/>
        <v>7.7399999999999997E-2</v>
      </c>
      <c r="S14" s="284" t="s">
        <v>235</v>
      </c>
    </row>
    <row r="15" spans="1:21" x14ac:dyDescent="0.2">
      <c r="A15" s="126">
        <v>6</v>
      </c>
      <c r="B15" s="9" t="s">
        <v>61</v>
      </c>
      <c r="C15" s="243">
        <v>0</v>
      </c>
      <c r="D15" s="237"/>
      <c r="E15" s="244">
        <f t="shared" si="0"/>
        <v>0</v>
      </c>
      <c r="F15" s="237">
        <v>0</v>
      </c>
      <c r="G15" s="237"/>
      <c r="H15" s="244">
        <f t="shared" si="1"/>
        <v>0</v>
      </c>
      <c r="I15" s="237"/>
      <c r="J15" s="237"/>
      <c r="K15" s="238">
        <f t="shared" ref="K15:K27" si="6">J15/$J$29</f>
        <v>0</v>
      </c>
      <c r="L15" s="187" t="s">
        <v>140</v>
      </c>
      <c r="M15" s="238">
        <f t="shared" ref="M15:M27" si="7">AVERAGE(E15,H15,K15)</f>
        <v>0</v>
      </c>
      <c r="N15" s="161" t="s">
        <v>127</v>
      </c>
      <c r="O15" s="108">
        <f t="shared" si="2"/>
        <v>0</v>
      </c>
      <c r="P15" s="108">
        <f t="shared" si="3"/>
        <v>0</v>
      </c>
      <c r="Q15" s="282">
        <f t="shared" si="4"/>
        <v>0</v>
      </c>
      <c r="R15" s="282">
        <f t="shared" si="5"/>
        <v>0</v>
      </c>
      <c r="S15" s="283"/>
    </row>
    <row r="16" spans="1:21" x14ac:dyDescent="0.2">
      <c r="A16" s="126">
        <v>8</v>
      </c>
      <c r="B16" s="41" t="s">
        <v>98</v>
      </c>
      <c r="C16" s="243">
        <v>0</v>
      </c>
      <c r="D16" s="237">
        <f>C16</f>
        <v>0</v>
      </c>
      <c r="E16" s="244">
        <f t="shared" si="0"/>
        <v>0</v>
      </c>
      <c r="F16" s="237">
        <v>6394.97</v>
      </c>
      <c r="G16" s="237">
        <f>F16</f>
        <v>6394.97</v>
      </c>
      <c r="H16" s="244">
        <f t="shared" si="1"/>
        <v>2.4399464373882872E-4</v>
      </c>
      <c r="I16" s="237">
        <v>77</v>
      </c>
      <c r="J16" s="237">
        <f>I16</f>
        <v>77</v>
      </c>
      <c r="K16" s="238">
        <f>J16/$J$29</f>
        <v>2.5041627640753461E-4</v>
      </c>
      <c r="L16" s="187" t="s">
        <v>141</v>
      </c>
      <c r="M16" s="238">
        <f t="shared" si="7"/>
        <v>1.6480364004878777E-4</v>
      </c>
      <c r="N16" s="161" t="s">
        <v>128</v>
      </c>
      <c r="O16" s="108">
        <f t="shared" si="2"/>
        <v>2.9999999999999997E-4</v>
      </c>
      <c r="P16" s="108">
        <f>ROUND(M16,4)</f>
        <v>2.0000000000000001E-4</v>
      </c>
      <c r="Q16" s="282">
        <f t="shared" si="4"/>
        <v>1.6020000000000002E-5</v>
      </c>
      <c r="R16" s="282">
        <f t="shared" si="5"/>
        <v>0</v>
      </c>
      <c r="S16" s="284" t="s">
        <v>246</v>
      </c>
    </row>
    <row r="17" spans="1:21" x14ac:dyDescent="0.2">
      <c r="A17" s="126">
        <v>11</v>
      </c>
      <c r="B17" s="9" t="s">
        <v>62</v>
      </c>
      <c r="C17" s="243">
        <v>0</v>
      </c>
      <c r="D17" s="237"/>
      <c r="E17" s="244">
        <f t="shared" si="0"/>
        <v>0</v>
      </c>
      <c r="F17" s="237">
        <v>0</v>
      </c>
      <c r="G17" s="237"/>
      <c r="H17" s="244">
        <f t="shared" si="1"/>
        <v>0</v>
      </c>
      <c r="I17" s="237"/>
      <c r="J17" s="237"/>
      <c r="K17" s="238">
        <f t="shared" si="6"/>
        <v>0</v>
      </c>
      <c r="L17" s="187"/>
      <c r="M17" s="238">
        <f t="shared" si="7"/>
        <v>0</v>
      </c>
      <c r="N17" s="161"/>
      <c r="O17" s="108">
        <f t="shared" si="2"/>
        <v>0</v>
      </c>
      <c r="P17" s="108">
        <f t="shared" si="3"/>
        <v>0</v>
      </c>
      <c r="Q17" s="282">
        <f t="shared" si="4"/>
        <v>0</v>
      </c>
      <c r="R17" s="282">
        <f t="shared" si="5"/>
        <v>0</v>
      </c>
      <c r="S17" s="283"/>
    </row>
    <row r="18" spans="1:21" x14ac:dyDescent="0.2">
      <c r="A18" s="126">
        <v>13</v>
      </c>
      <c r="B18" s="9" t="s">
        <v>63</v>
      </c>
      <c r="C18" s="243">
        <v>0</v>
      </c>
      <c r="D18" s="237"/>
      <c r="E18" s="244">
        <f t="shared" si="0"/>
        <v>0</v>
      </c>
      <c r="F18" s="237">
        <v>0</v>
      </c>
      <c r="G18" s="237"/>
      <c r="H18" s="244">
        <f t="shared" si="1"/>
        <v>0</v>
      </c>
      <c r="I18" s="237"/>
      <c r="J18" s="237"/>
      <c r="K18" s="238">
        <f t="shared" si="6"/>
        <v>0</v>
      </c>
      <c r="L18" s="187" t="s">
        <v>142</v>
      </c>
      <c r="M18" s="238">
        <f t="shared" si="7"/>
        <v>0</v>
      </c>
      <c r="N18" s="161" t="s">
        <v>129</v>
      </c>
      <c r="O18" s="108">
        <f t="shared" si="2"/>
        <v>0</v>
      </c>
      <c r="P18" s="108">
        <f t="shared" si="3"/>
        <v>0</v>
      </c>
      <c r="Q18" s="282">
        <f t="shared" si="4"/>
        <v>0</v>
      </c>
      <c r="R18" s="282">
        <f t="shared" si="5"/>
        <v>0</v>
      </c>
      <c r="S18" s="283"/>
    </row>
    <row r="19" spans="1:21" x14ac:dyDescent="0.2">
      <c r="A19" s="126">
        <v>14</v>
      </c>
      <c r="B19" s="9" t="s">
        <v>64</v>
      </c>
      <c r="C19" s="243">
        <v>0</v>
      </c>
      <c r="D19" s="237"/>
      <c r="E19" s="244">
        <f t="shared" si="0"/>
        <v>0</v>
      </c>
      <c r="F19" s="237">
        <v>0</v>
      </c>
      <c r="G19" s="237"/>
      <c r="H19" s="244">
        <f t="shared" si="1"/>
        <v>0</v>
      </c>
      <c r="I19" s="237"/>
      <c r="J19" s="237"/>
      <c r="K19" s="238">
        <f t="shared" si="6"/>
        <v>0</v>
      </c>
      <c r="L19" s="187" t="s">
        <v>143</v>
      </c>
      <c r="M19" s="238">
        <f t="shared" si="7"/>
        <v>0</v>
      </c>
      <c r="N19" s="161" t="s">
        <v>130</v>
      </c>
      <c r="O19" s="108">
        <f t="shared" si="2"/>
        <v>0</v>
      </c>
      <c r="P19" s="108">
        <f t="shared" si="3"/>
        <v>0</v>
      </c>
      <c r="Q19" s="282">
        <f t="shared" si="4"/>
        <v>0</v>
      </c>
      <c r="R19" s="282">
        <f t="shared" si="5"/>
        <v>0</v>
      </c>
      <c r="S19" s="283"/>
    </row>
    <row r="20" spans="1:21" x14ac:dyDescent="0.2">
      <c r="A20" s="126">
        <v>15</v>
      </c>
      <c r="B20" s="9" t="s">
        <v>65</v>
      </c>
      <c r="C20" s="243">
        <v>0</v>
      </c>
      <c r="D20" s="237"/>
      <c r="E20" s="244">
        <f t="shared" si="0"/>
        <v>0</v>
      </c>
      <c r="F20" s="237">
        <v>0</v>
      </c>
      <c r="G20" s="237"/>
      <c r="H20" s="244">
        <f t="shared" si="1"/>
        <v>0</v>
      </c>
      <c r="I20" s="237"/>
      <c r="J20" s="237"/>
      <c r="K20" s="238">
        <f t="shared" si="6"/>
        <v>0</v>
      </c>
      <c r="L20" s="187" t="s">
        <v>144</v>
      </c>
      <c r="M20" s="238">
        <f t="shared" si="7"/>
        <v>0</v>
      </c>
      <c r="N20" s="161" t="s">
        <v>131</v>
      </c>
      <c r="O20" s="108">
        <f t="shared" si="2"/>
        <v>0</v>
      </c>
      <c r="P20" s="108">
        <f t="shared" si="3"/>
        <v>0</v>
      </c>
      <c r="Q20" s="282">
        <f t="shared" si="4"/>
        <v>0</v>
      </c>
      <c r="R20" s="282">
        <f t="shared" si="5"/>
        <v>0</v>
      </c>
      <c r="S20" s="283"/>
    </row>
    <row r="21" spans="1:21" x14ac:dyDescent="0.2">
      <c r="A21" s="126">
        <v>16</v>
      </c>
      <c r="B21" s="9" t="s">
        <v>66</v>
      </c>
      <c r="C21" s="243">
        <v>0</v>
      </c>
      <c r="D21" s="237"/>
      <c r="E21" s="244">
        <f t="shared" si="0"/>
        <v>0</v>
      </c>
      <c r="F21" s="237">
        <v>0</v>
      </c>
      <c r="G21" s="237"/>
      <c r="H21" s="244">
        <f t="shared" si="1"/>
        <v>0</v>
      </c>
      <c r="I21" s="237"/>
      <c r="J21" s="237"/>
      <c r="K21" s="238">
        <f t="shared" si="6"/>
        <v>0</v>
      </c>
      <c r="L21" s="187" t="s">
        <v>145</v>
      </c>
      <c r="M21" s="238">
        <f t="shared" si="7"/>
        <v>0</v>
      </c>
      <c r="N21" s="161" t="s">
        <v>132</v>
      </c>
      <c r="O21" s="108">
        <f t="shared" si="2"/>
        <v>0</v>
      </c>
      <c r="P21" s="108">
        <f t="shared" si="3"/>
        <v>0</v>
      </c>
      <c r="Q21" s="282">
        <f t="shared" si="4"/>
        <v>0</v>
      </c>
      <c r="R21" s="282">
        <f t="shared" si="5"/>
        <v>0</v>
      </c>
      <c r="S21" s="283"/>
    </row>
    <row r="22" spans="1:21" x14ac:dyDescent="0.2">
      <c r="A22" s="126">
        <v>17</v>
      </c>
      <c r="B22" s="9" t="s">
        <v>67</v>
      </c>
      <c r="C22" s="243">
        <v>0</v>
      </c>
      <c r="D22" s="237"/>
      <c r="E22" s="244">
        <f t="shared" si="0"/>
        <v>0</v>
      </c>
      <c r="F22" s="237">
        <v>0</v>
      </c>
      <c r="G22" s="237"/>
      <c r="H22" s="244">
        <f t="shared" si="1"/>
        <v>0</v>
      </c>
      <c r="I22" s="237"/>
      <c r="J22" s="237"/>
      <c r="K22" s="238">
        <f t="shared" si="6"/>
        <v>0</v>
      </c>
      <c r="L22" s="187"/>
      <c r="M22" s="238">
        <f t="shared" si="7"/>
        <v>0</v>
      </c>
      <c r="N22" s="161" t="s">
        <v>191</v>
      </c>
      <c r="O22" s="108">
        <f t="shared" si="2"/>
        <v>0</v>
      </c>
      <c r="P22" s="108">
        <f t="shared" si="3"/>
        <v>0</v>
      </c>
      <c r="Q22" s="282">
        <f t="shared" si="4"/>
        <v>0</v>
      </c>
      <c r="R22" s="282">
        <f t="shared" si="5"/>
        <v>0</v>
      </c>
      <c r="S22" s="283"/>
    </row>
    <row r="23" spans="1:21" x14ac:dyDescent="0.2">
      <c r="A23" s="126">
        <v>18</v>
      </c>
      <c r="B23" s="9" t="s">
        <v>68</v>
      </c>
      <c r="C23" s="243">
        <v>0</v>
      </c>
      <c r="D23" s="237"/>
      <c r="E23" s="244">
        <f t="shared" si="0"/>
        <v>0</v>
      </c>
      <c r="F23" s="256">
        <v>0</v>
      </c>
      <c r="G23" s="237"/>
      <c r="H23" s="244">
        <f t="shared" si="1"/>
        <v>0</v>
      </c>
      <c r="I23" s="237"/>
      <c r="J23" s="237"/>
      <c r="K23" s="238">
        <f t="shared" si="6"/>
        <v>0</v>
      </c>
      <c r="L23" s="187" t="s">
        <v>146</v>
      </c>
      <c r="M23" s="238">
        <f t="shared" si="7"/>
        <v>0</v>
      </c>
      <c r="N23" s="161" t="s">
        <v>133</v>
      </c>
      <c r="O23" s="108">
        <f t="shared" si="2"/>
        <v>0</v>
      </c>
      <c r="P23" s="108">
        <f>ROUND(M23,4)</f>
        <v>0</v>
      </c>
      <c r="Q23" s="282">
        <f t="shared" si="4"/>
        <v>0</v>
      </c>
      <c r="R23" s="282">
        <f t="shared" si="5"/>
        <v>0</v>
      </c>
      <c r="S23" s="283"/>
    </row>
    <row r="24" spans="1:21" x14ac:dyDescent="0.2">
      <c r="A24" s="126">
        <v>19</v>
      </c>
      <c r="B24" s="9" t="s">
        <v>69</v>
      </c>
      <c r="C24" s="243">
        <v>51493667.82</v>
      </c>
      <c r="D24" s="237">
        <f>C24</f>
        <v>51493667.82</v>
      </c>
      <c r="E24" s="244">
        <f t="shared" si="0"/>
        <v>4.7723342912822028E-2</v>
      </c>
      <c r="F24" s="237">
        <v>1397250.41</v>
      </c>
      <c r="G24" s="237">
        <f>F24</f>
        <v>1397250.41</v>
      </c>
      <c r="H24" s="244">
        <f t="shared" si="1"/>
        <v>5.331090153697083E-2</v>
      </c>
      <c r="I24" s="237">
        <v>195</v>
      </c>
      <c r="J24" s="237">
        <f>I24</f>
        <v>195</v>
      </c>
      <c r="K24" s="238">
        <f>J24/$J$29</f>
        <v>6.3417108960349671E-4</v>
      </c>
      <c r="L24" s="187" t="s">
        <v>177</v>
      </c>
      <c r="M24" s="238">
        <f t="shared" si="7"/>
        <v>3.3889471846465451E-2</v>
      </c>
      <c r="N24" s="161" t="s">
        <v>134</v>
      </c>
      <c r="O24" s="108">
        <f t="shared" si="2"/>
        <v>5.9999999999999995E-4</v>
      </c>
      <c r="P24" s="108">
        <f t="shared" si="3"/>
        <v>3.39E-2</v>
      </c>
      <c r="Q24" s="282">
        <f t="shared" si="4"/>
        <v>2.7153900000000003E-3</v>
      </c>
      <c r="R24" s="282">
        <f t="shared" si="5"/>
        <v>2.7000000000000001E-3</v>
      </c>
      <c r="S24" s="284" t="s">
        <v>236</v>
      </c>
      <c r="U24" s="9">
        <f>P24*U11</f>
        <v>0</v>
      </c>
    </row>
    <row r="25" spans="1:21" x14ac:dyDescent="0.2">
      <c r="A25" s="126">
        <v>20</v>
      </c>
      <c r="B25" s="9" t="s">
        <v>70</v>
      </c>
      <c r="C25" s="243">
        <v>0</v>
      </c>
      <c r="D25" s="237"/>
      <c r="E25" s="244">
        <f t="shared" si="0"/>
        <v>0</v>
      </c>
      <c r="F25" s="271">
        <v>0</v>
      </c>
      <c r="G25" s="237"/>
      <c r="H25" s="244">
        <f t="shared" si="1"/>
        <v>0</v>
      </c>
      <c r="I25" s="237"/>
      <c r="J25" s="237"/>
      <c r="K25" s="238">
        <f t="shared" si="6"/>
        <v>0</v>
      </c>
      <c r="L25" s="187" t="s">
        <v>147</v>
      </c>
      <c r="M25" s="238">
        <f t="shared" si="7"/>
        <v>0</v>
      </c>
      <c r="N25" s="161" t="s">
        <v>135</v>
      </c>
      <c r="O25" s="108">
        <f t="shared" si="2"/>
        <v>0</v>
      </c>
      <c r="P25" s="108">
        <f t="shared" si="3"/>
        <v>0</v>
      </c>
      <c r="Q25" s="282">
        <f t="shared" si="4"/>
        <v>0</v>
      </c>
      <c r="R25" s="282">
        <f t="shared" si="5"/>
        <v>0</v>
      </c>
      <c r="S25" s="283"/>
    </row>
    <row r="26" spans="1:21" x14ac:dyDescent="0.2">
      <c r="A26" s="126">
        <v>21</v>
      </c>
      <c r="B26" s="9" t="s">
        <v>71</v>
      </c>
      <c r="C26" s="243">
        <v>0</v>
      </c>
      <c r="D26" s="237"/>
      <c r="E26" s="244">
        <f t="shared" si="0"/>
        <v>0</v>
      </c>
      <c r="F26" s="237">
        <v>0</v>
      </c>
      <c r="G26" s="237"/>
      <c r="H26" s="244">
        <f t="shared" si="1"/>
        <v>0</v>
      </c>
      <c r="I26" s="237"/>
      <c r="J26" s="237"/>
      <c r="K26" s="238">
        <f t="shared" si="6"/>
        <v>0</v>
      </c>
      <c r="L26" s="187" t="s">
        <v>148</v>
      </c>
      <c r="M26" s="238">
        <f t="shared" si="7"/>
        <v>0</v>
      </c>
      <c r="N26" s="161" t="s">
        <v>136</v>
      </c>
      <c r="O26" s="108">
        <f t="shared" si="2"/>
        <v>0</v>
      </c>
      <c r="P26" s="108">
        <f t="shared" si="3"/>
        <v>0</v>
      </c>
      <c r="Q26" s="282">
        <f t="shared" si="4"/>
        <v>0</v>
      </c>
      <c r="R26" s="282">
        <f t="shared" si="5"/>
        <v>0</v>
      </c>
      <c r="S26" s="283"/>
    </row>
    <row r="27" spans="1:21" x14ac:dyDescent="0.2">
      <c r="A27" s="126">
        <v>40</v>
      </c>
      <c r="B27" s="9" t="s">
        <v>72</v>
      </c>
      <c r="C27" s="243">
        <v>0</v>
      </c>
      <c r="D27" s="240"/>
      <c r="E27" s="244">
        <f t="shared" si="0"/>
        <v>0</v>
      </c>
      <c r="F27" s="254">
        <v>0</v>
      </c>
      <c r="G27" s="240"/>
      <c r="H27" s="244">
        <f t="shared" si="1"/>
        <v>0</v>
      </c>
      <c r="I27" s="240">
        <v>0</v>
      </c>
      <c r="J27" s="240"/>
      <c r="K27" s="238">
        <f t="shared" si="6"/>
        <v>0</v>
      </c>
      <c r="L27" s="239"/>
      <c r="M27" s="238">
        <f t="shared" si="7"/>
        <v>0</v>
      </c>
      <c r="N27" s="161"/>
      <c r="O27" s="108">
        <f t="shared" si="2"/>
        <v>0</v>
      </c>
      <c r="P27" s="108">
        <f t="shared" si="3"/>
        <v>0</v>
      </c>
      <c r="Q27" s="282">
        <f t="shared" si="4"/>
        <v>0</v>
      </c>
      <c r="R27" s="282">
        <f t="shared" si="5"/>
        <v>0</v>
      </c>
      <c r="S27" s="283"/>
    </row>
    <row r="28" spans="1:21" x14ac:dyDescent="0.2">
      <c r="C28" s="109"/>
      <c r="D28" s="109"/>
      <c r="F28" s="34"/>
      <c r="G28" s="34"/>
      <c r="H28" s="61"/>
      <c r="I28" s="65"/>
      <c r="J28" s="65"/>
      <c r="M28" s="102"/>
      <c r="O28" s="108">
        <f>SUM(O11:O27)</f>
        <v>1</v>
      </c>
      <c r="P28" s="108">
        <f>SUM(P11:P27)</f>
        <v>1</v>
      </c>
      <c r="Q28" s="102">
        <f>SUM(Q11:Q27)</f>
        <v>8.0100000000000005E-2</v>
      </c>
      <c r="R28" s="102"/>
    </row>
    <row r="29" spans="1:21" x14ac:dyDescent="0.2">
      <c r="B29" s="41" t="s">
        <v>185</v>
      </c>
      <c r="C29" s="109">
        <f>SUM(C11:C27)</f>
        <v>1079003788.8600001</v>
      </c>
      <c r="D29" s="109">
        <f>SUM(D11:D27)</f>
        <v>1079003788.8600001</v>
      </c>
      <c r="E29" s="100">
        <f t="shared" ref="E29:J29" si="8">SUM(E11:E27)</f>
        <v>0.99999999999999989</v>
      </c>
      <c r="F29" s="34">
        <f>SUM(F11:F27)</f>
        <v>26209468.789999999</v>
      </c>
      <c r="G29" s="34">
        <f t="shared" si="8"/>
        <v>26209468.789999999</v>
      </c>
      <c r="H29" s="100">
        <f t="shared" si="8"/>
        <v>1</v>
      </c>
      <c r="I29" s="65">
        <f>SUM(I11:I27)</f>
        <v>307488</v>
      </c>
      <c r="J29" s="65">
        <f t="shared" si="8"/>
        <v>307488</v>
      </c>
      <c r="K29" s="101">
        <f>SUM(K11:K27)</f>
        <v>1</v>
      </c>
      <c r="L29" s="100"/>
      <c r="M29" s="102">
        <f>SUM(M11:M27)</f>
        <v>0.99999999999999989</v>
      </c>
    </row>
    <row r="30" spans="1:21" x14ac:dyDescent="0.2">
      <c r="C30" s="109"/>
      <c r="D30" s="109"/>
      <c r="F30" s="60"/>
      <c r="G30" s="60"/>
      <c r="I30" s="65"/>
      <c r="J30" s="65"/>
    </row>
    <row r="31" spans="1:21" x14ac:dyDescent="0.2">
      <c r="B31" s="124" t="s">
        <v>122</v>
      </c>
      <c r="C31" s="109">
        <v>1092949490.3900001</v>
      </c>
      <c r="D31" s="109"/>
      <c r="F31" s="60">
        <v>36316769.729999997</v>
      </c>
      <c r="G31" s="60"/>
      <c r="I31" s="65">
        <v>305587.66666666669</v>
      </c>
      <c r="J31" s="65"/>
    </row>
    <row r="32" spans="1:21" x14ac:dyDescent="0.2">
      <c r="B32" s="128"/>
      <c r="C32" s="109"/>
      <c r="D32" s="109"/>
      <c r="F32" s="60"/>
      <c r="G32" s="60"/>
      <c r="I32" s="65"/>
      <c r="J32" s="65"/>
    </row>
    <row r="33" spans="2:12" x14ac:dyDescent="0.2">
      <c r="B33" s="124" t="s">
        <v>116</v>
      </c>
      <c r="C33" s="109">
        <f>C29-C31</f>
        <v>-13945701.529999971</v>
      </c>
      <c r="D33" s="109"/>
      <c r="E33" s="41"/>
      <c r="F33" s="60">
        <f>F29-F31</f>
        <v>-10107300.939999998</v>
      </c>
      <c r="G33" s="60"/>
      <c r="H33" s="41"/>
      <c r="I33" s="65">
        <f>I29-I31</f>
        <v>1900.3333333333139</v>
      </c>
      <c r="J33" s="65"/>
      <c r="L33" s="41"/>
    </row>
    <row r="34" spans="2:12" x14ac:dyDescent="0.2">
      <c r="B34" s="124" t="s">
        <v>123</v>
      </c>
      <c r="C34" s="109">
        <v>13945701.529999999</v>
      </c>
      <c r="D34" s="109"/>
      <c r="F34" s="60">
        <v>10107300.939999999</v>
      </c>
      <c r="G34" s="60"/>
      <c r="I34" s="41" t="s">
        <v>181</v>
      </c>
      <c r="J34" s="41"/>
    </row>
    <row r="35" spans="2:12" x14ac:dyDescent="0.2">
      <c r="B35" s="124" t="s">
        <v>119</v>
      </c>
      <c r="C35" s="109">
        <f>SUM(C33:C34)</f>
        <v>2.7939677238464355E-8</v>
      </c>
      <c r="D35" s="109"/>
      <c r="F35" s="34">
        <f>SUM(F33:F34)</f>
        <v>0</v>
      </c>
      <c r="G35" s="34"/>
      <c r="I35" s="65"/>
      <c r="J35" s="65"/>
    </row>
    <row r="36" spans="2:12" x14ac:dyDescent="0.2">
      <c r="B36" s="129"/>
      <c r="C36" s="109"/>
      <c r="D36" s="109"/>
    </row>
    <row r="39" spans="2:12" x14ac:dyDescent="0.2">
      <c r="B39" s="59" t="s">
        <v>223</v>
      </c>
    </row>
  </sheetData>
  <mergeCells count="4">
    <mergeCell ref="A1:M1"/>
    <mergeCell ref="A2:M2"/>
    <mergeCell ref="A3:M3"/>
    <mergeCell ref="A4:M4"/>
  </mergeCells>
  <pageMargins left="0.59" right="0.54" top="1" bottom="1" header="0.5" footer="0.5"/>
  <pageSetup scale="60" orientation="landscape" horizontalDpi="4294967294" verticalDpi="4294967294" r:id="rId1"/>
  <headerFooter alignWithMargins="0">
    <oddFooter>&amp;L&amp;"Times New Roman,Italic"&amp;9General Accounting&amp;R&amp;"Times New Roman,Italic"&amp;9&amp;T&amp;D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3-Factor Composite</vt:lpstr>
      <vt:lpstr>Mid States FY21</vt:lpstr>
      <vt:lpstr>Mid States FY21 NSC only</vt:lpstr>
      <vt:lpstr>CO KS FY21</vt:lpstr>
      <vt:lpstr>COdiv 2021_old way</vt:lpstr>
      <vt:lpstr>COdiv 2021_new way</vt:lpstr>
      <vt:lpstr>COdiv 2021_new way NSC only</vt:lpstr>
      <vt:lpstr>West Texas FY21 new rollup</vt:lpstr>
      <vt:lpstr>West Texas FY21 NSC only</vt:lpstr>
      <vt:lpstr>Div 002 Rates</vt:lpstr>
      <vt:lpstr>Div 002 Rates (Excl APT)</vt:lpstr>
      <vt:lpstr>Div 012 Rates</vt:lpstr>
      <vt:lpstr>'3-Factor Composite'!Print_Area</vt:lpstr>
      <vt:lpstr>'3-Factor Composite'!Print_Titles</vt:lpstr>
    </vt:vector>
  </TitlesOfParts>
  <Company>Atmos Energy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</dc:creator>
  <cp:lastModifiedBy>Thomas  Troup</cp:lastModifiedBy>
  <cp:lastPrinted>2019-11-06T19:40:10Z</cp:lastPrinted>
  <dcterms:created xsi:type="dcterms:W3CDTF">1997-01-25T15:57:40Z</dcterms:created>
  <dcterms:modified xsi:type="dcterms:W3CDTF">2021-06-25T19:26:59Z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