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gulatory Reporting\Regulatory Accounting Services\Pilkinton\Kentucky\2021\Staff\"/>
    </mc:Choice>
  </mc:AlternateContent>
  <xr:revisionPtr revIDLastSave="0" documentId="13_ncr:1_{636B8B19-DCD1-40B2-9ABC-4251A4CEA3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erating Stats" sheetId="1" r:id="rId1"/>
  </sheets>
  <definedNames>
    <definedName name="_xlnm.Print_Area" localSheetId="0">'Operating Stats'!$A$1:$H$36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E31" i="1"/>
  <c r="C31" i="1"/>
  <c r="G30" i="1"/>
  <c r="E30" i="1"/>
  <c r="C30" i="1"/>
  <c r="G29" i="1"/>
  <c r="E29" i="1"/>
  <c r="C29" i="1"/>
  <c r="G25" i="1" l="1"/>
  <c r="E25" i="1"/>
  <c r="C25" i="1"/>
  <c r="G23" i="1"/>
  <c r="E23" i="1"/>
  <c r="C23" i="1"/>
  <c r="G21" i="1"/>
  <c r="E21" i="1"/>
  <c r="C21" i="1"/>
  <c r="G19" i="1"/>
  <c r="E19" i="1"/>
  <c r="C19" i="1"/>
  <c r="G27" i="1"/>
  <c r="E27" i="1"/>
  <c r="C27" i="1"/>
  <c r="G32" i="1" l="1"/>
  <c r="E32" i="1"/>
  <c r="C32" i="1"/>
  <c r="G18" i="1" l="1"/>
  <c r="E18" i="1"/>
  <c r="C18" i="1"/>
  <c r="G17" i="1"/>
  <c r="E17" i="1"/>
  <c r="C17" i="1"/>
  <c r="C15" i="1"/>
  <c r="G16" i="1"/>
  <c r="C16" i="1"/>
  <c r="G15" i="1"/>
  <c r="E16" i="1"/>
  <c r="E15" i="1"/>
  <c r="D32" i="1" l="1"/>
  <c r="D29" i="1"/>
  <c r="D23" i="1"/>
  <c r="D21" i="1"/>
  <c r="D15" i="1"/>
  <c r="F30" i="1"/>
  <c r="F27" i="1"/>
  <c r="F21" i="1"/>
  <c r="F16" i="1"/>
  <c r="D30" i="1"/>
  <c r="D27" i="1"/>
  <c r="D18" i="1"/>
  <c r="D17" i="1"/>
  <c r="F23" i="1"/>
  <c r="D19" i="1"/>
  <c r="F17" i="1"/>
  <c r="D16" i="1"/>
  <c r="F28" i="1"/>
  <c r="D28" i="1"/>
  <c r="D12" i="1"/>
  <c r="F12" i="1"/>
  <c r="D14" i="1"/>
  <c r="F14" i="1"/>
  <c r="D20" i="1"/>
  <c r="F20" i="1"/>
  <c r="D22" i="1"/>
  <c r="F22" i="1"/>
  <c r="D24" i="1"/>
  <c r="F24" i="1"/>
  <c r="D26" i="1"/>
  <c r="F26" i="1"/>
  <c r="F29" i="1" l="1"/>
  <c r="D25" i="1"/>
  <c r="F32" i="1"/>
  <c r="D31" i="1"/>
  <c r="F18" i="1"/>
  <c r="F25" i="1"/>
  <c r="F31" i="1"/>
  <c r="F19" i="1"/>
</calcChain>
</file>

<file path=xl/sharedStrings.xml><?xml version="1.0" encoding="utf-8"?>
<sst xmlns="http://schemas.openxmlformats.org/spreadsheetml/2006/main" count="48" uniqueCount="42">
  <si>
    <t>Comparative Operating Statistics - Gas Operations</t>
  </si>
  <si>
    <t xml:space="preserve">KY - Division 009 </t>
  </si>
  <si>
    <t>Three Most Recent Calendar Years</t>
  </si>
  <si>
    <t>Line No.</t>
  </si>
  <si>
    <t>Item</t>
  </si>
  <si>
    <t>Cost</t>
  </si>
  <si>
    <t>% Inc.</t>
  </si>
  <si>
    <t>(a)</t>
  </si>
  <si>
    <t>(b)</t>
  </si>
  <si>
    <t>(c)</t>
  </si>
  <si>
    <t>(d)</t>
  </si>
  <si>
    <t>(e)</t>
  </si>
  <si>
    <t>(f)</t>
  </si>
  <si>
    <t>(g)</t>
  </si>
  <si>
    <t>Cost per MCF of Purchased Gas</t>
  </si>
  <si>
    <t>Cost of Propane Gas per MCF Equivalent for Peak Shaving</t>
  </si>
  <si>
    <t>Cost per MCF of Gas Sold</t>
  </si>
  <si>
    <t>Maintenance Cost per Transmission Mile</t>
  </si>
  <si>
    <t>Maintenance Cost per Distribution Mile</t>
  </si>
  <si>
    <t>Sales Promotion Expense per Customer</t>
  </si>
  <si>
    <t>Administration and General Expense per Customer</t>
  </si>
  <si>
    <t>Wages and Salaries – Charged Expense – per Average Employee</t>
  </si>
  <si>
    <t>Depreciation Expense:</t>
  </si>
  <si>
    <t xml:space="preserve">  Per $100 of Average Gross Depreciable Plant in Service</t>
  </si>
  <si>
    <t>Rents:</t>
  </si>
  <si>
    <t xml:space="preserve">  Per $100 of Average Gross Plant in Service</t>
  </si>
  <si>
    <t>Property Taxes:</t>
  </si>
  <si>
    <t xml:space="preserve">  Per $100 of Average Net Plant in Service</t>
  </si>
  <si>
    <t>Payroll Taxes:</t>
  </si>
  <si>
    <t>Interest Expense:</t>
  </si>
  <si>
    <t xml:space="preserve">  Per $100 of Average Debt Outstanding</t>
  </si>
  <si>
    <t xml:space="preserve">  Per $100 of Average Plant Investment</t>
  </si>
  <si>
    <t xml:space="preserve">  Per MCF Sold</t>
  </si>
  <si>
    <t>Meter Reading Expense per Meter</t>
  </si>
  <si>
    <t>Per Average Employee whose Salary is charged to expense</t>
  </si>
  <si>
    <t>Atmos Energy Corporation, Kentucky</t>
  </si>
  <si>
    <t>For the Calendar Years 2018 through 2020</t>
  </si>
  <si>
    <t>CY 2018</t>
  </si>
  <si>
    <t>CY 2019</t>
  </si>
  <si>
    <t>CY 2020</t>
  </si>
  <si>
    <t>The maintenance expense per transmission mile was higher than normal in CY 2019 and lower than normal in CY2020</t>
  </si>
  <si>
    <t>due to the timing of when the expenses were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</si>
</sst>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_(* #,##0.000_);_(* \(#,##0.000\);_(* &quot;-&quot;??_);_(@_)"/>
  </numFmts>
  <fonts count="10" x14ac:knownFonts="1">
    <font>
      <sz val="10"/>
      <name val="Arial"/>
    </font>
    <font>
      <sz val="10"/>
      <name val="Arial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0" fontId="2" fillId="2" borderId="0">
      <alignment horizontal="right"/>
    </xf>
    <xf numFmtId="0" fontId="3" fillId="2" borderId="0">
      <alignment horizontal="right"/>
    </xf>
    <xf numFmtId="0" fontId="4" fillId="2" borderId="1"/>
    <xf numFmtId="0" fontId="4" fillId="0" borderId="0" applyBorder="0">
      <alignment horizontal="centerContinuous"/>
    </xf>
    <xf numFmtId="0" fontId="5" fillId="0" borderId="0" applyBorder="0">
      <alignment horizontal="centerContinuous"/>
    </xf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10" fontId="0" fillId="0" borderId="0" xfId="6" applyNumberFormat="1" applyFont="1" applyFill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43" fontId="7" fillId="0" borderId="2" xfId="0" applyNumberFormat="1" applyFont="1" applyFill="1" applyBorder="1" applyAlignment="1">
      <alignment horizontal="justify" wrapText="1"/>
    </xf>
    <xf numFmtId="43" fontId="7" fillId="0" borderId="2" xfId="0" applyNumberFormat="1" applyFont="1" applyBorder="1" applyAlignment="1">
      <alignment horizontal="justify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41" fontId="7" fillId="0" borderId="2" xfId="0" applyNumberFormat="1" applyFont="1" applyFill="1" applyBorder="1" applyAlignment="1">
      <alignment horizontal="justify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justify" wrapText="1"/>
    </xf>
    <xf numFmtId="10" fontId="7" fillId="0" borderId="2" xfId="6" applyNumberFormat="1" applyFont="1" applyFill="1" applyBorder="1" applyAlignment="1">
      <alignment wrapText="1"/>
    </xf>
    <xf numFmtId="43" fontId="7" fillId="0" borderId="2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left"/>
    </xf>
    <xf numFmtId="43" fontId="0" fillId="0" borderId="0" xfId="0" applyNumberFormat="1" applyFill="1"/>
    <xf numFmtId="0" fontId="9" fillId="0" borderId="0" xfId="0" applyFont="1"/>
    <xf numFmtId="10" fontId="7" fillId="0" borderId="2" xfId="6" applyNumberFormat="1" applyFont="1" applyFill="1" applyBorder="1" applyAlignment="1">
      <alignment horizontal="center" wrapText="1"/>
    </xf>
    <xf numFmtId="166" fontId="7" fillId="0" borderId="2" xfId="0" applyNumberFormat="1" applyFont="1" applyFill="1" applyBorder="1" applyAlignment="1">
      <alignment horizontal="justify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</cellXfs>
  <cellStyles count="7">
    <cellStyle name="Normal" xfId="0" builtinId="0"/>
    <cellStyle name="Output Amounts" xfId="1" xr:uid="{00000000-0005-0000-0000-000001000000}"/>
    <cellStyle name="Output Column Headings" xfId="2" xr:uid="{00000000-0005-0000-0000-000002000000}"/>
    <cellStyle name="Output Line Items" xfId="3" xr:uid="{00000000-0005-0000-0000-000003000000}"/>
    <cellStyle name="Output Report Heading" xfId="4" xr:uid="{00000000-0005-0000-0000-000004000000}"/>
    <cellStyle name="Output Report Title" xfId="5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Normal="100" workbookViewId="0">
      <selection activeCell="E2" sqref="E2"/>
    </sheetView>
  </sheetViews>
  <sheetFormatPr defaultRowHeight="12.75" x14ac:dyDescent="0.2"/>
  <cols>
    <col min="2" max="2" width="26.85546875" customWidth="1"/>
    <col min="3" max="3" width="14.5703125" customWidth="1"/>
    <col min="5" max="5" width="14.85546875" customWidth="1"/>
    <col min="6" max="6" width="10.42578125" customWidth="1"/>
    <col min="7" max="7" width="15.85546875" customWidth="1"/>
  </cols>
  <sheetData>
    <row r="1" spans="1:11" x14ac:dyDescent="0.2">
      <c r="A1" s="1" t="s">
        <v>35</v>
      </c>
    </row>
    <row r="2" spans="1:11" x14ac:dyDescent="0.2">
      <c r="A2" s="1" t="s">
        <v>0</v>
      </c>
      <c r="F2" s="1"/>
    </row>
    <row r="3" spans="1:11" x14ac:dyDescent="0.2">
      <c r="A3" s="1" t="s">
        <v>36</v>
      </c>
    </row>
    <row r="4" spans="1:11" x14ac:dyDescent="0.2">
      <c r="A4" s="1" t="s">
        <v>1</v>
      </c>
    </row>
    <row r="7" spans="1:11" x14ac:dyDescent="0.2">
      <c r="A7" s="26"/>
      <c r="C7" s="27" t="s">
        <v>2</v>
      </c>
      <c r="D7" s="28"/>
      <c r="E7" s="28"/>
      <c r="F7" s="28"/>
      <c r="G7" s="28"/>
      <c r="H7" s="29"/>
    </row>
    <row r="8" spans="1:11" x14ac:dyDescent="0.2">
      <c r="A8" s="26"/>
      <c r="C8" s="30"/>
      <c r="D8" s="31"/>
      <c r="E8" s="31"/>
      <c r="F8" s="31"/>
      <c r="G8" s="31"/>
      <c r="H8" s="32"/>
    </row>
    <row r="9" spans="1:11" ht="13.5" customHeight="1" x14ac:dyDescent="0.2">
      <c r="A9" s="2"/>
      <c r="B9" s="2"/>
      <c r="C9" s="24" t="s">
        <v>39</v>
      </c>
      <c r="D9" s="25"/>
      <c r="E9" s="24" t="s">
        <v>38</v>
      </c>
      <c r="F9" s="25"/>
      <c r="G9" s="24" t="s">
        <v>37</v>
      </c>
      <c r="H9" s="25"/>
    </row>
    <row r="10" spans="1:11" x14ac:dyDescent="0.2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5</v>
      </c>
      <c r="F10" s="13" t="s">
        <v>6</v>
      </c>
      <c r="G10" s="13" t="s">
        <v>5</v>
      </c>
      <c r="H10" s="13" t="s">
        <v>6</v>
      </c>
    </row>
    <row r="11" spans="1:11" x14ac:dyDescent="0.2">
      <c r="A11" s="14"/>
      <c r="B11" s="14" t="s">
        <v>7</v>
      </c>
      <c r="C11" s="14" t="s">
        <v>8</v>
      </c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</row>
    <row r="12" spans="1:11" s="3" customFormat="1" x14ac:dyDescent="0.2">
      <c r="A12" s="10">
        <v>1</v>
      </c>
      <c r="B12" s="11" t="s">
        <v>14</v>
      </c>
      <c r="C12" s="8">
        <v>3.68</v>
      </c>
      <c r="D12" s="16">
        <f>-1+C12/E12</f>
        <v>-0.1655328798185941</v>
      </c>
      <c r="E12" s="8">
        <v>4.41</v>
      </c>
      <c r="F12" s="16">
        <f>-1+E12/G12</f>
        <v>-3.7117903930131035E-2</v>
      </c>
      <c r="G12" s="8">
        <v>4.58</v>
      </c>
      <c r="H12" s="8"/>
      <c r="I12"/>
      <c r="J12" s="4"/>
      <c r="K12" s="5"/>
    </row>
    <row r="13" spans="1:11" s="3" customFormat="1" ht="24" x14ac:dyDescent="0.2">
      <c r="A13" s="10">
        <v>2</v>
      </c>
      <c r="B13" s="11" t="s">
        <v>15</v>
      </c>
      <c r="C13" s="8"/>
      <c r="D13" s="17"/>
      <c r="E13" s="8"/>
      <c r="F13" s="17"/>
      <c r="G13" s="8"/>
      <c r="H13" s="8"/>
      <c r="I13" s="21"/>
      <c r="J13" s="5"/>
      <c r="K13" s="5"/>
    </row>
    <row r="14" spans="1:11" s="3" customFormat="1" x14ac:dyDescent="0.2">
      <c r="A14" s="10">
        <v>3</v>
      </c>
      <c r="B14" s="11" t="s">
        <v>16</v>
      </c>
      <c r="C14" s="8">
        <v>3.72</v>
      </c>
      <c r="D14" s="16">
        <f t="shared" ref="D14:D22" si="0">-1+C14/E14</f>
        <v>-0.2068230277185501</v>
      </c>
      <c r="E14" s="8">
        <v>4.6900000000000004</v>
      </c>
      <c r="F14" s="16">
        <f t="shared" ref="F14:F22" si="1">-1+E14/G14</f>
        <v>-4.868154158214999E-2</v>
      </c>
      <c r="G14" s="8">
        <v>4.93</v>
      </c>
      <c r="H14" s="8"/>
      <c r="I14"/>
    </row>
    <row r="15" spans="1:11" s="3" customFormat="1" ht="24" x14ac:dyDescent="0.2">
      <c r="A15" s="10">
        <v>4</v>
      </c>
      <c r="B15" s="11" t="s">
        <v>17</v>
      </c>
      <c r="C15" s="8">
        <f>1561/166.6</f>
        <v>9.3697478991596643</v>
      </c>
      <c r="D15" s="16">
        <f t="shared" si="0"/>
        <v>-0.99417308143257521</v>
      </c>
      <c r="E15" s="8">
        <f>268377/166.9</f>
        <v>1608.0107849011383</v>
      </c>
      <c r="F15" s="22" t="s">
        <v>7</v>
      </c>
      <c r="G15" s="8">
        <f>29085/183.7</f>
        <v>158.32879695155145</v>
      </c>
      <c r="H15" s="8"/>
      <c r="I15" s="21"/>
      <c r="K15" s="20"/>
    </row>
    <row r="16" spans="1:11" s="3" customFormat="1" ht="24" x14ac:dyDescent="0.2">
      <c r="A16" s="10">
        <v>5</v>
      </c>
      <c r="B16" s="11" t="s">
        <v>18</v>
      </c>
      <c r="C16" s="8">
        <f>298446/4161</f>
        <v>71.724585436193223</v>
      </c>
      <c r="D16" s="16">
        <f t="shared" si="0"/>
        <v>-0.30832297579526602</v>
      </c>
      <c r="E16" s="8">
        <f>423186/4081</f>
        <v>103.69664297966185</v>
      </c>
      <c r="F16" s="16">
        <f t="shared" si="1"/>
        <v>2.1175765212300082</v>
      </c>
      <c r="G16" s="8">
        <f>135110/4062</f>
        <v>33.26193993106844</v>
      </c>
      <c r="H16" s="8"/>
      <c r="I16" s="21"/>
      <c r="K16" s="5"/>
    </row>
    <row r="17" spans="1:10" s="3" customFormat="1" ht="24" x14ac:dyDescent="0.2">
      <c r="A17" s="10">
        <v>6</v>
      </c>
      <c r="B17" s="11" t="s">
        <v>19</v>
      </c>
      <c r="C17" s="8">
        <f>264449/179380</f>
        <v>1.4742390456015164</v>
      </c>
      <c r="D17" s="16">
        <f t="shared" si="0"/>
        <v>-0.30050761759130562</v>
      </c>
      <c r="E17" s="8">
        <f>374073/177489</f>
        <v>2.107584131974376</v>
      </c>
      <c r="F17" s="16">
        <f t="shared" si="1"/>
        <v>-0.10576310299396929</v>
      </c>
      <c r="G17" s="8">
        <f>416913/176894</f>
        <v>2.3568521261320337</v>
      </c>
      <c r="H17" s="8"/>
      <c r="I17" s="21"/>
      <c r="J17" s="4"/>
    </row>
    <row r="18" spans="1:10" s="3" customFormat="1" ht="24" x14ac:dyDescent="0.2">
      <c r="A18" s="10">
        <v>7</v>
      </c>
      <c r="B18" s="11" t="s">
        <v>20</v>
      </c>
      <c r="C18" s="8">
        <f>15242859/179380</f>
        <v>84.975242501951172</v>
      </c>
      <c r="D18" s="16">
        <f t="shared" si="0"/>
        <v>-3.178872045807446E-2</v>
      </c>
      <c r="E18" s="8">
        <f>15577355/177489</f>
        <v>87.765185448112277</v>
      </c>
      <c r="F18" s="16">
        <f t="shared" si="1"/>
        <v>5.1148098654343999E-2</v>
      </c>
      <c r="G18" s="8">
        <f>14769693/176894</f>
        <v>83.494595633543256</v>
      </c>
      <c r="H18" s="8"/>
      <c r="I18" s="21"/>
    </row>
    <row r="19" spans="1:10" s="3" customFormat="1" ht="36" x14ac:dyDescent="0.2">
      <c r="A19" s="10">
        <v>8</v>
      </c>
      <c r="B19" s="11" t="s">
        <v>21</v>
      </c>
      <c r="C19" s="12">
        <f>4933520/150</f>
        <v>32890.133333333331</v>
      </c>
      <c r="D19" s="16">
        <f t="shared" si="0"/>
        <v>-3.4908509057080872E-2</v>
      </c>
      <c r="E19" s="12">
        <f>5520929/162</f>
        <v>34079.808641975309</v>
      </c>
      <c r="F19" s="16">
        <f t="shared" si="1"/>
        <v>-3.8131070878646534E-2</v>
      </c>
      <c r="G19" s="12">
        <f>5633501/159</f>
        <v>35430.823899371069</v>
      </c>
      <c r="H19" s="8"/>
      <c r="I19" s="21"/>
    </row>
    <row r="20" spans="1:10" s="3" customFormat="1" x14ac:dyDescent="0.2">
      <c r="A20" s="10">
        <v>9</v>
      </c>
      <c r="B20" s="11" t="s">
        <v>22</v>
      </c>
      <c r="C20" s="12">
        <v>20434676</v>
      </c>
      <c r="D20" s="16">
        <f t="shared" si="0"/>
        <v>3.0749016028541742E-3</v>
      </c>
      <c r="E20" s="12">
        <v>20372034</v>
      </c>
      <c r="F20" s="16">
        <f t="shared" si="1"/>
        <v>-2.0235338386400681E-2</v>
      </c>
      <c r="G20" s="12">
        <v>20792783</v>
      </c>
      <c r="H20" s="8"/>
      <c r="I20" s="21"/>
    </row>
    <row r="21" spans="1:10" s="3" customFormat="1" ht="24" x14ac:dyDescent="0.2">
      <c r="A21" s="10">
        <v>10</v>
      </c>
      <c r="B21" s="11" t="s">
        <v>23</v>
      </c>
      <c r="C21" s="8">
        <f>C20/7610276</f>
        <v>2.6851425625036462</v>
      </c>
      <c r="D21" s="16">
        <f t="shared" si="0"/>
        <v>-8.8913879996821654E-2</v>
      </c>
      <c r="E21" s="8">
        <f>E20/6912362</f>
        <v>2.9471885297673936</v>
      </c>
      <c r="F21" s="16">
        <f t="shared" si="1"/>
        <v>-0.12919457264529333</v>
      </c>
      <c r="G21" s="8">
        <f>G20/6143641</f>
        <v>3.3844397809051667</v>
      </c>
      <c r="H21" s="8"/>
      <c r="I21" s="21"/>
    </row>
    <row r="22" spans="1:10" s="3" customFormat="1" x14ac:dyDescent="0.2">
      <c r="A22" s="10">
        <v>11</v>
      </c>
      <c r="B22" s="11" t="s">
        <v>24</v>
      </c>
      <c r="C22" s="12">
        <v>280914</v>
      </c>
      <c r="D22" s="16">
        <f t="shared" si="0"/>
        <v>-5.3269075222431961E-2</v>
      </c>
      <c r="E22" s="12">
        <v>296720</v>
      </c>
      <c r="F22" s="16">
        <f t="shared" si="1"/>
        <v>-7.7234065711931033E-2</v>
      </c>
      <c r="G22" s="12">
        <v>321555</v>
      </c>
      <c r="H22" s="8"/>
      <c r="I22" s="21"/>
    </row>
    <row r="23" spans="1:10" s="3" customFormat="1" ht="24" x14ac:dyDescent="0.2">
      <c r="A23" s="10">
        <v>12</v>
      </c>
      <c r="B23" s="11" t="s">
        <v>25</v>
      </c>
      <c r="C23" s="23">
        <f>C22/7610276</f>
        <v>3.6912458891109862E-2</v>
      </c>
      <c r="D23" s="16">
        <f>+C23/E23-1</f>
        <v>-0.14009073144557183</v>
      </c>
      <c r="E23" s="23">
        <f>E22/6912362</f>
        <v>4.2925992591244501E-2</v>
      </c>
      <c r="F23" s="16">
        <f>+E23/G23-1</f>
        <v>-0.17985449441225931</v>
      </c>
      <c r="G23" s="23">
        <f>G22/6143641</f>
        <v>5.2339484029096099E-2</v>
      </c>
      <c r="H23" s="8"/>
      <c r="I23" s="21"/>
    </row>
    <row r="24" spans="1:10" s="3" customFormat="1" x14ac:dyDescent="0.2">
      <c r="A24" s="10">
        <v>13</v>
      </c>
      <c r="B24" s="11" t="s">
        <v>26</v>
      </c>
      <c r="C24" s="12">
        <v>7984520</v>
      </c>
      <c r="D24" s="16">
        <f>-1+C24/E24</f>
        <v>0.10649363031550751</v>
      </c>
      <c r="E24" s="12">
        <v>7216056</v>
      </c>
      <c r="F24" s="16">
        <f>-1+E24/G24</f>
        <v>0.38529054016697084</v>
      </c>
      <c r="G24" s="12">
        <v>5209056</v>
      </c>
      <c r="H24" s="8"/>
      <c r="I24" s="21"/>
    </row>
    <row r="25" spans="1:10" s="3" customFormat="1" ht="24" x14ac:dyDescent="0.2">
      <c r="A25" s="10">
        <v>14</v>
      </c>
      <c r="B25" s="11" t="s">
        <v>27</v>
      </c>
      <c r="C25" s="8">
        <f>C24/7610276</f>
        <v>1.0491761402608788</v>
      </c>
      <c r="D25" s="16">
        <f>+C25/E25-1</f>
        <v>5.0206488483417466E-3</v>
      </c>
      <c r="E25" s="8">
        <f>E24/6912362</f>
        <v>1.0439349096589559</v>
      </c>
      <c r="F25" s="16">
        <f>+E25/G25-1</f>
        <v>0.23123293593158856</v>
      </c>
      <c r="G25" s="8">
        <f>G24/6143641</f>
        <v>0.84787766733114778</v>
      </c>
      <c r="H25" s="8"/>
      <c r="I25" s="21"/>
    </row>
    <row r="26" spans="1:10" s="3" customFormat="1" x14ac:dyDescent="0.2">
      <c r="A26" s="10">
        <v>15</v>
      </c>
      <c r="B26" s="11" t="s">
        <v>28</v>
      </c>
      <c r="C26" s="12">
        <v>335621</v>
      </c>
      <c r="D26" s="16">
        <f>+C26/E26-1</f>
        <v>-0.17833194193843749</v>
      </c>
      <c r="E26" s="12">
        <v>408463</v>
      </c>
      <c r="F26" s="16">
        <f>+E26/G26-1</f>
        <v>0.11993891187462125</v>
      </c>
      <c r="G26" s="12">
        <v>364719</v>
      </c>
      <c r="H26" s="8"/>
      <c r="I26" s="21"/>
    </row>
    <row r="27" spans="1:10" s="3" customFormat="1" ht="24" x14ac:dyDescent="0.2">
      <c r="A27" s="10">
        <v>16</v>
      </c>
      <c r="B27" s="11" t="s">
        <v>34</v>
      </c>
      <c r="C27" s="15">
        <f>C26/150</f>
        <v>2237.4733333333334</v>
      </c>
      <c r="D27" s="16">
        <f>+C27/E27-1</f>
        <v>-0.11259849729351257</v>
      </c>
      <c r="E27" s="15">
        <f>E26/162</f>
        <v>2521.3765432098767</v>
      </c>
      <c r="F27" s="16">
        <f>+E27/G27-1</f>
        <v>9.9199302395461819E-2</v>
      </c>
      <c r="G27" s="15">
        <f>G26/159</f>
        <v>2293.8301886792451</v>
      </c>
      <c r="H27" s="8"/>
      <c r="I27" s="21"/>
    </row>
    <row r="28" spans="1:10" s="3" customFormat="1" x14ac:dyDescent="0.2">
      <c r="A28" s="10">
        <v>17</v>
      </c>
      <c r="B28" s="11" t="s">
        <v>29</v>
      </c>
      <c r="C28" s="12">
        <v>9224616</v>
      </c>
      <c r="D28" s="16">
        <f>+C28/E28-1</f>
        <v>8.2864374090385606E-3</v>
      </c>
      <c r="E28" s="12">
        <v>9148805</v>
      </c>
      <c r="F28" s="16">
        <f>+E28/G28-1</f>
        <v>5.2008794332439212E-2</v>
      </c>
      <c r="G28" s="12">
        <v>8696510</v>
      </c>
      <c r="H28" s="8"/>
      <c r="I28" s="21"/>
    </row>
    <row r="29" spans="1:10" s="3" customFormat="1" ht="24" x14ac:dyDescent="0.2">
      <c r="A29" s="10">
        <v>18</v>
      </c>
      <c r="B29" s="11" t="s">
        <v>30</v>
      </c>
      <c r="C29" s="8">
        <f>C28/2348835</f>
        <v>3.9273154563858252</v>
      </c>
      <c r="D29" s="16">
        <f>-1+C29/E29</f>
        <v>-9.7699681166091845E-2</v>
      </c>
      <c r="E29" s="8">
        <f>E28/2101937</f>
        <v>4.3525590919233066</v>
      </c>
      <c r="F29" s="16">
        <f>-1+E29/G29</f>
        <v>-0.11685669078028416</v>
      </c>
      <c r="G29" s="8">
        <f>G28/1764540</f>
        <v>4.9284856109807658</v>
      </c>
      <c r="H29" s="8"/>
      <c r="I29" s="21"/>
    </row>
    <row r="30" spans="1:10" s="3" customFormat="1" ht="24" x14ac:dyDescent="0.2">
      <c r="A30" s="10">
        <v>19</v>
      </c>
      <c r="B30" s="11" t="s">
        <v>31</v>
      </c>
      <c r="C30" s="8">
        <f>C28/7610276</f>
        <v>1.2121263407529503</v>
      </c>
      <c r="D30" s="16">
        <f>-1+C30/E30</f>
        <v>-8.4180277422051919E-2</v>
      </c>
      <c r="E30" s="8">
        <f>E28/6912362</f>
        <v>1.323542517015168</v>
      </c>
      <c r="F30" s="16">
        <f>+E30/G30-1</f>
        <v>-6.4984680891807978E-2</v>
      </c>
      <c r="G30" s="8">
        <f>G28/6143641</f>
        <v>1.4155303019821635</v>
      </c>
      <c r="H30" s="8"/>
      <c r="I30" s="21"/>
    </row>
    <row r="31" spans="1:10" s="3" customFormat="1" x14ac:dyDescent="0.2">
      <c r="A31" s="10">
        <v>20</v>
      </c>
      <c r="B31" s="11" t="s">
        <v>32</v>
      </c>
      <c r="C31" s="8">
        <f>C28/16134599</f>
        <v>0.57172886664242473</v>
      </c>
      <c r="D31" s="16">
        <f>-1+C31/E31</f>
        <v>0.11585349533684508</v>
      </c>
      <c r="E31" s="8">
        <f>E28/17855887</f>
        <v>0.51236911389504203</v>
      </c>
      <c r="F31" s="16">
        <f>+E31/G31-1</f>
        <v>6.3025733926076244E-2</v>
      </c>
      <c r="G31" s="8">
        <f>G28/18042879</f>
        <v>0.48199126092903466</v>
      </c>
      <c r="H31" s="8"/>
      <c r="I31"/>
    </row>
    <row r="32" spans="1:10" ht="24" x14ac:dyDescent="0.2">
      <c r="A32" s="6">
        <v>21</v>
      </c>
      <c r="B32" s="7" t="s">
        <v>33</v>
      </c>
      <c r="C32" s="8">
        <f>901324/183532</f>
        <v>4.9109909988448877</v>
      </c>
      <c r="D32" s="16">
        <f>-1+C32/E32</f>
        <v>-0.25664059755677038</v>
      </c>
      <c r="E32" s="8">
        <f>1198667/181438</f>
        <v>6.6064826552320906</v>
      </c>
      <c r="F32" s="16">
        <f>+E32/G32-1</f>
        <v>-2.1899691268266408E-2</v>
      </c>
      <c r="G32" s="8">
        <f>1221385/180828</f>
        <v>6.7544019731457521</v>
      </c>
      <c r="H32" s="9"/>
    </row>
    <row r="34" spans="1:2" x14ac:dyDescent="0.2">
      <c r="A34" s="18" t="s">
        <v>7</v>
      </c>
      <c r="B34" s="19" t="s">
        <v>40</v>
      </c>
    </row>
    <row r="35" spans="1:2" x14ac:dyDescent="0.2">
      <c r="B35" s="19" t="s">
        <v>41</v>
      </c>
    </row>
  </sheetData>
  <mergeCells count="5">
    <mergeCell ref="C9:D9"/>
    <mergeCell ref="E9:F9"/>
    <mergeCell ref="G9:H9"/>
    <mergeCell ref="A7:A8"/>
    <mergeCell ref="C7:H8"/>
  </mergeCells>
  <phoneticPr fontId="6" type="noConversion"/>
  <printOptions horizontalCentered="1"/>
  <pageMargins left="0.75" right="0.75" top="1" bottom="1" header="0.25" footer="0.5"/>
  <pageSetup scale="78" orientation="landscape" r:id="rId1"/>
  <headerFooter alignWithMargins="0">
    <oddHeader>&amp;R&amp;8CASE NO. 2021-00214
ATTACHMENT 1
TO STAFF DR NO. 1-51</oddHeader>
  </headerFooter>
  <ignoredErrors>
    <ignoredError sqref="D23:E23 D26 D25:E25 D34:H35 D27:D28 D29:E29 D24 D30 D31 D32 D33 F23 H23 F32 H32 F31 H31 F30 H30 H28 H27 E27:F27 F26 H26 H25 F24 H24 H29 F28 E33:H33 F25 F29 E19:F19 J33 J29 J24 J25 J26 J27 J28 J30 J31 J32 J23 H15 E16:F16 H16 E17:F17 H17 E18:F18 H18 E21:F21 F20 H20 J19 J16 J17 J18 J21:J22 J20 H19 F22 H22 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Stats</vt:lpstr>
      <vt:lpstr>'Operating Stats'!Print_Area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</dc:creator>
  <cp:lastModifiedBy>Chad W Pilkinton</cp:lastModifiedBy>
  <cp:lastPrinted>2021-06-18T23:04:38Z</cp:lastPrinted>
  <dcterms:created xsi:type="dcterms:W3CDTF">2009-11-12T13:08:29Z</dcterms:created>
  <dcterms:modified xsi:type="dcterms:W3CDTF">2021-06-18T23:04:43Z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