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iscovery\Kentucky\1 - Kentucky Rate Cases\2021-00214 (2021 Kentucky Rate Case)\MFR Attachments\"/>
    </mc:Choice>
  </mc:AlternateContent>
  <xr:revisionPtr revIDLastSave="0" documentId="13_ncr:1_{AFAC2A60-E191-4326-B0C4-440C9FE23386}" xr6:coauthVersionLast="47" xr6:coauthVersionMax="47" xr10:uidLastSave="{00000000-0000-0000-0000-000000000000}"/>
  <bookViews>
    <workbookView xWindow="-120" yWindow="-120" windowWidth="20730" windowHeight="11160" xr2:uid="{B742AB4C-2C85-4C8D-99E8-35BFE40F12A9}"/>
  </bookViews>
  <sheets>
    <sheet name="G.1" sheetId="1" r:id="rId1"/>
    <sheet name="G.2" sheetId="2" r:id="rId2"/>
    <sheet name="G.3" sheetId="3" r:id="rId3"/>
  </sheets>
  <definedNames>
    <definedName name="_Div012">#REF!</definedName>
    <definedName name="_Div02">#REF!</definedName>
    <definedName name="_Div091">#REF!</definedName>
    <definedName name="Case_No._2006_00464">#REF!</definedName>
    <definedName name="csDesignMode">1</definedName>
    <definedName name="Div012Cap">#REF!</definedName>
    <definedName name="Div02Cap">#REF!</definedName>
    <definedName name="Div091Cap">#REF!</definedName>
    <definedName name="Div09cap">#REF!</definedName>
    <definedName name="kytax">#REF!</definedName>
    <definedName name="ltdrate">#REF!</definedName>
    <definedName name="_xlnm.Print_Area" localSheetId="0">G.1!$A$1:$L$32</definedName>
    <definedName name="_xlnm.Print_Area" localSheetId="1">G.2!$A$1:$P$53</definedName>
    <definedName name="_xlnm.Print_Area" localSheetId="2">G.3!$A$1:$L$46</definedName>
    <definedName name="ROR">#REF!</definedName>
    <definedName name="stdrat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0" i="3" l="1"/>
  <c r="H30" i="3"/>
  <c r="J29" i="3"/>
  <c r="J30" i="3" s="1"/>
  <c r="H25" i="3"/>
  <c r="L24" i="3"/>
  <c r="J24" i="3" s="1"/>
  <c r="H23" i="3"/>
  <c r="H26" i="3" s="1"/>
  <c r="L19" i="3"/>
  <c r="J19" i="3" s="1"/>
  <c r="L18" i="3"/>
  <c r="L20" i="3" s="1"/>
  <c r="H20" i="3"/>
  <c r="H32" i="3" s="1"/>
  <c r="A17" i="3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16" i="3"/>
  <c r="J50" i="2"/>
  <c r="H50" i="2"/>
  <c r="F50" i="2"/>
  <c r="D50" i="2"/>
  <c r="H49" i="2"/>
  <c r="F49" i="2"/>
  <c r="D49" i="2"/>
  <c r="E46" i="2"/>
  <c r="N43" i="2"/>
  <c r="J43" i="2"/>
  <c r="H43" i="2"/>
  <c r="F43" i="2"/>
  <c r="D43" i="2"/>
  <c r="H42" i="2"/>
  <c r="F42" i="2"/>
  <c r="D42" i="2"/>
  <c r="E39" i="2"/>
  <c r="N36" i="2"/>
  <c r="J36" i="2"/>
  <c r="H36" i="2"/>
  <c r="F36" i="2"/>
  <c r="D36" i="2"/>
  <c r="H35" i="2"/>
  <c r="F35" i="2"/>
  <c r="D35" i="2"/>
  <c r="O32" i="2"/>
  <c r="O42" i="2" s="1"/>
  <c r="C32" i="2"/>
  <c r="K32" i="2"/>
  <c r="J30" i="2"/>
  <c r="H30" i="2"/>
  <c r="F30" i="2"/>
  <c r="D30" i="2"/>
  <c r="C28" i="2"/>
  <c r="U26" i="2"/>
  <c r="U27" i="2" s="1"/>
  <c r="K26" i="2"/>
  <c r="J26" i="2" s="1"/>
  <c r="I26" i="2"/>
  <c r="I32" i="2" s="1"/>
  <c r="C26" i="2"/>
  <c r="K28" i="2"/>
  <c r="I28" i="2"/>
  <c r="G28" i="2"/>
  <c r="F25" i="2"/>
  <c r="D25" i="2"/>
  <c r="J24" i="2"/>
  <c r="H24" i="2"/>
  <c r="G26" i="2"/>
  <c r="E26" i="2"/>
  <c r="D24" i="2"/>
  <c r="E21" i="2"/>
  <c r="E19" i="2"/>
  <c r="J18" i="2"/>
  <c r="H18" i="2"/>
  <c r="G21" i="2"/>
  <c r="F18" i="2"/>
  <c r="C19" i="2"/>
  <c r="H17" i="2"/>
  <c r="F17" i="2"/>
  <c r="D17" i="2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G12" i="2"/>
  <c r="I12" i="2" s="1"/>
  <c r="K12" i="2" s="1"/>
  <c r="E12" i="2"/>
  <c r="L17" i="1"/>
  <c r="L22" i="1" s="1"/>
  <c r="M32" i="2" l="1"/>
  <c r="M42" i="2" s="1"/>
  <c r="D19" i="2"/>
  <c r="D26" i="2"/>
  <c r="E32" i="2"/>
  <c r="O46" i="2"/>
  <c r="F26" i="2"/>
  <c r="G32" i="2"/>
  <c r="H26" i="2"/>
  <c r="C39" i="2"/>
  <c r="C46" i="2"/>
  <c r="J17" i="2"/>
  <c r="K21" i="2"/>
  <c r="J42" i="2"/>
  <c r="L43" i="2"/>
  <c r="J49" i="2"/>
  <c r="L21" i="1"/>
  <c r="G19" i="2"/>
  <c r="F19" i="2" s="1"/>
  <c r="F24" i="2"/>
  <c r="H25" i="2"/>
  <c r="T26" i="2"/>
  <c r="L30" i="2"/>
  <c r="G39" i="2"/>
  <c r="G46" i="2"/>
  <c r="M50" i="2"/>
  <c r="L23" i="3"/>
  <c r="I21" i="2"/>
  <c r="I46" i="2"/>
  <c r="J35" i="2"/>
  <c r="L23" i="1"/>
  <c r="I19" i="2"/>
  <c r="J25" i="2"/>
  <c r="N30" i="2"/>
  <c r="M35" i="2"/>
  <c r="K39" i="2"/>
  <c r="K46" i="2"/>
  <c r="D18" i="2"/>
  <c r="E28" i="2"/>
  <c r="L36" i="2"/>
  <c r="I39" i="2"/>
  <c r="L20" i="1"/>
  <c r="C21" i="2"/>
  <c r="L25" i="3"/>
  <c r="J25" i="3" s="1"/>
  <c r="J18" i="3"/>
  <c r="J20" i="3" s="1"/>
  <c r="K19" i="2"/>
  <c r="O35" i="2"/>
  <c r="L42" i="2" l="1"/>
  <c r="N42" i="2"/>
  <c r="M46" i="2"/>
  <c r="O39" i="2"/>
  <c r="N35" i="2"/>
  <c r="L25" i="1"/>
  <c r="J25" i="1" s="1"/>
  <c r="M25" i="2"/>
  <c r="N26" i="2"/>
  <c r="T27" i="2"/>
  <c r="D17" i="1"/>
  <c r="L26" i="2"/>
  <c r="L29" i="1"/>
  <c r="O50" i="2"/>
  <c r="M49" i="2"/>
  <c r="L50" i="2"/>
  <c r="D25" i="1"/>
  <c r="H25" i="1" s="1"/>
  <c r="L35" i="2"/>
  <c r="L26" i="3"/>
  <c r="L32" i="3" s="1"/>
  <c r="J23" i="3"/>
  <c r="J26" i="3" s="1"/>
  <c r="J32" i="3" s="1"/>
  <c r="M39" i="2"/>
  <c r="L25" i="2" l="1"/>
  <c r="M28" i="2"/>
  <c r="O25" i="2" s="1"/>
  <c r="D29" i="1"/>
  <c r="H29" i="1" s="1"/>
  <c r="J29" i="1" s="1"/>
  <c r="H28" i="1"/>
  <c r="J28" i="1" s="1"/>
  <c r="M24" i="2"/>
  <c r="L24" i="2" s="1"/>
  <c r="M17" i="2"/>
  <c r="L49" i="2"/>
  <c r="O49" i="2"/>
  <c r="N50" i="2"/>
  <c r="D21" i="1"/>
  <c r="H21" i="1" s="1"/>
  <c r="J21" i="1" s="1"/>
  <c r="H17" i="1"/>
  <c r="J17" i="1" s="1"/>
  <c r="D22" i="1"/>
  <c r="H22" i="1" s="1"/>
  <c r="J22" i="1" s="1"/>
  <c r="D23" i="1"/>
  <c r="H23" i="1" s="1"/>
  <c r="J23" i="1" s="1"/>
  <c r="D20" i="1"/>
  <c r="H20" i="1" s="1"/>
  <c r="J20" i="1" s="1"/>
  <c r="O17" i="2" l="1"/>
  <c r="N49" i="2"/>
  <c r="D31" i="1"/>
  <c r="H31" i="1" s="1"/>
  <c r="L31" i="1" s="1"/>
  <c r="J31" i="1"/>
  <c r="L17" i="2"/>
  <c r="M18" i="2"/>
  <c r="O24" i="2"/>
  <c r="N24" i="2" s="1"/>
  <c r="N25" i="2"/>
  <c r="N17" i="2" l="1"/>
  <c r="O18" i="2"/>
  <c r="O19" i="2" s="1"/>
  <c r="O28" i="2"/>
  <c r="L18" i="2"/>
  <c r="M21" i="2"/>
  <c r="M19" i="2"/>
  <c r="J19" i="2" l="1"/>
  <c r="N19" i="2"/>
  <c r="L19" i="2"/>
  <c r="H19" i="2"/>
  <c r="O21" i="2"/>
  <c r="N18" i="2"/>
</calcChain>
</file>

<file path=xl/sharedStrings.xml><?xml version="1.0" encoding="utf-8"?>
<sst xmlns="http://schemas.openxmlformats.org/spreadsheetml/2006/main" count="179" uniqueCount="120">
  <si>
    <t>PAYROLL Costs</t>
  </si>
  <si>
    <t>Data:__X___Base Period___X___Forecasted Period</t>
  </si>
  <si>
    <t>FR 16(8)(g)</t>
  </si>
  <si>
    <t>Type of Filing:___X____Original________Updated</t>
  </si>
  <si>
    <t>Schedule G-1</t>
  </si>
  <si>
    <t>Workpaper Reference No(s).</t>
  </si>
  <si>
    <t>Total</t>
  </si>
  <si>
    <t xml:space="preserve">Base Period </t>
  </si>
  <si>
    <t>Forecasted Period</t>
  </si>
  <si>
    <t>Line</t>
  </si>
  <si>
    <t>% of</t>
  </si>
  <si>
    <t>Company</t>
  </si>
  <si>
    <t xml:space="preserve">Jurisdictional </t>
  </si>
  <si>
    <t>Jurisdictional</t>
  </si>
  <si>
    <t>No.</t>
  </si>
  <si>
    <t>Description</t>
  </si>
  <si>
    <t>Labor</t>
  </si>
  <si>
    <t>Unadjusted</t>
  </si>
  <si>
    <t>Adjustments</t>
  </si>
  <si>
    <t>ADJUSTED</t>
  </si>
  <si>
    <t>Payroll Costs</t>
  </si>
  <si>
    <t xml:space="preserve">  Labor</t>
  </si>
  <si>
    <t>100.00%</t>
  </si>
  <si>
    <t>Employee Benefits</t>
  </si>
  <si>
    <t xml:space="preserve">  PENSION &amp; RETIREMENT Income Plan</t>
  </si>
  <si>
    <t xml:space="preserve">  FAS 106</t>
  </si>
  <si>
    <t xml:space="preserve">  Employee INSURANCE PLANS</t>
  </si>
  <si>
    <t xml:space="preserve">  ESOP PLAN Contributions</t>
  </si>
  <si>
    <t>Total Employee BENEFITS</t>
  </si>
  <si>
    <t xml:space="preserve"> </t>
  </si>
  <si>
    <t>Payroll Taxes</t>
  </si>
  <si>
    <t xml:space="preserve">     </t>
  </si>
  <si>
    <t>Total Payroll Taxes</t>
  </si>
  <si>
    <t>Total Payroll Costs</t>
  </si>
  <si>
    <t>Data Source</t>
  </si>
  <si>
    <t>G.1 KY Benefit Rates Calc FY21 Mailout.xlsx</t>
  </si>
  <si>
    <t>Payroll Analysis by Employee Classifications/Payroll Distribution/Total Company</t>
  </si>
  <si>
    <t>Data:___X____Base Period___X____Forecasted Period</t>
  </si>
  <si>
    <t>Type of Filing:___X_____Original________Updated</t>
  </si>
  <si>
    <t>Schedule G-2</t>
  </si>
  <si>
    <t>Most Recent Five Years*</t>
  </si>
  <si>
    <t>Base</t>
  </si>
  <si>
    <t>Forecasted</t>
  </si>
  <si>
    <t xml:space="preserve"> No.</t>
  </si>
  <si>
    <t>% Change</t>
  </si>
  <si>
    <t>Period</t>
  </si>
  <si>
    <t>Man Hours</t>
  </si>
  <si>
    <t>Straight Time Hours</t>
  </si>
  <si>
    <t>OverTime Hours</t>
  </si>
  <si>
    <t>Total Manhours</t>
  </si>
  <si>
    <t xml:space="preserve">Ratio of OverTime Hours </t>
  </si>
  <si>
    <t>to Straight-Time Hours</t>
  </si>
  <si>
    <t>Labor Dollars</t>
  </si>
  <si>
    <t>Straight-Time Dollars</t>
  </si>
  <si>
    <t>links to source doc</t>
  </si>
  <si>
    <t>OverTime Dollars</t>
  </si>
  <si>
    <t>base</t>
  </si>
  <si>
    <t>test</t>
  </si>
  <si>
    <t>Total Labor Dollars</t>
  </si>
  <si>
    <t>Ratio of OverTime Dollars</t>
  </si>
  <si>
    <t>to Straight-Time Dollars</t>
  </si>
  <si>
    <t>O&amp;M Labor Dollars</t>
  </si>
  <si>
    <t xml:space="preserve">Ratio of O&amp;M of Labor Dollars </t>
  </si>
  <si>
    <t>to Total Labor Dollars</t>
  </si>
  <si>
    <t>Total Employee Benefits</t>
  </si>
  <si>
    <t>Employee Benefits Expensed</t>
  </si>
  <si>
    <t xml:space="preserve">Ratio of Employee Benefits </t>
  </si>
  <si>
    <t>Expensed to Total Employee</t>
  </si>
  <si>
    <t>Benefits</t>
  </si>
  <si>
    <t>Payroll Taxes Expensed</t>
  </si>
  <si>
    <t>Ratio of Payroll Taxes</t>
  </si>
  <si>
    <t xml:space="preserve">Expensed to Total Payroll </t>
  </si>
  <si>
    <t>Taxes</t>
  </si>
  <si>
    <t>Employee Levels</t>
  </si>
  <si>
    <t>Average Employee Levels</t>
  </si>
  <si>
    <t>Year end Employee Levels</t>
  </si>
  <si>
    <t>* The Payroll System accumulates data most readily on a fiscal year basis (Oct. 1 - Sept. 30) rather than calendar basis.  However, data presented here on calendar year basis.</t>
  </si>
  <si>
    <t>* Standby Pay included in regular hours and dollars</t>
  </si>
  <si>
    <t>Source:</t>
  </si>
  <si>
    <t>KY 2021 Rate Case Tab G 2 Payroll Analysis-CY16-CY20 - mailout 021721.xlsx</t>
  </si>
  <si>
    <t>G.2 Division 009 labor analysis-2021.xlsx</t>
  </si>
  <si>
    <t>OM for KY-2021.xlsx</t>
  </si>
  <si>
    <t>Executive Compensation</t>
  </si>
  <si>
    <t>Schedule G-3</t>
  </si>
  <si>
    <t>Workpaper Reference No(s).____________________</t>
  </si>
  <si>
    <t>Base Period</t>
  </si>
  <si>
    <t>Unallocated</t>
  </si>
  <si>
    <t>1</t>
  </si>
  <si>
    <t>Includes 7 Officers</t>
  </si>
  <si>
    <t xml:space="preserve">Gross Payroll </t>
  </si>
  <si>
    <t xml:space="preserve">  Salary</t>
  </si>
  <si>
    <t xml:space="preserve">  Other Allowances and Compensation</t>
  </si>
  <si>
    <t xml:space="preserve">  Total Salary and Compensation</t>
  </si>
  <si>
    <t>Wtd Avg</t>
  </si>
  <si>
    <t xml:space="preserve">  Pensions</t>
  </si>
  <si>
    <t xml:space="preserve">  SERP</t>
  </si>
  <si>
    <t xml:space="preserve">  Other Benefits</t>
  </si>
  <si>
    <t xml:space="preserve">  Total Employee Benefits</t>
  </si>
  <si>
    <t xml:space="preserve">  FICA/FUTA/SUTA</t>
  </si>
  <si>
    <t xml:space="preserve">  Total Payroll Taxes</t>
  </si>
  <si>
    <t>Total Compensation</t>
  </si>
  <si>
    <t>NOTE:  This schedule contains confidential information, detail of these numbers are available upon request.</t>
  </si>
  <si>
    <t>Positions included on this schedule are:</t>
  </si>
  <si>
    <t>Executive Chairman</t>
  </si>
  <si>
    <t>SVP, Utility Operations (created in January 2017)</t>
  </si>
  <si>
    <t>SVP, General Counsel &amp; Corporate Secretary (vacant from Mar17-Jul17, filled in Aug-17)</t>
  </si>
  <si>
    <t>President and CEO</t>
  </si>
  <si>
    <t xml:space="preserve">SVP, CFO </t>
  </si>
  <si>
    <t>SVP, Human Resources (created in January 2017)</t>
  </si>
  <si>
    <t>These costs are total costs for Atmos Energy Corporation, a portion of which are allocated to Kentucky.</t>
  </si>
  <si>
    <t>Sources:</t>
  </si>
  <si>
    <t>KY Co 50 G.3 - Exec Comp Apr20-Mar21 - mailout 052521_CONFIDENTIAL.xlsx</t>
  </si>
  <si>
    <t>Base Period estimated using 12 months actual, month ending March 31, 2021</t>
  </si>
  <si>
    <t>Atmos Energy Corporation, Kentucky/Mid-States Division</t>
  </si>
  <si>
    <t>Kentucky Jurisdiction Case No. 2021-00214</t>
  </si>
  <si>
    <t>Base Period: Twelve Months Ended September 30, 2021</t>
  </si>
  <si>
    <t>Forecasted Test Period: Twelve Months Ended December 31, 2022</t>
  </si>
  <si>
    <t>Witness: Christian</t>
  </si>
  <si>
    <t>FY19</t>
  </si>
  <si>
    <t>FY20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</si>
</sst>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%"/>
    <numFmt numFmtId="166" formatCode="_(&quot;$&quot;* #,##0_);_(&quot;$&quot;* \(#,##0\);_(&quot;$&quot;* &quot;-&quot;??_);_(@_)"/>
    <numFmt numFmtId="167" formatCode="mm/dd/yy_)"/>
    <numFmt numFmtId="168" formatCode="hh:mm:ss_)"/>
    <numFmt numFmtId="169" formatCode="0_);\(0\)"/>
    <numFmt numFmtId="170" formatCode="0.000%"/>
    <numFmt numFmtId="171" formatCode="_(* #,##0_);_(* \(#,##0\);_(* &quot;-&quot;??_);_(@_)"/>
  </numFmts>
  <fonts count="15">
    <font>
      <sz val="12"/>
      <name val="Helvetica-Narrow"/>
      <family val="2"/>
    </font>
    <font>
      <sz val="12"/>
      <name val="Helvetica-Narrow"/>
      <family val="2"/>
    </font>
    <font>
      <sz val="12"/>
      <name val="Helvetica-Narrow"/>
    </font>
    <font>
      <b/>
      <sz val="12"/>
      <color indexed="14"/>
      <name val="Helvetica-Narrow"/>
    </font>
    <font>
      <u/>
      <sz val="12"/>
      <name val="Helvetica-Narrow"/>
      <family val="2"/>
    </font>
    <font>
      <sz val="12"/>
      <name val="Times New Roman"/>
      <family val="1"/>
    </font>
    <font>
      <sz val="12"/>
      <color rgb="FF0000FF"/>
      <name val="Helvetica-Narrow"/>
      <family val="2"/>
    </font>
    <font>
      <sz val="12"/>
      <color rgb="FFFF0000"/>
      <name val="Helvetica-Narrow"/>
      <family val="2"/>
    </font>
    <font>
      <sz val="12"/>
      <color rgb="FF0000FF"/>
      <name val="Helvetica-Narrow"/>
    </font>
    <font>
      <u val="double"/>
      <sz val="12"/>
      <name val="Helvetica-Narrow"/>
      <family val="2"/>
    </font>
    <font>
      <sz val="12"/>
      <color indexed="20"/>
      <name val="Helvetica-Narrow"/>
    </font>
    <font>
      <b/>
      <sz val="12"/>
      <name val="Helvetica-Narrow"/>
    </font>
    <font>
      <u/>
      <sz val="12"/>
      <name val="Helvetica Narrow"/>
      <family val="2"/>
    </font>
    <font>
      <sz val="12"/>
      <name val="Helvetica Narrow"/>
      <family val="2"/>
    </font>
    <font>
      <i/>
      <sz val="12"/>
      <name val="Helvetica-Narrow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37" fontId="0" fillId="0" borderId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0">
    <xf numFmtId="37" fontId="0" fillId="0" borderId="0" xfId="0"/>
    <xf numFmtId="37" fontId="0" fillId="0" borderId="0" xfId="0" applyAlignment="1" applyProtection="1">
      <alignment horizontal="centerContinuous"/>
    </xf>
    <xf numFmtId="37" fontId="0" fillId="0" borderId="0" xfId="0" applyAlignment="1">
      <alignment horizontal="centerContinuous"/>
    </xf>
    <xf numFmtId="37" fontId="1" fillId="0" borderId="0" xfId="0" applyFont="1"/>
    <xf numFmtId="37" fontId="2" fillId="0" borderId="0" xfId="0" applyFont="1" applyAlignment="1" applyProtection="1">
      <alignment horizontal="centerContinuous"/>
    </xf>
    <xf numFmtId="37" fontId="0" fillId="0" borderId="0" xfId="0" applyAlignment="1" applyProtection="1">
      <alignment horizontal="left"/>
    </xf>
    <xf numFmtId="37" fontId="1" fillId="0" borderId="0" xfId="0" applyFont="1" applyAlignment="1">
      <alignment horizontal="right"/>
    </xf>
    <xf numFmtId="37" fontId="0" fillId="0" borderId="0" xfId="0" applyAlignment="1" applyProtection="1">
      <alignment horizontal="right"/>
    </xf>
    <xf numFmtId="37" fontId="0" fillId="0" borderId="1" xfId="0" applyBorder="1" applyAlignment="1" applyProtection="1">
      <alignment horizontal="left"/>
    </xf>
    <xf numFmtId="37" fontId="0" fillId="0" borderId="1" xfId="0" applyBorder="1"/>
    <xf numFmtId="37" fontId="3" fillId="0" borderId="0" xfId="0" applyFont="1"/>
    <xf numFmtId="37" fontId="0" fillId="0" borderId="2" xfId="0" applyBorder="1"/>
    <xf numFmtId="37" fontId="0" fillId="0" borderId="0" xfId="0" applyAlignment="1" applyProtection="1">
      <alignment horizontal="center"/>
    </xf>
    <xf numFmtId="37" fontId="0" fillId="0" borderId="0" xfId="0" quotePrefix="1" applyAlignment="1">
      <alignment horizontal="center"/>
    </xf>
    <xf numFmtId="37" fontId="0" fillId="0" borderId="1" xfId="0" applyBorder="1" applyAlignment="1" applyProtection="1">
      <alignment horizontal="center"/>
    </xf>
    <xf numFmtId="37" fontId="0" fillId="0" borderId="3" xfId="0" applyBorder="1" applyAlignment="1" applyProtection="1">
      <alignment horizontal="center"/>
    </xf>
    <xf numFmtId="37" fontId="0" fillId="0" borderId="3" xfId="0" applyBorder="1"/>
    <xf numFmtId="37" fontId="4" fillId="0" borderId="0" xfId="0" applyFont="1"/>
    <xf numFmtId="37" fontId="4" fillId="0" borderId="0" xfId="0" applyFont="1" applyAlignment="1" applyProtection="1">
      <alignment horizontal="left"/>
    </xf>
    <xf numFmtId="164" fontId="2" fillId="0" borderId="0" xfId="3" applyNumberFormat="1" applyFont="1" applyFill="1"/>
    <xf numFmtId="165" fontId="2" fillId="0" borderId="0" xfId="3" applyNumberFormat="1" applyFont="1" applyFill="1"/>
    <xf numFmtId="166" fontId="2" fillId="0" borderId="0" xfId="2" applyNumberFormat="1" applyFont="1" applyFill="1" applyBorder="1" applyProtection="1"/>
    <xf numFmtId="10" fontId="0" fillId="0" borderId="0" xfId="0" applyNumberFormat="1" applyAlignment="1" applyProtection="1">
      <alignment horizontal="center"/>
    </xf>
    <xf numFmtId="37" fontId="2" fillId="0" borderId="0" xfId="0" applyFont="1" applyProtection="1"/>
    <xf numFmtId="10" fontId="0" fillId="0" borderId="0" xfId="0" applyNumberFormat="1" applyProtection="1"/>
    <xf numFmtId="37" fontId="6" fillId="0" borderId="0" xfId="0" applyFont="1"/>
    <xf numFmtId="166" fontId="2" fillId="0" borderId="0" xfId="2" applyNumberFormat="1" applyFont="1" applyFill="1" applyProtection="1"/>
    <xf numFmtId="9" fontId="0" fillId="0" borderId="0" xfId="3" applyFont="1"/>
    <xf numFmtId="37" fontId="7" fillId="0" borderId="0" xfId="0" applyFont="1"/>
    <xf numFmtId="9" fontId="0" fillId="0" borderId="0" xfId="3" applyFont="1" applyFill="1"/>
    <xf numFmtId="37" fontId="2" fillId="0" borderId="1" xfId="0" applyFont="1" applyBorder="1" applyProtection="1"/>
    <xf numFmtId="37" fontId="8" fillId="0" borderId="1" xfId="0" applyFont="1" applyBorder="1" applyProtection="1"/>
    <xf numFmtId="10" fontId="0" fillId="0" borderId="0" xfId="0" applyNumberFormat="1" applyAlignment="1" applyProtection="1">
      <alignment horizontal="left"/>
    </xf>
    <xf numFmtId="166" fontId="2" fillId="0" borderId="4" xfId="2" applyNumberFormat="1" applyFont="1" applyFill="1" applyBorder="1" applyProtection="1"/>
    <xf numFmtId="166" fontId="2" fillId="0" borderId="5" xfId="2" applyNumberFormat="1" applyFont="1" applyFill="1" applyBorder="1"/>
    <xf numFmtId="37" fontId="0" fillId="0" borderId="0" xfId="0" applyProtection="1"/>
    <xf numFmtId="37" fontId="0" fillId="0" borderId="0" xfId="0" quotePrefix="1"/>
    <xf numFmtId="37" fontId="0" fillId="0" borderId="0" xfId="0" applyAlignment="1" applyProtection="1">
      <alignment horizontal="centerContinuous"/>
      <protection locked="0"/>
    </xf>
    <xf numFmtId="167" fontId="0" fillId="0" borderId="0" xfId="0" applyNumberFormat="1" applyAlignment="1" applyProtection="1">
      <alignment horizontal="centerContinuous"/>
    </xf>
    <xf numFmtId="168" fontId="0" fillId="0" borderId="0" xfId="0" applyNumberFormat="1" applyAlignment="1" applyProtection="1">
      <alignment horizontal="centerContinuous"/>
    </xf>
    <xf numFmtId="37" fontId="0" fillId="0" borderId="0" xfId="0" applyAlignment="1">
      <alignment horizontal="right"/>
    </xf>
    <xf numFmtId="37" fontId="0" fillId="0" borderId="0" xfId="0" applyAlignment="1" applyProtection="1">
      <alignment horizontal="left"/>
      <protection locked="0"/>
    </xf>
    <xf numFmtId="37" fontId="0" fillId="0" borderId="3" xfId="0" applyBorder="1" applyAlignment="1" applyProtection="1">
      <alignment horizontal="right"/>
    </xf>
    <xf numFmtId="37" fontId="4" fillId="0" borderId="0" xfId="0" applyFont="1" applyAlignment="1" applyProtection="1">
      <alignment horizontal="center"/>
      <protection locked="0"/>
    </xf>
    <xf numFmtId="37" fontId="0" fillId="0" borderId="0" xfId="0" applyProtection="1">
      <protection locked="0"/>
    </xf>
    <xf numFmtId="37" fontId="0" fillId="0" borderId="1" xfId="0" applyBorder="1" applyAlignment="1" applyProtection="1">
      <alignment horizontal="left"/>
      <protection locked="0"/>
    </xf>
    <xf numFmtId="169" fontId="0" fillId="0" borderId="1" xfId="0" applyNumberFormat="1" applyBorder="1" applyAlignment="1" applyProtection="1">
      <alignment horizontal="center"/>
      <protection locked="0"/>
    </xf>
    <xf numFmtId="37" fontId="0" fillId="0" borderId="0" xfId="0" applyAlignment="1">
      <alignment horizontal="center"/>
    </xf>
    <xf numFmtId="37" fontId="4" fillId="0" borderId="0" xfId="0" applyFont="1" applyAlignment="1" applyProtection="1">
      <alignment horizontal="left"/>
      <protection locked="0"/>
    </xf>
    <xf numFmtId="37" fontId="0" fillId="0" borderId="1" xfId="0" applyBorder="1" applyProtection="1">
      <protection locked="0"/>
    </xf>
    <xf numFmtId="37" fontId="9" fillId="0" borderId="0" xfId="0" applyFont="1" applyProtection="1"/>
    <xf numFmtId="170" fontId="9" fillId="0" borderId="0" xfId="0" applyNumberFormat="1" applyFont="1" applyProtection="1"/>
    <xf numFmtId="10" fontId="1" fillId="0" borderId="0" xfId="3" applyNumberFormat="1" applyFont="1"/>
    <xf numFmtId="10" fontId="0" fillId="0" borderId="0" xfId="3" applyNumberFormat="1" applyFont="1" applyFill="1"/>
    <xf numFmtId="10" fontId="9" fillId="0" borderId="0" xfId="3" applyNumberFormat="1" applyFont="1" applyFill="1" applyProtection="1"/>
    <xf numFmtId="170" fontId="0" fillId="0" borderId="0" xfId="0" applyNumberFormat="1" applyProtection="1"/>
    <xf numFmtId="37" fontId="10" fillId="0" borderId="0" xfId="0" applyFont="1" applyAlignment="1" applyProtection="1">
      <alignment horizontal="centerContinuous"/>
    </xf>
    <xf numFmtId="166" fontId="1" fillId="0" borderId="0" xfId="2" applyNumberFormat="1" applyFont="1" applyFill="1" applyProtection="1"/>
    <xf numFmtId="10" fontId="0" fillId="0" borderId="0" xfId="3" applyNumberFormat="1" applyFont="1"/>
    <xf numFmtId="37" fontId="0" fillId="0" borderId="1" xfId="0" applyBorder="1" applyProtection="1"/>
    <xf numFmtId="10" fontId="6" fillId="0" borderId="0" xfId="3" applyNumberFormat="1" applyFont="1"/>
    <xf numFmtId="166" fontId="1" fillId="0" borderId="2" xfId="2" applyNumberFormat="1" applyFont="1" applyFill="1" applyBorder="1" applyProtection="1"/>
    <xf numFmtId="171" fontId="1" fillId="0" borderId="0" xfId="1" applyNumberFormat="1" applyFont="1" applyFill="1" applyProtection="1"/>
    <xf numFmtId="166" fontId="1" fillId="0" borderId="5" xfId="2" applyNumberFormat="1" applyFont="1" applyFill="1" applyBorder="1" applyProtection="1"/>
    <xf numFmtId="37" fontId="11" fillId="0" borderId="0" xfId="0" applyFont="1"/>
    <xf numFmtId="37" fontId="12" fillId="0" borderId="0" xfId="0" applyFont="1"/>
    <xf numFmtId="37" fontId="13" fillId="0" borderId="0" xfId="0" applyFont="1"/>
    <xf numFmtId="37" fontId="1" fillId="0" borderId="0" xfId="0" quotePrefix="1" applyFont="1"/>
    <xf numFmtId="37" fontId="14" fillId="0" borderId="0" xfId="0" applyFont="1"/>
    <xf numFmtId="37" fontId="2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55F83-76A4-4998-8353-ABCF6DFEE8F7}">
  <sheetPr>
    <pageSetUpPr fitToPage="1"/>
  </sheetPr>
  <dimension ref="A1:U68"/>
  <sheetViews>
    <sheetView tabSelected="1" view="pageBreakPreview" zoomScale="80" zoomScaleNormal="100" zoomScaleSheetLayoutView="80" workbookViewId="0">
      <selection activeCell="T45" sqref="T45"/>
    </sheetView>
  </sheetViews>
  <sheetFormatPr defaultColWidth="8.44140625" defaultRowHeight="15"/>
  <cols>
    <col min="1" max="1" width="7.5546875" style="3" customWidth="1"/>
    <col min="2" max="2" width="33.77734375" style="3" customWidth="1"/>
    <col min="3" max="3" width="7.33203125" style="3" customWidth="1"/>
    <col min="4" max="4" width="14.44140625" style="3" customWidth="1"/>
    <col min="5" max="5" width="2.109375" style="3" customWidth="1"/>
    <col min="6" max="6" width="12.44140625" style="3" customWidth="1"/>
    <col min="7" max="7" width="2" style="3" customWidth="1"/>
    <col min="8" max="8" width="13.5546875" style="3" customWidth="1"/>
    <col min="9" max="9" width="2.6640625" style="3" customWidth="1"/>
    <col min="10" max="10" width="10.88671875" style="3" customWidth="1"/>
    <col min="11" max="11" width="3.33203125" style="3" customWidth="1"/>
    <col min="12" max="12" width="17.109375" style="3" bestFit="1" customWidth="1"/>
    <col min="13" max="13" width="18.6640625" style="3" customWidth="1"/>
    <col min="14" max="16" width="8.44140625" style="3"/>
    <col min="17" max="17" width="9.44140625" style="3" bestFit="1" customWidth="1"/>
    <col min="18" max="18" width="8.44140625" style="3"/>
    <col min="19" max="19" width="9.44140625" style="3" bestFit="1" customWidth="1"/>
    <col min="20" max="16384" width="8.44140625" style="3"/>
  </cols>
  <sheetData>
    <row r="1" spans="1:13">
      <c r="A1" s="1" t="s">
        <v>113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s="1" t="s">
        <v>114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>
      <c r="A4" s="4" t="s">
        <v>115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>
      <c r="A5" s="4" t="s">
        <v>116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>
      <c r="A6"/>
      <c r="B6"/>
      <c r="C6"/>
      <c r="D6"/>
      <c r="E6"/>
      <c r="F6"/>
      <c r="G6"/>
      <c r="H6"/>
      <c r="I6"/>
      <c r="J6"/>
      <c r="K6"/>
      <c r="L6"/>
    </row>
    <row r="7" spans="1:13">
      <c r="A7" s="5" t="s">
        <v>1</v>
      </c>
      <c r="B7"/>
      <c r="C7"/>
      <c r="D7"/>
      <c r="E7"/>
      <c r="F7"/>
      <c r="G7"/>
      <c r="H7"/>
      <c r="I7"/>
      <c r="J7"/>
      <c r="K7"/>
      <c r="L7" s="6" t="s">
        <v>2</v>
      </c>
    </row>
    <row r="8" spans="1:13">
      <c r="A8" s="5" t="s">
        <v>3</v>
      </c>
      <c r="B8"/>
      <c r="C8"/>
      <c r="D8"/>
      <c r="E8"/>
      <c r="F8"/>
      <c r="G8"/>
      <c r="H8"/>
      <c r="I8"/>
      <c r="J8"/>
      <c r="K8"/>
      <c r="L8" s="7" t="s">
        <v>4</v>
      </c>
    </row>
    <row r="9" spans="1:13">
      <c r="A9" s="8" t="s">
        <v>5</v>
      </c>
      <c r="B9" s="9"/>
      <c r="C9" s="9"/>
      <c r="D9" s="9"/>
      <c r="E9" s="9"/>
      <c r="F9" s="9"/>
      <c r="G9" s="9"/>
      <c r="H9" s="9"/>
      <c r="I9" s="9"/>
      <c r="J9" s="9"/>
      <c r="K9" s="9"/>
      <c r="L9" s="7" t="s">
        <v>117</v>
      </c>
    </row>
    <row r="10" spans="1:13" ht="15.75">
      <c r="A10" s="10"/>
      <c r="B10"/>
      <c r="C10"/>
      <c r="D10"/>
      <c r="E10"/>
      <c r="F10"/>
      <c r="G10"/>
      <c r="H10"/>
      <c r="I10"/>
      <c r="J10"/>
      <c r="K10"/>
      <c r="L10" s="11"/>
    </row>
    <row r="11" spans="1:13">
      <c r="A11"/>
      <c r="B11"/>
      <c r="C11"/>
      <c r="D11"/>
      <c r="E11"/>
      <c r="F11"/>
      <c r="G11"/>
      <c r="H11" s="12"/>
      <c r="I11"/>
      <c r="J11"/>
      <c r="K11"/>
      <c r="L11"/>
    </row>
    <row r="12" spans="1:13">
      <c r="A12"/>
      <c r="B12"/>
      <c r="C12"/>
      <c r="D12" s="12" t="s">
        <v>6</v>
      </c>
      <c r="E12"/>
      <c r="F12"/>
      <c r="G12"/>
      <c r="H12" s="12" t="s">
        <v>7</v>
      </c>
      <c r="I12"/>
      <c r="J12"/>
      <c r="K12"/>
      <c r="L12" s="12" t="s">
        <v>8</v>
      </c>
    </row>
    <row r="13" spans="1:13">
      <c r="A13" s="12" t="s">
        <v>9</v>
      </c>
      <c r="B13"/>
      <c r="C13" s="13" t="s">
        <v>10</v>
      </c>
      <c r="D13" s="12" t="s">
        <v>11</v>
      </c>
      <c r="E13"/>
      <c r="F13"/>
      <c r="G13"/>
      <c r="H13" s="12" t="s">
        <v>12</v>
      </c>
      <c r="I13"/>
      <c r="J13"/>
      <c r="K13"/>
      <c r="L13" s="12" t="s">
        <v>13</v>
      </c>
    </row>
    <row r="14" spans="1:13">
      <c r="A14" s="14" t="s">
        <v>14</v>
      </c>
      <c r="B14" s="14" t="s">
        <v>15</v>
      </c>
      <c r="C14" s="15" t="s">
        <v>16</v>
      </c>
      <c r="D14" s="15" t="s">
        <v>17</v>
      </c>
      <c r="E14" s="16"/>
      <c r="F14" s="15" t="s">
        <v>12</v>
      </c>
      <c r="G14" s="16"/>
      <c r="H14" s="15" t="s">
        <v>17</v>
      </c>
      <c r="I14" s="16"/>
      <c r="J14" s="15" t="s">
        <v>18</v>
      </c>
      <c r="K14" s="16"/>
      <c r="L14" s="15" t="s">
        <v>19</v>
      </c>
      <c r="M14" s="17"/>
    </row>
    <row r="15" spans="1:13">
      <c r="A15"/>
      <c r="B15"/>
      <c r="C15"/>
      <c r="D15" s="12"/>
      <c r="E15"/>
      <c r="F15" s="12"/>
      <c r="G15"/>
      <c r="H15" s="12"/>
      <c r="I15" s="5"/>
      <c r="J15" s="12"/>
      <c r="K15" s="5"/>
      <c r="L15" s="12"/>
    </row>
    <row r="16" spans="1:13">
      <c r="A16" s="12">
        <v>1</v>
      </c>
      <c r="B16" s="18" t="s">
        <v>20</v>
      </c>
      <c r="C16" s="18"/>
      <c r="D16" s="19"/>
      <c r="E16"/>
      <c r="F16"/>
      <c r="G16"/>
      <c r="H16"/>
      <c r="I16"/>
      <c r="J16"/>
      <c r="K16"/>
      <c r="L16" s="20"/>
    </row>
    <row r="17" spans="1:21">
      <c r="A17" s="12">
        <v>2</v>
      </c>
      <c r="B17" s="5" t="s">
        <v>21</v>
      </c>
      <c r="C17" s="5"/>
      <c r="D17" s="21">
        <f>G.2!M26</f>
        <v>12426375.939231087</v>
      </c>
      <c r="E17"/>
      <c r="F17" s="22" t="s">
        <v>22</v>
      </c>
      <c r="G17"/>
      <c r="H17" s="21">
        <f>+D17</f>
        <v>12426375.939231087</v>
      </c>
      <c r="I17"/>
      <c r="J17" s="21">
        <f>L17-H17</f>
        <v>456383.47283243388</v>
      </c>
      <c r="K17"/>
      <c r="L17" s="21">
        <f>G.2!O26</f>
        <v>12882759.41206352</v>
      </c>
    </row>
    <row r="18" spans="1:21">
      <c r="A18" s="12">
        <v>3</v>
      </c>
      <c r="B18"/>
      <c r="C18"/>
      <c r="D18" s="23"/>
      <c r="E18"/>
      <c r="F18" s="24"/>
      <c r="G18"/>
      <c r="H18" s="23"/>
      <c r="I18"/>
      <c r="J18" s="23"/>
      <c r="K18"/>
      <c r="L18" s="23"/>
      <c r="N18" s="25"/>
    </row>
    <row r="19" spans="1:21">
      <c r="A19" s="12">
        <v>4</v>
      </c>
      <c r="B19" s="18" t="s">
        <v>23</v>
      </c>
      <c r="C19" s="25"/>
      <c r="D19" s="23"/>
      <c r="E19"/>
      <c r="F19" s="24"/>
      <c r="G19"/>
      <c r="H19" s="23"/>
      <c r="I19"/>
      <c r="J19" s="23"/>
      <c r="K19"/>
      <c r="L19" s="23"/>
    </row>
    <row r="20" spans="1:21">
      <c r="A20" s="12">
        <v>5</v>
      </c>
      <c r="B20" s="5" t="s">
        <v>24</v>
      </c>
      <c r="C20" s="22">
        <v>4.061837760753291E-2</v>
      </c>
      <c r="D20" s="26">
        <f>D$17*C20</f>
        <v>504739.2301928497</v>
      </c>
      <c r="E20" s="27"/>
      <c r="F20" s="22" t="s">
        <v>22</v>
      </c>
      <c r="G20"/>
      <c r="H20" s="26">
        <f t="shared" ref="H20:H25" si="0">D20</f>
        <v>504739.2301928497</v>
      </c>
      <c r="I20"/>
      <c r="J20" s="26">
        <f t="shared" ref="J20:J25" si="1">L20-H20</f>
        <v>18537.556233345007</v>
      </c>
      <c r="K20"/>
      <c r="L20" s="26">
        <f>L$17*C20</f>
        <v>523276.78642619471</v>
      </c>
      <c r="N20" s="28"/>
    </row>
    <row r="21" spans="1:21">
      <c r="A21" s="12">
        <v>6</v>
      </c>
      <c r="B21" s="5" t="s">
        <v>25</v>
      </c>
      <c r="C21" s="22">
        <v>4.7406576139259082E-2</v>
      </c>
      <c r="D21" s="23">
        <f>D$17*C21</f>
        <v>589091.93709821557</v>
      </c>
      <c r="E21" s="27"/>
      <c r="F21" s="22" t="s">
        <v>22</v>
      </c>
      <c r="G21"/>
      <c r="H21" s="23">
        <f t="shared" si="0"/>
        <v>589091.93709821557</v>
      </c>
      <c r="I21"/>
      <c r="J21" s="23">
        <f t="shared" si="1"/>
        <v>21635.577853530296</v>
      </c>
      <c r="K21"/>
      <c r="L21" s="23">
        <f>L$17*C21</f>
        <v>610727.51495174586</v>
      </c>
      <c r="M21"/>
      <c r="N21"/>
      <c r="O21"/>
      <c r="P21"/>
      <c r="Q21"/>
      <c r="R21"/>
      <c r="S21"/>
      <c r="T21"/>
      <c r="U21"/>
    </row>
    <row r="22" spans="1:21">
      <c r="A22" s="12">
        <v>7</v>
      </c>
      <c r="B22" s="5" t="s">
        <v>26</v>
      </c>
      <c r="C22" s="22">
        <v>0.21293259856651253</v>
      </c>
      <c r="D22" s="23">
        <f>D$17*C22</f>
        <v>2645980.5195048633</v>
      </c>
      <c r="E22" s="29"/>
      <c r="F22" s="22" t="s">
        <v>22</v>
      </c>
      <c r="G22"/>
      <c r="H22" s="23">
        <f t="shared" si="0"/>
        <v>2645980.5195048633</v>
      </c>
      <c r="I22"/>
      <c r="J22" s="23">
        <f t="shared" si="1"/>
        <v>97178.91881301906</v>
      </c>
      <c r="K22"/>
      <c r="L22" s="23">
        <f>L$17*C22</f>
        <v>2743159.4383178824</v>
      </c>
      <c r="M22"/>
      <c r="N22"/>
      <c r="O22"/>
      <c r="P22"/>
      <c r="Q22"/>
      <c r="R22"/>
      <c r="S22"/>
      <c r="T22"/>
      <c r="U22"/>
    </row>
    <row r="23" spans="1:21">
      <c r="A23" s="12">
        <v>8</v>
      </c>
      <c r="B23" s="5" t="s">
        <v>27</v>
      </c>
      <c r="C23" s="22">
        <v>5.3163088956169113E-2</v>
      </c>
      <c r="D23" s="23">
        <f>D$17*C23</f>
        <v>660624.52946014178</v>
      </c>
      <c r="E23" s="27"/>
      <c r="F23" s="22" t="s">
        <v>22</v>
      </c>
      <c r="G23"/>
      <c r="H23" s="23">
        <f t="shared" si="0"/>
        <v>660624.52946014178</v>
      </c>
      <c r="I23"/>
      <c r="J23" s="23">
        <f t="shared" si="1"/>
        <v>24262.75516431604</v>
      </c>
      <c r="K23"/>
      <c r="L23" s="23">
        <f>L$17*C23</f>
        <v>684887.28462445782</v>
      </c>
    </row>
    <row r="24" spans="1:21">
      <c r="A24" s="12">
        <v>9</v>
      </c>
      <c r="B24" s="5"/>
      <c r="C24" s="5"/>
      <c r="D24" s="30"/>
      <c r="E24"/>
      <c r="F24" s="22"/>
      <c r="G24"/>
      <c r="H24" s="31"/>
      <c r="I24"/>
      <c r="J24" s="31"/>
      <c r="K24"/>
      <c r="L24" s="30"/>
      <c r="N24" s="25"/>
    </row>
    <row r="25" spans="1:21">
      <c r="A25" s="12">
        <v>10</v>
      </c>
      <c r="B25" s="5" t="s">
        <v>28</v>
      </c>
      <c r="C25" s="5"/>
      <c r="D25" s="26">
        <f>G.2!M35</f>
        <v>4182203.8229842447</v>
      </c>
      <c r="E25" s="27"/>
      <c r="F25" s="24" t="s">
        <v>29</v>
      </c>
      <c r="G25"/>
      <c r="H25" s="26">
        <f t="shared" si="0"/>
        <v>4182203.8229842447</v>
      </c>
      <c r="I25"/>
      <c r="J25" s="26">
        <f t="shared" si="1"/>
        <v>-257052.0266711209</v>
      </c>
      <c r="K25"/>
      <c r="L25" s="26">
        <f>G.2!O35</f>
        <v>3925151.7963131238</v>
      </c>
    </row>
    <row r="26" spans="1:21">
      <c r="A26" s="12">
        <v>11</v>
      </c>
      <c r="B26"/>
      <c r="C26"/>
      <c r="D26" s="23"/>
      <c r="E26"/>
      <c r="F26" s="32" t="s">
        <v>29</v>
      </c>
      <c r="G26"/>
      <c r="H26" s="23" t="s">
        <v>29</v>
      </c>
      <c r="I26"/>
      <c r="J26" s="23"/>
      <c r="K26"/>
      <c r="L26" s="23"/>
    </row>
    <row r="27" spans="1:21">
      <c r="A27" s="12">
        <v>12</v>
      </c>
      <c r="B27" s="18" t="s">
        <v>30</v>
      </c>
      <c r="C27" s="18"/>
      <c r="D27" s="23"/>
      <c r="E27"/>
      <c r="F27" s="32" t="s">
        <v>29</v>
      </c>
      <c r="G27"/>
      <c r="H27" s="23" t="s">
        <v>29</v>
      </c>
      <c r="I27"/>
      <c r="J27" s="23"/>
      <c r="K27"/>
      <c r="L27" s="23" t="s">
        <v>31</v>
      </c>
    </row>
    <row r="28" spans="1:21">
      <c r="A28" s="12">
        <v>15</v>
      </c>
      <c r="B28" s="5" t="s">
        <v>30</v>
      </c>
      <c r="C28" s="5"/>
      <c r="D28" s="26">
        <v>1022347.7062094533</v>
      </c>
      <c r="E28"/>
      <c r="F28" s="22" t="s">
        <v>22</v>
      </c>
      <c r="G28"/>
      <c r="H28" s="23">
        <f>D28</f>
        <v>1022347.7062094533</v>
      </c>
      <c r="I28"/>
      <c r="J28" s="23">
        <f>L28-H28</f>
        <v>276126.3351021437</v>
      </c>
      <c r="K28"/>
      <c r="L28" s="26">
        <v>1298474.041311597</v>
      </c>
    </row>
    <row r="29" spans="1:21">
      <c r="A29" s="12">
        <v>16</v>
      </c>
      <c r="B29" s="5" t="s">
        <v>32</v>
      </c>
      <c r="C29" s="5"/>
      <c r="D29" s="33">
        <f>SUM(D28:D28)</f>
        <v>1022347.7062094533</v>
      </c>
      <c r="E29"/>
      <c r="F29" s="24"/>
      <c r="G29"/>
      <c r="H29" s="33">
        <f>D29</f>
        <v>1022347.7062094533</v>
      </c>
      <c r="I29"/>
      <c r="J29" s="33">
        <f>L29-H29</f>
        <v>276126.3351021437</v>
      </c>
      <c r="K29"/>
      <c r="L29" s="33">
        <f>SUM(L28:L28)</f>
        <v>1298474.041311597</v>
      </c>
    </row>
    <row r="30" spans="1:21">
      <c r="A30" s="12">
        <v>17</v>
      </c>
      <c r="B30"/>
      <c r="C30"/>
      <c r="D30" s="23"/>
      <c r="E30"/>
      <c r="F30" s="32" t="s">
        <v>29</v>
      </c>
      <c r="G30"/>
      <c r="H30" s="23" t="s">
        <v>29</v>
      </c>
      <c r="I30"/>
      <c r="J30" s="23"/>
      <c r="K30"/>
      <c r="L30" s="23" t="s">
        <v>29</v>
      </c>
    </row>
    <row r="31" spans="1:21" ht="15.75" thickBot="1">
      <c r="A31" s="12">
        <v>18</v>
      </c>
      <c r="B31" s="5" t="s">
        <v>33</v>
      </c>
      <c r="C31" s="5"/>
      <c r="D31" s="34">
        <f>D17+D25+D29</f>
        <v>17630927.468424786</v>
      </c>
      <c r="E31"/>
      <c r="F31" s="24"/>
      <c r="G31"/>
      <c r="H31" s="34">
        <f>D31</f>
        <v>17630927.468424786</v>
      </c>
      <c r="I31"/>
      <c r="J31" s="34">
        <f>J17+J25+J29</f>
        <v>475457.78126345668</v>
      </c>
      <c r="K31"/>
      <c r="L31" s="34">
        <f>H31+J31</f>
        <v>18106385.249688242</v>
      </c>
    </row>
    <row r="32" spans="1:21" ht="15.75" thickTop="1">
      <c r="A32"/>
      <c r="B32"/>
      <c r="C32"/>
      <c r="D32" s="23"/>
      <c r="E32"/>
      <c r="F32" s="35"/>
      <c r="G32"/>
      <c r="H32" s="35"/>
      <c r="I32"/>
      <c r="J32" s="35"/>
      <c r="K32"/>
      <c r="L32" s="23"/>
    </row>
    <row r="33" spans="1:13">
      <c r="A33"/>
      <c r="B33"/>
      <c r="C33"/>
      <c r="D33" s="35"/>
      <c r="E33"/>
      <c r="F33"/>
      <c r="G33"/>
      <c r="H33"/>
      <c r="I33"/>
      <c r="J33" s="35"/>
      <c r="K33"/>
      <c r="L33" s="23"/>
    </row>
    <row r="34" spans="1:13">
      <c r="A34"/>
      <c r="B34"/>
      <c r="C34"/>
      <c r="D34" s="35"/>
      <c r="E34"/>
      <c r="F34"/>
      <c r="G34"/>
      <c r="H34"/>
      <c r="I34"/>
      <c r="J34" s="35"/>
      <c r="K34"/>
      <c r="L34" s="35"/>
    </row>
    <row r="35" spans="1:13">
      <c r="A35"/>
      <c r="B35"/>
      <c r="C35"/>
      <c r="D35" s="35"/>
      <c r="E35"/>
      <c r="F35"/>
      <c r="G35"/>
      <c r="H35"/>
      <c r="I35"/>
      <c r="J35" s="35"/>
      <c r="K35"/>
      <c r="L35" s="35"/>
    </row>
    <row r="36" spans="1:13">
      <c r="A36"/>
      <c r="B36" t="s">
        <v>34</v>
      </c>
      <c r="C36"/>
      <c r="D36"/>
      <c r="E36"/>
      <c r="F36" s="25"/>
      <c r="G36"/>
      <c r="H36"/>
      <c r="I36"/>
      <c r="J36"/>
      <c r="K36"/>
      <c r="L36"/>
    </row>
    <row r="37" spans="1:13">
      <c r="A37" t="s">
        <v>29</v>
      </c>
      <c r="B37" s="36" t="s">
        <v>35</v>
      </c>
      <c r="C37"/>
      <c r="D37"/>
      <c r="E37"/>
      <c r="F37" s="25"/>
      <c r="G37"/>
      <c r="H37"/>
      <c r="I37"/>
      <c r="J37"/>
      <c r="K37"/>
      <c r="L37"/>
    </row>
    <row r="38" spans="1:13">
      <c r="A38"/>
      <c r="B38"/>
      <c r="C38"/>
      <c r="D38"/>
      <c r="E38"/>
      <c r="F38" s="25"/>
      <c r="G38"/>
      <c r="H38"/>
      <c r="I38"/>
      <c r="J38"/>
      <c r="K38"/>
      <c r="L38"/>
    </row>
    <row r="39" spans="1:13">
      <c r="A39"/>
      <c r="B39"/>
      <c r="C39"/>
    </row>
    <row r="40" spans="1:13">
      <c r="A40"/>
      <c r="B40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1:13">
      <c r="A41"/>
      <c r="B41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1:13">
      <c r="A42"/>
      <c r="B42"/>
      <c r="C42"/>
      <c r="D42"/>
      <c r="E42"/>
      <c r="F42"/>
      <c r="G42"/>
      <c r="H42"/>
      <c r="I42"/>
      <c r="J42"/>
      <c r="K42"/>
      <c r="L42"/>
    </row>
    <row r="43" spans="1:13">
      <c r="A43"/>
      <c r="B43"/>
      <c r="C43"/>
      <c r="D43"/>
      <c r="E43"/>
      <c r="F43"/>
      <c r="G43"/>
      <c r="H43"/>
      <c r="I43"/>
      <c r="J43"/>
      <c r="K43"/>
      <c r="L43"/>
    </row>
    <row r="44" spans="1:13">
      <c r="A44"/>
      <c r="B44"/>
      <c r="C44"/>
      <c r="D44"/>
      <c r="E44"/>
      <c r="F44"/>
      <c r="G44"/>
      <c r="H44"/>
      <c r="I44"/>
      <c r="J44"/>
      <c r="K44"/>
      <c r="L44"/>
    </row>
    <row r="45" spans="1:13">
      <c r="A45"/>
      <c r="B45"/>
      <c r="C45"/>
      <c r="D45"/>
      <c r="E45"/>
      <c r="F45"/>
      <c r="G45"/>
      <c r="H45"/>
      <c r="I45"/>
      <c r="J45"/>
      <c r="K45"/>
      <c r="L45"/>
    </row>
    <row r="46" spans="1:13">
      <c r="A46"/>
      <c r="B46"/>
      <c r="C46"/>
      <c r="D46"/>
      <c r="E46"/>
      <c r="F46"/>
      <c r="G46"/>
      <c r="H46"/>
      <c r="I46"/>
      <c r="J46"/>
      <c r="K46"/>
      <c r="L46"/>
    </row>
    <row r="47" spans="1:13">
      <c r="A47"/>
      <c r="B47"/>
      <c r="C47"/>
      <c r="D47"/>
      <c r="E47"/>
      <c r="F47"/>
      <c r="G47"/>
      <c r="H47"/>
      <c r="I47"/>
      <c r="J47"/>
      <c r="K47"/>
      <c r="L47"/>
    </row>
    <row r="48" spans="1:13">
      <c r="A48"/>
      <c r="B48"/>
      <c r="C48"/>
      <c r="D48"/>
      <c r="E48"/>
      <c r="F48"/>
      <c r="G48"/>
      <c r="H48"/>
      <c r="I48"/>
      <c r="J48"/>
      <c r="K48"/>
      <c r="L48"/>
    </row>
    <row r="49" spans="1:12">
      <c r="A49"/>
      <c r="B49"/>
      <c r="C49"/>
      <c r="D49"/>
      <c r="E49"/>
      <c r="F49"/>
      <c r="G49"/>
      <c r="H49"/>
      <c r="I49"/>
      <c r="J49"/>
      <c r="K49"/>
      <c r="L49"/>
    </row>
    <row r="50" spans="1:12">
      <c r="A50"/>
      <c r="B50"/>
      <c r="C50"/>
      <c r="D50"/>
      <c r="E50"/>
      <c r="F50"/>
      <c r="G50"/>
      <c r="H50"/>
      <c r="I50"/>
      <c r="J50"/>
      <c r="K50"/>
      <c r="L50"/>
    </row>
    <row r="51" spans="1:12">
      <c r="A51"/>
      <c r="B51"/>
      <c r="C51"/>
      <c r="D51"/>
      <c r="E51"/>
      <c r="F51"/>
      <c r="G51"/>
      <c r="H51"/>
      <c r="I51"/>
      <c r="J51"/>
      <c r="K51"/>
      <c r="L51"/>
    </row>
    <row r="52" spans="1:12">
      <c r="A52"/>
      <c r="B52"/>
      <c r="C52"/>
      <c r="D52"/>
      <c r="E52"/>
      <c r="F52"/>
      <c r="G52"/>
      <c r="H52"/>
      <c r="I52"/>
      <c r="J52"/>
      <c r="K52"/>
      <c r="L52"/>
    </row>
    <row r="53" spans="1:12">
      <c r="A53"/>
      <c r="B53"/>
      <c r="C53"/>
      <c r="D53"/>
      <c r="E53"/>
      <c r="F53"/>
      <c r="G53"/>
      <c r="H53"/>
      <c r="I53"/>
      <c r="J53"/>
      <c r="K53"/>
      <c r="L53"/>
    </row>
    <row r="54" spans="1:12">
      <c r="A54"/>
      <c r="B54"/>
      <c r="C54"/>
      <c r="D54"/>
      <c r="E54"/>
      <c r="F54"/>
      <c r="G54"/>
      <c r="H54"/>
      <c r="I54"/>
      <c r="J54"/>
      <c r="K54"/>
      <c r="L54"/>
    </row>
    <row r="55" spans="1:12">
      <c r="A55"/>
      <c r="B55"/>
      <c r="C55"/>
      <c r="D55"/>
      <c r="E55"/>
      <c r="F55"/>
      <c r="G55"/>
      <c r="H55"/>
      <c r="I55"/>
      <c r="J55"/>
      <c r="K55"/>
      <c r="L55"/>
    </row>
    <row r="56" spans="1:12">
      <c r="A56"/>
      <c r="B56"/>
      <c r="C56"/>
      <c r="D56"/>
      <c r="E56"/>
      <c r="F56"/>
      <c r="G56"/>
      <c r="H56"/>
      <c r="I56"/>
      <c r="J56"/>
      <c r="K56"/>
      <c r="L56"/>
    </row>
    <row r="57" spans="1:12">
      <c r="A57"/>
      <c r="B57"/>
      <c r="C57"/>
      <c r="D57"/>
      <c r="E57"/>
      <c r="F57"/>
      <c r="G57"/>
      <c r="H57"/>
      <c r="I57"/>
      <c r="J57"/>
      <c r="K57"/>
      <c r="L57"/>
    </row>
    <row r="58" spans="1:12">
      <c r="A58"/>
      <c r="B58"/>
      <c r="C58"/>
      <c r="D58"/>
      <c r="E58"/>
      <c r="F58"/>
      <c r="G58"/>
      <c r="H58"/>
      <c r="I58"/>
      <c r="J58"/>
      <c r="K58"/>
      <c r="L58"/>
    </row>
    <row r="59" spans="1:12">
      <c r="A59"/>
      <c r="B59"/>
      <c r="C59"/>
      <c r="D59"/>
      <c r="E59"/>
      <c r="F59"/>
      <c r="G59"/>
      <c r="H59"/>
      <c r="I59"/>
      <c r="J59"/>
      <c r="K59"/>
      <c r="L59"/>
    </row>
    <row r="60" spans="1:12">
      <c r="A60"/>
      <c r="B60"/>
      <c r="C60"/>
      <c r="D60"/>
      <c r="E60"/>
      <c r="F60"/>
      <c r="G60"/>
      <c r="H60"/>
      <c r="I60"/>
      <c r="J60"/>
      <c r="K60"/>
      <c r="L60"/>
    </row>
    <row r="61" spans="1:12">
      <c r="A61"/>
      <c r="B61"/>
      <c r="C61"/>
      <c r="D61"/>
      <c r="E61"/>
      <c r="F61"/>
      <c r="G61"/>
      <c r="H61"/>
      <c r="I61"/>
      <c r="J61"/>
      <c r="K61"/>
      <c r="L61"/>
    </row>
    <row r="62" spans="1:12">
      <c r="A62"/>
      <c r="B62"/>
      <c r="C62"/>
      <c r="D62"/>
      <c r="E62"/>
      <c r="F62"/>
      <c r="G62"/>
      <c r="H62"/>
      <c r="I62"/>
      <c r="J62"/>
      <c r="K62"/>
      <c r="L62"/>
    </row>
    <row r="63" spans="1:12">
      <c r="A63"/>
      <c r="B63"/>
      <c r="C63"/>
      <c r="D63"/>
      <c r="E63"/>
      <c r="F63"/>
      <c r="G63"/>
      <c r="H63"/>
      <c r="I63"/>
      <c r="J63"/>
      <c r="K63"/>
      <c r="L63"/>
    </row>
    <row r="64" spans="1:12">
      <c r="A64"/>
      <c r="B64"/>
      <c r="C64"/>
      <c r="D64"/>
      <c r="E64"/>
      <c r="F64"/>
      <c r="G64"/>
      <c r="H64"/>
      <c r="I64"/>
      <c r="J64"/>
      <c r="K64"/>
      <c r="L64"/>
    </row>
    <row r="65" spans="1:12">
      <c r="A65"/>
      <c r="B65"/>
      <c r="C65"/>
      <c r="D65"/>
      <c r="E65"/>
      <c r="F65"/>
      <c r="G65"/>
      <c r="H65"/>
      <c r="I65"/>
      <c r="J65"/>
      <c r="K65"/>
      <c r="L65"/>
    </row>
    <row r="66" spans="1:12">
      <c r="A66"/>
      <c r="B66"/>
      <c r="C66"/>
      <c r="D66"/>
      <c r="E66"/>
      <c r="F66"/>
      <c r="G66"/>
      <c r="H66"/>
      <c r="I66"/>
      <c r="J66"/>
      <c r="K66"/>
      <c r="L66"/>
    </row>
    <row r="67" spans="1:12">
      <c r="A67"/>
      <c r="B67"/>
      <c r="C67"/>
      <c r="D67"/>
      <c r="E67"/>
      <c r="F67"/>
      <c r="G67"/>
      <c r="H67"/>
      <c r="I67"/>
      <c r="J67"/>
      <c r="K67"/>
      <c r="L67"/>
    </row>
    <row r="68" spans="1:12">
      <c r="A68"/>
      <c r="B68"/>
      <c r="C68"/>
      <c r="D68"/>
      <c r="E68"/>
      <c r="F68"/>
      <c r="G68"/>
      <c r="H68"/>
      <c r="I68"/>
      <c r="J68"/>
      <c r="K68"/>
      <c r="L68"/>
    </row>
  </sheetData>
  <pageMargins left="0.5" right="0.5" top="0.75" bottom="0.5" header="0.5" footer="0.5"/>
  <pageSetup scale="84" orientation="landscape" verticalDpi="300" r:id="rId1"/>
  <headerFooter alignWithMargins="0">
    <oddHeader>&amp;RCASE NO. 2021-00214
FR_16(8)(g) 
ATTACHMENT 1</oddHeader>
    <oddFooter>&amp;RSchedule 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31284-20D3-4EDD-8718-2930FC09B73F}">
  <sheetPr>
    <pageSetUpPr fitToPage="1"/>
  </sheetPr>
  <dimension ref="A1:U99"/>
  <sheetViews>
    <sheetView view="pageBreakPreview" topLeftCell="A10" zoomScale="80" zoomScaleNormal="100" zoomScaleSheetLayoutView="80" workbookViewId="0">
      <selection activeCell="T45" sqref="T45"/>
    </sheetView>
  </sheetViews>
  <sheetFormatPr defaultColWidth="7.109375" defaultRowHeight="15"/>
  <cols>
    <col min="1" max="1" width="5.109375" customWidth="1"/>
    <col min="2" max="2" width="26.88671875" customWidth="1"/>
    <col min="3" max="15" width="11.33203125" customWidth="1"/>
    <col min="16" max="16" width="2.109375" customWidth="1"/>
    <col min="17" max="17" width="6.5546875" customWidth="1"/>
    <col min="19" max="19" width="7.88671875" customWidth="1"/>
    <col min="20" max="21" width="10.44140625" bestFit="1" customWidth="1"/>
  </cols>
  <sheetData>
    <row r="1" spans="1:16">
      <c r="A1" s="37" t="s">
        <v>113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>
      <c r="A2" s="37" t="s">
        <v>114</v>
      </c>
      <c r="B2" s="38"/>
      <c r="C2" s="2"/>
      <c r="D2" s="2"/>
      <c r="E2" s="2"/>
      <c r="F2" s="2"/>
      <c r="G2" s="2"/>
      <c r="H2" s="2"/>
      <c r="I2" s="2"/>
      <c r="J2" s="2"/>
      <c r="K2" s="37"/>
      <c r="L2" s="2"/>
      <c r="M2" s="2"/>
      <c r="N2" s="2"/>
      <c r="O2" s="2"/>
    </row>
    <row r="3" spans="1:16">
      <c r="A3" s="37" t="s">
        <v>36</v>
      </c>
      <c r="B3" s="3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>
      <c r="A4" s="1" t="s">
        <v>115</v>
      </c>
      <c r="B4" s="3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>
      <c r="A5" s="1" t="s">
        <v>116</v>
      </c>
      <c r="B5" s="37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>
      <c r="A6" s="1"/>
      <c r="B6" s="37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6">
      <c r="A7" s="5" t="s">
        <v>37</v>
      </c>
      <c r="O7" s="40" t="s">
        <v>2</v>
      </c>
    </row>
    <row r="8" spans="1:16">
      <c r="A8" s="5" t="s">
        <v>38</v>
      </c>
      <c r="O8" s="41" t="s">
        <v>39</v>
      </c>
    </row>
    <row r="9" spans="1:16">
      <c r="A9" s="8" t="s">
        <v>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42" t="s">
        <v>117</v>
      </c>
      <c r="P9" s="9"/>
    </row>
    <row r="10" spans="1:16">
      <c r="G10" s="43" t="s">
        <v>40</v>
      </c>
    </row>
    <row r="11" spans="1:16">
      <c r="A11" s="44" t="s">
        <v>9</v>
      </c>
      <c r="M11" s="12" t="s">
        <v>41</v>
      </c>
      <c r="O11" s="12" t="s">
        <v>42</v>
      </c>
    </row>
    <row r="12" spans="1:16">
      <c r="A12" s="45" t="s">
        <v>43</v>
      </c>
      <c r="B12" s="45" t="s">
        <v>15</v>
      </c>
      <c r="C12" s="46">
        <v>2016</v>
      </c>
      <c r="D12" s="14" t="s">
        <v>44</v>
      </c>
      <c r="E12" s="46">
        <f>C12+1</f>
        <v>2017</v>
      </c>
      <c r="F12" s="14" t="s">
        <v>44</v>
      </c>
      <c r="G12" s="46">
        <f>E12+1</f>
        <v>2018</v>
      </c>
      <c r="H12" s="14" t="s">
        <v>44</v>
      </c>
      <c r="I12" s="46">
        <f>G12+1</f>
        <v>2019</v>
      </c>
      <c r="J12" s="14" t="s">
        <v>44</v>
      </c>
      <c r="K12" s="46">
        <f>I12+1</f>
        <v>2020</v>
      </c>
      <c r="L12" s="14" t="s">
        <v>44</v>
      </c>
      <c r="M12" s="14" t="s">
        <v>45</v>
      </c>
      <c r="N12" s="14" t="s">
        <v>44</v>
      </c>
      <c r="O12" s="14" t="s">
        <v>45</v>
      </c>
      <c r="P12" s="9"/>
    </row>
    <row r="14" spans="1:16">
      <c r="A14" s="47">
        <f t="shared" ref="A14:A50" si="0">+A13+1</f>
        <v>1</v>
      </c>
    </row>
    <row r="15" spans="1:16">
      <c r="A15" s="47">
        <f t="shared" si="0"/>
        <v>2</v>
      </c>
      <c r="C15" s="44"/>
      <c r="E15" s="44"/>
      <c r="F15" s="44"/>
      <c r="G15" s="44"/>
      <c r="I15" s="44"/>
      <c r="K15" s="44"/>
      <c r="M15" s="44"/>
      <c r="O15" s="44"/>
    </row>
    <row r="16" spans="1:16">
      <c r="A16" s="47">
        <f t="shared" si="0"/>
        <v>3</v>
      </c>
      <c r="B16" s="48" t="s">
        <v>46</v>
      </c>
      <c r="C16" s="44"/>
      <c r="E16" s="44"/>
      <c r="F16" s="44"/>
      <c r="G16" s="44"/>
      <c r="I16" s="44"/>
      <c r="K16" s="44"/>
      <c r="M16" s="44"/>
      <c r="O16" s="44"/>
    </row>
    <row r="17" spans="1:21">
      <c r="A17" s="47">
        <f t="shared" si="0"/>
        <v>4</v>
      </c>
      <c r="B17" s="41" t="s">
        <v>47</v>
      </c>
      <c r="C17" s="44">
        <v>402264.18</v>
      </c>
      <c r="D17" s="24">
        <f>ROUND((E17-C17)/C17,4)</f>
        <v>-3.32E-2</v>
      </c>
      <c r="E17" s="44">
        <v>388905.54</v>
      </c>
      <c r="F17" s="24">
        <f>ROUND((G17-E17)/E17,4)</f>
        <v>-3.3000000000000002E-2</v>
      </c>
      <c r="G17" s="44">
        <v>376066.79</v>
      </c>
      <c r="H17" s="24">
        <f>ROUND((I17-G17)/G17,4)</f>
        <v>0.14050000000000001</v>
      </c>
      <c r="I17" s="44">
        <v>428909.94</v>
      </c>
      <c r="J17" s="24">
        <f>ROUND((K17-I17)/I17,4)</f>
        <v>-1.01E-2</v>
      </c>
      <c r="K17" s="44">
        <v>424587.96</v>
      </c>
      <c r="L17" s="24">
        <f>ROUND((M17-K17)/K17,4)</f>
        <v>-8.8800000000000004E-2</v>
      </c>
      <c r="M17" s="44">
        <f>M49*52*40</f>
        <v>386880</v>
      </c>
      <c r="N17" s="24">
        <f>ROUND((O17-M17)/M17,4)</f>
        <v>0</v>
      </c>
      <c r="O17" s="44">
        <f>O49*52*40</f>
        <v>386880</v>
      </c>
    </row>
    <row r="18" spans="1:21">
      <c r="A18" s="47">
        <f t="shared" si="0"/>
        <v>5</v>
      </c>
      <c r="B18" s="41" t="s">
        <v>48</v>
      </c>
      <c r="C18" s="49">
        <v>23291.75</v>
      </c>
      <c r="D18" s="24">
        <f>ROUND((E18-C18)/C18,4)</f>
        <v>9.2899999999999996E-2</v>
      </c>
      <c r="E18" s="49">
        <v>25455.02</v>
      </c>
      <c r="F18" s="24">
        <f>ROUND((G18-E18)/E18,4)</f>
        <v>0.2041</v>
      </c>
      <c r="G18" s="49">
        <v>30649.94</v>
      </c>
      <c r="H18" s="24">
        <f>ROUND((I18-G18)/G18,4)</f>
        <v>3.78E-2</v>
      </c>
      <c r="I18" s="49">
        <v>31807.95</v>
      </c>
      <c r="J18" s="24">
        <f>ROUND((K18-I18)/I18,4)</f>
        <v>-0.4108</v>
      </c>
      <c r="K18" s="49">
        <v>18741.259999999998</v>
      </c>
      <c r="L18" s="24">
        <f>ROUND((M18-K18)/K18,4)</f>
        <v>0.22259999999999999</v>
      </c>
      <c r="M18" s="49">
        <f>($I$18+$K$18)/($I$17+$K$17)*M17</f>
        <v>22913.32921240931</v>
      </c>
      <c r="N18" s="24">
        <f>ROUND((O18-M18)/M18,4)</f>
        <v>0</v>
      </c>
      <c r="O18" s="49">
        <f>($I$18+$K$18)/($I$17+$K$17)*O17</f>
        <v>22913.32921240931</v>
      </c>
    </row>
    <row r="19" spans="1:21">
      <c r="A19" s="47">
        <f t="shared" si="0"/>
        <v>6</v>
      </c>
      <c r="B19" s="41" t="s">
        <v>49</v>
      </c>
      <c r="C19" s="50">
        <f>(C17+C18)</f>
        <v>425555.93</v>
      </c>
      <c r="D19" s="24">
        <f>ROUND((E19-C19)/C19,4)</f>
        <v>-2.63E-2</v>
      </c>
      <c r="E19" s="50">
        <f>(E17+E18)</f>
        <v>414360.56</v>
      </c>
      <c r="F19" s="24">
        <f>ROUND((G19-E19)/E19,4)</f>
        <v>-1.84E-2</v>
      </c>
      <c r="G19" s="50">
        <f>(G17+G18)</f>
        <v>406716.73</v>
      </c>
      <c r="H19" s="24">
        <f>ROUND((M19-G19)/G19,4)</f>
        <v>7.6E-3</v>
      </c>
      <c r="I19" s="50">
        <f>(I17+I18)</f>
        <v>460717.89</v>
      </c>
      <c r="J19" s="24">
        <f>ROUND((O19-I19)/I19,4)</f>
        <v>-0.1105</v>
      </c>
      <c r="K19" s="50">
        <f>(K17+K18)</f>
        <v>443329.22000000003</v>
      </c>
      <c r="L19" s="24">
        <f>ROUND((M19-K19)/K19,4)</f>
        <v>-7.5600000000000001E-2</v>
      </c>
      <c r="M19" s="50">
        <f>(M17+M18)</f>
        <v>409793.32921240933</v>
      </c>
      <c r="N19" s="24">
        <f>ROUND((O19-M19)/M19,4)</f>
        <v>0</v>
      </c>
      <c r="O19" s="50">
        <f>(O17+O18)</f>
        <v>409793.32921240933</v>
      </c>
    </row>
    <row r="20" spans="1:21">
      <c r="A20" s="47">
        <f t="shared" si="0"/>
        <v>7</v>
      </c>
      <c r="B20" s="41" t="s">
        <v>50</v>
      </c>
    </row>
    <row r="21" spans="1:21">
      <c r="A21" s="47">
        <f t="shared" si="0"/>
        <v>8</v>
      </c>
      <c r="B21" s="41" t="s">
        <v>51</v>
      </c>
      <c r="C21" s="51">
        <f>ROUND((C18/C17),5)</f>
        <v>5.79E-2</v>
      </c>
      <c r="E21" s="51">
        <f>ROUND((E18/E17),5)</f>
        <v>6.5449999999999994E-2</v>
      </c>
      <c r="G21" s="51">
        <f>ROUND((G18/G17),5)</f>
        <v>8.1500000000000003E-2</v>
      </c>
      <c r="I21" s="51">
        <f>ROUND((I18/I17),5)</f>
        <v>7.4160000000000004E-2</v>
      </c>
      <c r="K21" s="51">
        <f>ROUND((K18/K17),5)</f>
        <v>4.4139999999999999E-2</v>
      </c>
      <c r="M21" s="51">
        <f>ROUND((M18/M17),5)</f>
        <v>5.9229999999999998E-2</v>
      </c>
      <c r="O21" s="51">
        <f>ROUND((O18/O17),5)</f>
        <v>5.9229999999999998E-2</v>
      </c>
    </row>
    <row r="22" spans="1:21">
      <c r="A22" s="47">
        <f t="shared" si="0"/>
        <v>9</v>
      </c>
      <c r="C22" s="44"/>
      <c r="E22" s="44"/>
      <c r="G22" s="44"/>
      <c r="I22" s="44"/>
      <c r="K22" s="44"/>
      <c r="M22" s="44"/>
      <c r="O22" s="44"/>
    </row>
    <row r="23" spans="1:21">
      <c r="A23" s="47">
        <f t="shared" si="0"/>
        <v>10</v>
      </c>
      <c r="B23" s="48" t="s">
        <v>52</v>
      </c>
      <c r="C23" s="44"/>
      <c r="E23" s="44"/>
      <c r="G23" s="44"/>
      <c r="I23" s="44"/>
      <c r="K23" s="44"/>
      <c r="M23" s="44"/>
      <c r="O23" s="44"/>
    </row>
    <row r="24" spans="1:21">
      <c r="A24" s="47">
        <f t="shared" si="0"/>
        <v>11</v>
      </c>
      <c r="B24" s="41" t="s">
        <v>53</v>
      </c>
      <c r="C24" s="44">
        <v>11387043.539999999</v>
      </c>
      <c r="D24" s="24">
        <f>ROUND((E24-C24)/C24,4)</f>
        <v>-3.2000000000000002E-3</v>
      </c>
      <c r="E24" s="44">
        <v>11350420.66</v>
      </c>
      <c r="F24" s="24">
        <f>ROUND((G24-E24)/E24,4)</f>
        <v>4.0000000000000002E-4</v>
      </c>
      <c r="G24" s="44">
        <v>11354438.220000001</v>
      </c>
      <c r="H24" s="24">
        <f>ROUND((I24-G24)/G24,4)</f>
        <v>4.2000000000000003E-2</v>
      </c>
      <c r="I24" s="44">
        <v>11830931.17</v>
      </c>
      <c r="J24" s="24">
        <f>ROUND((K24-I24)/I24,4)</f>
        <v>2.2700000000000001E-2</v>
      </c>
      <c r="K24" s="44">
        <v>12100004.4</v>
      </c>
      <c r="L24" s="24">
        <f>ROUND((M24-K24)/K24,4)</f>
        <v>-6.5000000000000002E-2</v>
      </c>
      <c r="M24" s="11">
        <f>M26-M25</f>
        <v>11312972.655075982</v>
      </c>
      <c r="N24" s="24">
        <f>ROUND((O24-M24)/M24,4)</f>
        <v>4.4299999999999999E-2</v>
      </c>
      <c r="O24" s="11">
        <f>O26-O25</f>
        <v>11813876.863644611</v>
      </c>
      <c r="R24" s="25" t="s">
        <v>54</v>
      </c>
      <c r="S24" s="3"/>
      <c r="T24" s="3"/>
      <c r="U24" s="3"/>
    </row>
    <row r="25" spans="1:21">
      <c r="A25" s="47">
        <f t="shared" si="0"/>
        <v>12</v>
      </c>
      <c r="B25" s="41" t="s">
        <v>55</v>
      </c>
      <c r="C25" s="49">
        <v>913258.46</v>
      </c>
      <c r="D25" s="24">
        <f>ROUND((E25-C25)/C25,4)</f>
        <v>0.12280000000000001</v>
      </c>
      <c r="E25" s="49">
        <v>1025395.66</v>
      </c>
      <c r="F25" s="24">
        <f>ROUND((G25-E25)/E25,4)</f>
        <v>0.21560000000000001</v>
      </c>
      <c r="G25" s="49">
        <v>1246475.79</v>
      </c>
      <c r="H25" s="24">
        <f>ROUND((I25-G25)/G25,4)</f>
        <v>0.06</v>
      </c>
      <c r="I25" s="49">
        <v>1321264.92</v>
      </c>
      <c r="J25" s="24">
        <f>ROUND((K25-I25)/I25,4)</f>
        <v>-0.38169999999999998</v>
      </c>
      <c r="K25" s="49">
        <v>816954.48</v>
      </c>
      <c r="L25" s="24">
        <f>ROUND((M25-K25)/K25,4)</f>
        <v>0.3629</v>
      </c>
      <c r="M25" s="16">
        <f>AVERAGE(I28,K28)*M26</f>
        <v>1113403.2841551052</v>
      </c>
      <c r="N25" s="24">
        <f>ROUND((O25-M25)/M25,4)</f>
        <v>-0.04</v>
      </c>
      <c r="O25" s="16">
        <f>AVERAGE(K28,M28)*O26</f>
        <v>1068882.5484189102</v>
      </c>
      <c r="R25" s="25" t="s">
        <v>56</v>
      </c>
      <c r="S25" s="25" t="s">
        <v>57</v>
      </c>
      <c r="T25" s="25" t="s">
        <v>56</v>
      </c>
      <c r="U25" s="25" t="s">
        <v>57</v>
      </c>
    </row>
    <row r="26" spans="1:21">
      <c r="A26" s="47">
        <f t="shared" si="0"/>
        <v>13</v>
      </c>
      <c r="B26" s="41" t="s">
        <v>58</v>
      </c>
      <c r="C26" s="50">
        <f>(C24+C25)</f>
        <v>12300302</v>
      </c>
      <c r="D26" s="24">
        <f>ROUND((E26-C26)/C26,4)</f>
        <v>6.1000000000000004E-3</v>
      </c>
      <c r="E26" s="50">
        <f>(E24+E25)</f>
        <v>12375816.32</v>
      </c>
      <c r="F26" s="24">
        <f>ROUND((G26-E26)/E26,4)</f>
        <v>1.8200000000000001E-2</v>
      </c>
      <c r="G26" s="50">
        <f>(G24+G25)</f>
        <v>12600914.010000002</v>
      </c>
      <c r="H26" s="24">
        <f>ROUND((I26-G26)/G26,4)</f>
        <v>4.3700000000000003E-2</v>
      </c>
      <c r="I26" s="50">
        <f>(I24+I25)</f>
        <v>13152196.09</v>
      </c>
      <c r="J26" s="24">
        <f>ROUND((K26-I26)/I26,4)</f>
        <v>-1.7899999999999999E-2</v>
      </c>
      <c r="K26" s="50">
        <f>(K24+K25)</f>
        <v>12916958.880000001</v>
      </c>
      <c r="L26" s="24">
        <f>ROUND((M26-K26)/K26,4)</f>
        <v>-3.7999999999999999E-2</v>
      </c>
      <c r="M26" s="11">
        <v>12426375.939231087</v>
      </c>
      <c r="N26" s="24">
        <f>ROUND((O26-M26)/M26,4)</f>
        <v>3.6700000000000003E-2</v>
      </c>
      <c r="O26" s="11">
        <v>12882759.41206352</v>
      </c>
      <c r="R26" s="52">
        <v>0.43159910630644116</v>
      </c>
      <c r="S26" s="52">
        <v>0.43184052882726998</v>
      </c>
      <c r="T26">
        <f>M30/R26</f>
        <v>12426375.939231087</v>
      </c>
      <c r="U26">
        <f>O30/S26</f>
        <v>12882759.41206352</v>
      </c>
    </row>
    <row r="27" spans="1:21">
      <c r="A27" s="47">
        <f t="shared" si="0"/>
        <v>14</v>
      </c>
      <c r="B27" s="41" t="s">
        <v>59</v>
      </c>
      <c r="R27" s="25"/>
      <c r="S27" s="3"/>
      <c r="T27">
        <f>M26-T26</f>
        <v>0</v>
      </c>
      <c r="U27">
        <f>O26-U26</f>
        <v>0</v>
      </c>
    </row>
    <row r="28" spans="1:21">
      <c r="A28" s="47">
        <f t="shared" si="0"/>
        <v>15</v>
      </c>
      <c r="B28" s="41" t="s">
        <v>60</v>
      </c>
      <c r="C28" s="51">
        <f>ROUND((C25/C24),5)</f>
        <v>8.0199999999999994E-2</v>
      </c>
      <c r="E28" s="51">
        <f>ROUND((E25/E24),5)</f>
        <v>9.0340000000000004E-2</v>
      </c>
      <c r="G28" s="51">
        <f>ROUND((G25/G24),5)</f>
        <v>0.10978</v>
      </c>
      <c r="I28" s="51">
        <f>ROUND((I25/I24),5)</f>
        <v>0.11168</v>
      </c>
      <c r="K28" s="51">
        <f>ROUND((K25/K24),5)</f>
        <v>6.7519999999999997E-2</v>
      </c>
      <c r="M28" s="51">
        <f>ROUND((M25/M24),5)</f>
        <v>9.8419999999999994E-2</v>
      </c>
      <c r="O28" s="51">
        <f>ROUND((O25/O24),5)</f>
        <v>9.0480000000000005E-2</v>
      </c>
    </row>
    <row r="29" spans="1:21">
      <c r="A29" s="47">
        <f t="shared" si="0"/>
        <v>16</v>
      </c>
      <c r="C29" s="44"/>
      <c r="E29" s="44"/>
      <c r="G29" s="44"/>
      <c r="I29" s="44"/>
      <c r="K29" s="44"/>
      <c r="M29" s="44"/>
      <c r="O29" s="44"/>
    </row>
    <row r="30" spans="1:21">
      <c r="A30" s="47">
        <f t="shared" si="0"/>
        <v>17</v>
      </c>
      <c r="B30" s="41" t="s">
        <v>61</v>
      </c>
      <c r="C30" s="44">
        <v>5063947.18</v>
      </c>
      <c r="D30" s="24">
        <f>ROUND((E30-C30)/C30,4)</f>
        <v>4.2700000000000002E-2</v>
      </c>
      <c r="E30" s="44">
        <v>5280413.74</v>
      </c>
      <c r="F30" s="24">
        <f>ROUND((G30-E30)/E30,4)</f>
        <v>6.4500000000000002E-2</v>
      </c>
      <c r="G30" s="44">
        <v>5621116.71</v>
      </c>
      <c r="H30" s="24">
        <f>ROUND((M30-G30)/G30,4)</f>
        <v>-4.5900000000000003E-2</v>
      </c>
      <c r="I30" s="44">
        <v>5432594.3200000003</v>
      </c>
      <c r="J30" s="24">
        <f>ROUND((O30-I30)/I30,4)</f>
        <v>2.41E-2</v>
      </c>
      <c r="K30" s="44">
        <v>5104736.3600000003</v>
      </c>
      <c r="L30" s="24">
        <f>ROUND((M30-K30)/K30,4)</f>
        <v>5.0599999999999999E-2</v>
      </c>
      <c r="M30" s="44">
        <v>5363212.75</v>
      </c>
      <c r="N30" s="24">
        <f>ROUND((O30-M30)/M30,4)</f>
        <v>3.73E-2</v>
      </c>
      <c r="O30" s="44">
        <v>5563297.6372600002</v>
      </c>
    </row>
    <row r="31" spans="1:21">
      <c r="A31" s="47">
        <f t="shared" si="0"/>
        <v>18</v>
      </c>
      <c r="B31" s="41" t="s">
        <v>62</v>
      </c>
    </row>
    <row r="32" spans="1:21">
      <c r="A32" s="47">
        <f t="shared" si="0"/>
        <v>19</v>
      </c>
      <c r="B32" s="41" t="s">
        <v>63</v>
      </c>
      <c r="C32" s="51">
        <f>ROUND((C30/C26),5)</f>
        <v>0.41169</v>
      </c>
      <c r="E32" s="51">
        <f>ROUND((E30/E26),5)</f>
        <v>0.42666999999999999</v>
      </c>
      <c r="G32" s="51">
        <f>ROUND((G30/G26),5)</f>
        <v>0.44608999999999999</v>
      </c>
      <c r="I32" s="51">
        <f>ROUND((I30/I26),5)</f>
        <v>0.41305999999999998</v>
      </c>
      <c r="K32" s="51">
        <f>ROUND((K30/K26),5)</f>
        <v>0.3952</v>
      </c>
      <c r="M32" s="51">
        <f>ROUND((M30/M26),5)</f>
        <v>0.43159999999999998</v>
      </c>
      <c r="O32" s="51">
        <f>ROUND((O30/O26),5)</f>
        <v>0.43184</v>
      </c>
    </row>
    <row r="33" spans="1:16">
      <c r="A33" s="47">
        <f t="shared" si="0"/>
        <v>20</v>
      </c>
    </row>
    <row r="34" spans="1:16">
      <c r="A34" s="47">
        <f t="shared" si="0"/>
        <v>21</v>
      </c>
      <c r="B34" s="48" t="s">
        <v>23</v>
      </c>
      <c r="C34" s="44"/>
      <c r="E34" s="44"/>
      <c r="G34" s="44"/>
      <c r="I34" s="44"/>
      <c r="K34" s="44"/>
      <c r="M34" s="44"/>
      <c r="O34" s="44"/>
    </row>
    <row r="35" spans="1:16">
      <c r="A35" s="47">
        <f t="shared" si="0"/>
        <v>22</v>
      </c>
      <c r="B35" s="41" t="s">
        <v>64</v>
      </c>
      <c r="C35" s="35">
        <v>4593454.8626551144</v>
      </c>
      <c r="D35" s="24">
        <f>ROUND((E35-C35)/C35,4)</f>
        <v>-8.2600000000000007E-2</v>
      </c>
      <c r="E35" s="35">
        <v>4213987.9676855821</v>
      </c>
      <c r="F35" s="24">
        <f>ROUND((G35-E35)/E35,4)</f>
        <v>-1.6899999999999998E-2</v>
      </c>
      <c r="G35" s="35">
        <v>4142788.8665795103</v>
      </c>
      <c r="H35" s="24">
        <f>ROUND((I35-G35)/G35,4)</f>
        <v>0.10390000000000001</v>
      </c>
      <c r="I35" s="35">
        <v>4573153.9197517596</v>
      </c>
      <c r="J35" s="24">
        <f>ROUND((K35-I35)/I35,4)</f>
        <v>-6.3299999999999995E-2</v>
      </c>
      <c r="K35" s="35">
        <v>4283536.9489974706</v>
      </c>
      <c r="L35" s="24">
        <f>ROUND((M35-K35)/K35,4)</f>
        <v>-2.3699999999999999E-2</v>
      </c>
      <c r="M35" s="35">
        <f>M36/M32</f>
        <v>4182203.8229842447</v>
      </c>
      <c r="N35" s="24">
        <f>ROUND((O35-M35)/M35,4)</f>
        <v>-6.1499999999999999E-2</v>
      </c>
      <c r="O35" s="35">
        <f>O36/O32</f>
        <v>3925151.7963131238</v>
      </c>
      <c r="P35" s="35"/>
    </row>
    <row r="36" spans="1:16">
      <c r="A36" s="47">
        <f t="shared" si="0"/>
        <v>23</v>
      </c>
      <c r="B36" s="41" t="s">
        <v>65</v>
      </c>
      <c r="C36" s="44">
        <v>1957208.1800000004</v>
      </c>
      <c r="D36" s="24">
        <f>ROUND((E36-C36)/C36,4)</f>
        <v>-3.7900000000000003E-2</v>
      </c>
      <c r="E36" s="44">
        <v>1883009.9400000006</v>
      </c>
      <c r="F36" s="24">
        <f>ROUND((G36-E36)/E36,4)</f>
        <v>-3.6200000000000003E-2</v>
      </c>
      <c r="G36" s="44">
        <v>1814786.55</v>
      </c>
      <c r="H36" s="24">
        <f>ROUND((I36-G36)/G36,4)</f>
        <v>7.3999999999999996E-2</v>
      </c>
      <c r="I36" s="44">
        <v>1949161.7799999993</v>
      </c>
      <c r="J36" s="24">
        <f>ROUND((K36-I36)/I36,4)</f>
        <v>-9.7100000000000006E-2</v>
      </c>
      <c r="K36" s="44">
        <v>1759955.1800000006</v>
      </c>
      <c r="L36" s="24">
        <f>ROUND((M36-K36)/K36,4)</f>
        <v>2.5600000000000001E-2</v>
      </c>
      <c r="M36" s="44">
        <v>1805039.17</v>
      </c>
      <c r="N36" s="24">
        <f>ROUND((O36-M36)/M36,4)</f>
        <v>-6.0900000000000003E-2</v>
      </c>
      <c r="O36" s="44">
        <v>1695037.5517198595</v>
      </c>
      <c r="P36" s="35"/>
    </row>
    <row r="37" spans="1:16">
      <c r="A37" s="47">
        <f t="shared" si="0"/>
        <v>24</v>
      </c>
      <c r="B37" s="41" t="s">
        <v>66</v>
      </c>
    </row>
    <row r="38" spans="1:16">
      <c r="A38" s="47">
        <f t="shared" si="0"/>
        <v>25</v>
      </c>
      <c r="B38" s="5" t="s">
        <v>67</v>
      </c>
      <c r="C38" s="53"/>
      <c r="E38" s="53"/>
      <c r="G38" s="53"/>
      <c r="I38" s="53"/>
      <c r="K38" s="53"/>
    </row>
    <row r="39" spans="1:16">
      <c r="A39" s="47">
        <f t="shared" si="0"/>
        <v>26</v>
      </c>
      <c r="B39" s="41" t="s">
        <v>68</v>
      </c>
      <c r="C39" s="51">
        <f>ROUND((C36/C35),5)</f>
        <v>0.42609000000000002</v>
      </c>
      <c r="E39" s="51">
        <f>ROUND((E36/E35),5)</f>
        <v>0.44685000000000002</v>
      </c>
      <c r="G39" s="51">
        <f>ROUND((G36/G35),5)</f>
        <v>0.43806</v>
      </c>
      <c r="I39" s="51">
        <f>ROUND((I36/I35),5)</f>
        <v>0.42621999999999999</v>
      </c>
      <c r="K39" s="51">
        <f>ROUND((K36/K35),5)</f>
        <v>0.41086</v>
      </c>
      <c r="M39" s="51">
        <f>ROUND((M36/M35),5)</f>
        <v>0.43159999999999998</v>
      </c>
      <c r="O39" s="51">
        <f>ROUND((O36/O35),5)</f>
        <v>0.43184</v>
      </c>
    </row>
    <row r="40" spans="1:16">
      <c r="A40" s="47">
        <f t="shared" si="0"/>
        <v>27</v>
      </c>
    </row>
    <row r="41" spans="1:16">
      <c r="A41" s="47">
        <f t="shared" si="0"/>
        <v>28</v>
      </c>
      <c r="B41" s="18" t="s">
        <v>30</v>
      </c>
    </row>
    <row r="42" spans="1:16">
      <c r="A42" s="47">
        <f t="shared" si="0"/>
        <v>29</v>
      </c>
      <c r="B42" s="41" t="s">
        <v>32</v>
      </c>
      <c r="C42" s="35">
        <v>937780.34000000008</v>
      </c>
      <c r="D42" s="24">
        <f>ROUND((E42-C42)/C42,4)</f>
        <v>0.19259999999999999</v>
      </c>
      <c r="E42" s="35">
        <v>1118350.7199999997</v>
      </c>
      <c r="F42" s="24">
        <f>ROUND((G42-E42)/E42,4)</f>
        <v>-0.1638</v>
      </c>
      <c r="G42" s="35">
        <v>935217.53</v>
      </c>
      <c r="H42" s="24">
        <f>ROUND((I42-G42)/G42,4)</f>
        <v>0.58630000000000004</v>
      </c>
      <c r="I42" s="35">
        <v>1483579.8100000003</v>
      </c>
      <c r="J42" s="24">
        <f>ROUND((K42-I42)/I42,4)</f>
        <v>-0.16889999999999999</v>
      </c>
      <c r="K42" s="35">
        <v>1233010.93</v>
      </c>
      <c r="L42" s="24">
        <f>ROUND((M42-K42)/K42,4)</f>
        <v>-0.1709</v>
      </c>
      <c r="M42" s="35">
        <f>M43/M32</f>
        <v>1022347.7062094533</v>
      </c>
      <c r="N42" s="24">
        <f>ROUND((O42-M42)/M42,4)</f>
        <v>0.27010000000000001</v>
      </c>
      <c r="O42" s="35">
        <f>O43/O32</f>
        <v>1298474.041311597</v>
      </c>
      <c r="P42" s="35"/>
    </row>
    <row r="43" spans="1:16">
      <c r="A43" s="47">
        <f t="shared" si="0"/>
        <v>30</v>
      </c>
      <c r="B43" s="41" t="s">
        <v>69</v>
      </c>
      <c r="C43" s="44">
        <v>352392.23999999993</v>
      </c>
      <c r="D43" s="24">
        <f>ROUND((E43-C43)/C43,4)</f>
        <v>-2.9100000000000001E-2</v>
      </c>
      <c r="E43" s="44">
        <v>342144.76999999996</v>
      </c>
      <c r="F43" s="24">
        <f>ROUND((G43-E43)/E43,4)</f>
        <v>6.6000000000000003E-2</v>
      </c>
      <c r="G43" s="44">
        <v>364719.13000000012</v>
      </c>
      <c r="H43" s="24">
        <f>ROUND((I43-G43)/G43,4)</f>
        <v>0.11990000000000001</v>
      </c>
      <c r="I43" s="44">
        <v>408462.87000000017</v>
      </c>
      <c r="J43" s="24">
        <f>ROUND((K43-I43)/I43,4)</f>
        <v>-0.17829999999999999</v>
      </c>
      <c r="K43" s="44">
        <v>335620.93</v>
      </c>
      <c r="L43" s="24">
        <f>ROUND((M43-K43)/K43,4)</f>
        <v>0.31469999999999998</v>
      </c>
      <c r="M43" s="35">
        <v>441245.27</v>
      </c>
      <c r="N43" s="24">
        <f>ROUND((O43-M43)/M43,4)</f>
        <v>0.27079999999999999</v>
      </c>
      <c r="O43" s="35">
        <v>560733.03</v>
      </c>
      <c r="P43" s="35"/>
    </row>
    <row r="44" spans="1:16">
      <c r="A44" s="47">
        <f t="shared" si="0"/>
        <v>31</v>
      </c>
      <c r="B44" s="41" t="s">
        <v>70</v>
      </c>
    </row>
    <row r="45" spans="1:16">
      <c r="A45" s="47">
        <f t="shared" si="0"/>
        <v>32</v>
      </c>
      <c r="B45" s="41" t="s">
        <v>71</v>
      </c>
    </row>
    <row r="46" spans="1:16">
      <c r="A46" s="47">
        <f t="shared" si="0"/>
        <v>33</v>
      </c>
      <c r="B46" s="5" t="s">
        <v>72</v>
      </c>
      <c r="C46" s="51">
        <f>ROUND((C43/C42),5)</f>
        <v>0.37576999999999999</v>
      </c>
      <c r="D46" s="51"/>
      <c r="E46" s="51">
        <f>ROUND((E43/E42),5)</f>
        <v>0.30593999999999999</v>
      </c>
      <c r="G46" s="51">
        <f>ROUND((G43/G42),5)</f>
        <v>0.38997999999999999</v>
      </c>
      <c r="I46" s="51">
        <f>ROUND((I43/I42),5)</f>
        <v>0.27532000000000001</v>
      </c>
      <c r="K46" s="51">
        <f>ROUND((K43/K42),5)</f>
        <v>0.2722</v>
      </c>
      <c r="M46" s="51">
        <f>ROUND((M43/M42),5)</f>
        <v>0.43159999999999998</v>
      </c>
      <c r="O46" s="51">
        <f>ROUND((O43/O42),5)</f>
        <v>0.43184</v>
      </c>
    </row>
    <row r="47" spans="1:16">
      <c r="A47" s="47">
        <f t="shared" si="0"/>
        <v>34</v>
      </c>
    </row>
    <row r="48" spans="1:16">
      <c r="A48" s="47">
        <f t="shared" si="0"/>
        <v>35</v>
      </c>
      <c r="B48" s="48" t="s">
        <v>73</v>
      </c>
    </row>
    <row r="49" spans="1:19">
      <c r="A49" s="47">
        <f t="shared" si="0"/>
        <v>36</v>
      </c>
      <c r="B49" s="41" t="s">
        <v>74</v>
      </c>
      <c r="C49">
        <v>213</v>
      </c>
      <c r="D49" s="54">
        <f>ROUND((E49-C49)/C49,4)</f>
        <v>-3.2899999999999999E-2</v>
      </c>
      <c r="E49">
        <v>206</v>
      </c>
      <c r="F49" s="24">
        <f>ROUND((G49-E49)/E49,4)</f>
        <v>-4.1300000000000003E-2</v>
      </c>
      <c r="G49">
        <v>197.5</v>
      </c>
      <c r="H49" s="24">
        <f>ROUND((I49-G49)/G49,4)</f>
        <v>-1.2699999999999999E-2</v>
      </c>
      <c r="I49">
        <v>195</v>
      </c>
      <c r="J49" s="24">
        <f>ROUND((K49-I49)/I49,4)</f>
        <v>-2.3099999999999999E-2</v>
      </c>
      <c r="K49">
        <v>190.5</v>
      </c>
      <c r="L49" s="24">
        <f>ROUND((M49-K49)/K49,4)</f>
        <v>-2.3599999999999999E-2</v>
      </c>
      <c r="M49" s="35">
        <f>M50</f>
        <v>186</v>
      </c>
      <c r="N49" s="24">
        <f>ROUND((O49-M49)/M49,4)</f>
        <v>0</v>
      </c>
      <c r="O49" s="35">
        <f>O50</f>
        <v>186</v>
      </c>
    </row>
    <row r="50" spans="1:19">
      <c r="A50" s="47">
        <f t="shared" si="0"/>
        <v>37</v>
      </c>
      <c r="B50" s="41" t="s">
        <v>75</v>
      </c>
      <c r="C50" s="35">
        <v>211</v>
      </c>
      <c r="D50" s="24">
        <f>ROUND((E50-C50)/C50,4)</f>
        <v>-5.21E-2</v>
      </c>
      <c r="E50" s="35">
        <v>200</v>
      </c>
      <c r="F50" s="24">
        <f>ROUND((G50-E50)/E50,4)</f>
        <v>-2.5000000000000001E-2</v>
      </c>
      <c r="G50" s="35">
        <v>195</v>
      </c>
      <c r="H50" s="24">
        <f>ROUND((I50-G50)/G50,4)</f>
        <v>0</v>
      </c>
      <c r="I50" s="35">
        <v>195</v>
      </c>
      <c r="J50" s="24">
        <f>ROUND((K50-I50)/I50,4)</f>
        <v>-4.6199999999999998E-2</v>
      </c>
      <c r="K50" s="35">
        <v>186</v>
      </c>
      <c r="L50" s="24">
        <f>ROUND((M50-K50)/K50,4)</f>
        <v>0</v>
      </c>
      <c r="M50" s="35">
        <f>K50</f>
        <v>186</v>
      </c>
      <c r="N50" s="24">
        <f>ROUND((O50-M50)/M50,4)</f>
        <v>0</v>
      </c>
      <c r="O50" s="35">
        <f>M50</f>
        <v>186</v>
      </c>
    </row>
    <row r="52" spans="1:19">
      <c r="R52" s="35"/>
    </row>
    <row r="53" spans="1:19">
      <c r="R53" s="35"/>
    </row>
    <row r="54" spans="1:19">
      <c r="B54" s="36" t="s">
        <v>76</v>
      </c>
    </row>
    <row r="55" spans="1:19">
      <c r="B55" s="36" t="s">
        <v>77</v>
      </c>
    </row>
    <row r="58" spans="1:19">
      <c r="B58" t="s">
        <v>78</v>
      </c>
      <c r="R58" s="35"/>
      <c r="S58" s="35"/>
    </row>
    <row r="59" spans="1:19">
      <c r="B59" s="36" t="s">
        <v>79</v>
      </c>
      <c r="R59" s="35"/>
      <c r="S59" s="35"/>
    </row>
    <row r="60" spans="1:19">
      <c r="B60" t="s">
        <v>80</v>
      </c>
    </row>
    <row r="61" spans="1:19">
      <c r="B61" t="s">
        <v>81</v>
      </c>
    </row>
    <row r="67" spans="1:15">
      <c r="A67" s="44"/>
    </row>
    <row r="68" spans="1:15">
      <c r="A68" s="44"/>
      <c r="B68" s="44"/>
      <c r="G68" s="55"/>
      <c r="I68" s="55"/>
      <c r="K68" s="55"/>
      <c r="M68" s="55"/>
      <c r="O68" s="55"/>
    </row>
    <row r="69" spans="1:15">
      <c r="G69" s="44"/>
    </row>
    <row r="70" spans="1:15">
      <c r="A70" s="44"/>
    </row>
    <row r="71" spans="1:15">
      <c r="A71" s="44"/>
    </row>
    <row r="95" spans="7:17">
      <c r="G95" s="44"/>
      <c r="I95" s="44"/>
      <c r="K95" s="44"/>
      <c r="M95" s="44"/>
      <c r="O95" s="44"/>
      <c r="Q95" s="44"/>
    </row>
    <row r="96" spans="7:17">
      <c r="G96" s="44"/>
      <c r="I96" s="44"/>
      <c r="K96" s="44"/>
      <c r="M96" s="44"/>
      <c r="O96" s="44"/>
      <c r="Q96" s="44"/>
    </row>
    <row r="97" spans="7:17">
      <c r="G97" s="44"/>
      <c r="I97" s="44"/>
      <c r="K97" s="44"/>
      <c r="M97" s="44"/>
      <c r="O97" s="44"/>
      <c r="Q97" s="44"/>
    </row>
    <row r="98" spans="7:17">
      <c r="G98" s="44"/>
      <c r="I98" s="44"/>
      <c r="K98" s="44"/>
      <c r="M98" s="44"/>
      <c r="O98" s="44"/>
      <c r="Q98" s="44"/>
    </row>
    <row r="99" spans="7:17">
      <c r="G99" s="44"/>
      <c r="I99" s="44"/>
      <c r="K99" s="44"/>
      <c r="M99" s="44"/>
      <c r="O99" s="44"/>
      <c r="Q99" s="44"/>
    </row>
  </sheetData>
  <pageMargins left="0.5" right="0.5" top="0.75" bottom="0.5" header="0.5" footer="0.5"/>
  <pageSetup scale="59" orientation="landscape" verticalDpi="300" r:id="rId1"/>
  <headerFooter alignWithMargins="0">
    <oddHeader>&amp;RCASE NO. 2021-00214
FR_16(8)(g) 
ATTACHMENT 1</oddHeader>
    <oddFooter>&amp;RSchedule &amp;A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ACB01-B9C9-4D67-A980-9834EFB9A550}">
  <sheetPr>
    <pageSetUpPr fitToPage="1"/>
  </sheetPr>
  <dimension ref="A1:Q66"/>
  <sheetViews>
    <sheetView view="pageBreakPreview" topLeftCell="A7" zoomScale="80" zoomScaleNormal="100" zoomScaleSheetLayoutView="80" workbookViewId="0">
      <selection activeCell="T45" sqref="T45"/>
    </sheetView>
  </sheetViews>
  <sheetFormatPr defaultColWidth="8.44140625" defaultRowHeight="15"/>
  <cols>
    <col min="1" max="1" width="7.5546875" style="3" customWidth="1"/>
    <col min="2" max="2" width="3.33203125" style="3" customWidth="1"/>
    <col min="3" max="3" width="47.44140625" style="3" customWidth="1"/>
    <col min="4" max="4" width="3" style="3" customWidth="1"/>
    <col min="5" max="5" width="9.77734375" style="3" customWidth="1"/>
    <col min="6" max="7" width="9.88671875" style="3" customWidth="1"/>
    <col min="8" max="8" width="14.88671875" style="3" bestFit="1" customWidth="1"/>
    <col min="9" max="9" width="6" style="3" bestFit="1" customWidth="1"/>
    <col min="10" max="10" width="11.88671875" style="3" customWidth="1"/>
    <col min="11" max="11" width="3.77734375" style="3" customWidth="1"/>
    <col min="12" max="12" width="15.77734375" style="3" customWidth="1"/>
    <col min="13" max="14" width="9.33203125" style="3" customWidth="1"/>
    <col min="15" max="15" width="8.6640625" style="3" customWidth="1"/>
    <col min="16" max="16" width="8" style="3" customWidth="1"/>
    <col min="17" max="17" width="10.77734375" style="3" customWidth="1"/>
    <col min="18" max="18" width="10.21875" style="3" customWidth="1"/>
    <col min="19" max="16384" width="8.44140625" style="3"/>
  </cols>
  <sheetData>
    <row r="1" spans="1:16">
      <c r="A1" s="1" t="s">
        <v>113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/>
      <c r="P1"/>
    </row>
    <row r="2" spans="1:16">
      <c r="A2" s="1" t="s">
        <v>114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/>
      <c r="P2"/>
    </row>
    <row r="3" spans="1:16">
      <c r="A3" s="1" t="s">
        <v>82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/>
      <c r="P3"/>
    </row>
    <row r="4" spans="1:16">
      <c r="A4" s="1" t="s">
        <v>115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/>
      <c r="P4"/>
    </row>
    <row r="5" spans="1:16">
      <c r="A5" s="1" t="s">
        <v>116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/>
      <c r="P5"/>
    </row>
    <row r="6" spans="1:16">
      <c r="A6" s="5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/>
      <c r="P6"/>
    </row>
    <row r="7" spans="1:16">
      <c r="A7" s="5" t="s">
        <v>1</v>
      </c>
      <c r="B7"/>
      <c r="C7"/>
      <c r="D7"/>
      <c r="E7"/>
      <c r="F7"/>
      <c r="G7"/>
      <c r="H7"/>
      <c r="I7"/>
      <c r="J7"/>
      <c r="K7"/>
      <c r="L7" s="6" t="s">
        <v>2</v>
      </c>
      <c r="M7"/>
      <c r="N7"/>
      <c r="O7"/>
      <c r="P7"/>
    </row>
    <row r="8" spans="1:16">
      <c r="A8" s="5" t="s">
        <v>3</v>
      </c>
      <c r="B8"/>
      <c r="C8"/>
      <c r="D8"/>
      <c r="E8"/>
      <c r="F8"/>
      <c r="G8"/>
      <c r="H8"/>
      <c r="I8"/>
      <c r="J8"/>
      <c r="K8"/>
      <c r="L8" s="7" t="s">
        <v>83</v>
      </c>
      <c r="M8"/>
      <c r="N8"/>
      <c r="O8"/>
      <c r="P8"/>
    </row>
    <row r="9" spans="1:16">
      <c r="A9" s="8" t="s">
        <v>84</v>
      </c>
      <c r="B9" s="9"/>
      <c r="C9" s="9"/>
      <c r="D9" s="9"/>
      <c r="E9" s="9"/>
      <c r="F9" s="9"/>
      <c r="G9" s="9"/>
      <c r="H9" s="9"/>
      <c r="I9" s="9"/>
      <c r="J9" s="9"/>
      <c r="K9" s="9"/>
      <c r="L9" s="42" t="s">
        <v>117</v>
      </c>
      <c r="M9"/>
      <c r="N9" s="28"/>
      <c r="O9"/>
      <c r="P9"/>
    </row>
    <row r="10" spans="1:16" ht="15.75">
      <c r="A10"/>
      <c r="B10"/>
      <c r="C10" s="10"/>
      <c r="D10"/>
      <c r="E10"/>
      <c r="F10"/>
      <c r="G10"/>
      <c r="H10"/>
      <c r="I10"/>
      <c r="J10"/>
      <c r="K10"/>
      <c r="L10"/>
      <c r="M10"/>
      <c r="N10"/>
      <c r="O10"/>
      <c r="P10"/>
    </row>
    <row r="11" spans="1:16">
      <c r="A11"/>
      <c r="B11"/>
      <c r="C11"/>
      <c r="D11"/>
      <c r="E11"/>
      <c r="F11"/>
      <c r="G11"/>
      <c r="H11" s="12" t="s">
        <v>85</v>
      </c>
      <c r="I11"/>
      <c r="J11"/>
      <c r="K11"/>
      <c r="L11" s="12" t="s">
        <v>8</v>
      </c>
      <c r="M11"/>
      <c r="N11"/>
      <c r="O11"/>
      <c r="P11"/>
    </row>
    <row r="12" spans="1:16">
      <c r="A12" s="12" t="s">
        <v>9</v>
      </c>
      <c r="B12"/>
      <c r="C12"/>
      <c r="D12" s="13"/>
      <c r="E12" s="13" t="s">
        <v>10</v>
      </c>
      <c r="F12" s="13"/>
      <c r="G12" s="13"/>
      <c r="H12" s="12" t="s">
        <v>11</v>
      </c>
      <c r="I12"/>
      <c r="J12"/>
      <c r="K12"/>
      <c r="L12" s="12" t="s">
        <v>11</v>
      </c>
      <c r="M12"/>
      <c r="N12"/>
      <c r="O12"/>
      <c r="P12"/>
    </row>
    <row r="13" spans="1:16">
      <c r="A13" s="14" t="s">
        <v>14</v>
      </c>
      <c r="B13"/>
      <c r="C13" s="14" t="s">
        <v>15</v>
      </c>
      <c r="D13" s="12"/>
      <c r="E13" s="15" t="s">
        <v>16</v>
      </c>
      <c r="F13" s="12"/>
      <c r="G13" s="12"/>
      <c r="H13" s="14" t="s">
        <v>86</v>
      </c>
      <c r="I13"/>
      <c r="J13" s="14" t="s">
        <v>18</v>
      </c>
      <c r="K13"/>
      <c r="L13" s="14" t="s">
        <v>86</v>
      </c>
      <c r="M13"/>
      <c r="N13"/>
      <c r="O13"/>
      <c r="P13"/>
    </row>
    <row r="14" spans="1:16">
      <c r="A14"/>
      <c r="B14"/>
      <c r="C14"/>
      <c r="D14"/>
      <c r="E14"/>
      <c r="F14"/>
      <c r="G14"/>
      <c r="H14" s="12"/>
      <c r="I14"/>
      <c r="J14" s="12"/>
      <c r="K14" s="5"/>
      <c r="L14" s="12"/>
      <c r="M14"/>
      <c r="N14"/>
      <c r="O14"/>
      <c r="P14"/>
    </row>
    <row r="15" spans="1:16">
      <c r="A15" s="12" t="s">
        <v>87</v>
      </c>
      <c r="B15"/>
      <c r="C15" s="18" t="s">
        <v>88</v>
      </c>
      <c r="D15"/>
      <c r="E15"/>
      <c r="F15"/>
      <c r="G15"/>
      <c r="H15"/>
      <c r="I15"/>
      <c r="J15"/>
      <c r="K15"/>
      <c r="L15"/>
      <c r="M15"/>
      <c r="N15"/>
      <c r="O15"/>
      <c r="P15"/>
    </row>
    <row r="16" spans="1:16">
      <c r="A16" s="12">
        <f>A15+1</f>
        <v>2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1:17">
      <c r="A17" s="12">
        <f t="shared" ref="A17:A32" si="0">A16+1</f>
        <v>3</v>
      </c>
      <c r="B17"/>
      <c r="C17" s="18" t="s">
        <v>89</v>
      </c>
      <c r="D17"/>
      <c r="E17"/>
      <c r="F17"/>
      <c r="G17"/>
      <c r="H17" s="29"/>
      <c r="I17"/>
      <c r="J17"/>
      <c r="K17"/>
      <c r="L17"/>
      <c r="M17"/>
      <c r="N17"/>
      <c r="O17"/>
      <c r="P17"/>
    </row>
    <row r="18" spans="1:17">
      <c r="A18" s="12">
        <f t="shared" si="0"/>
        <v>4</v>
      </c>
      <c r="B18"/>
      <c r="C18" s="5" t="s">
        <v>90</v>
      </c>
      <c r="D18"/>
      <c r="E18"/>
      <c r="F18"/>
      <c r="G18"/>
      <c r="H18" s="57">
        <v>3266810.7099999995</v>
      </c>
      <c r="I18"/>
      <c r="J18" s="57">
        <f>L18-H18</f>
        <v>130672.42840000009</v>
      </c>
      <c r="K18"/>
      <c r="L18" s="57">
        <f>H18*1.04</f>
        <v>3397483.1383999996</v>
      </c>
      <c r="M18" s="58"/>
      <c r="N18" s="58"/>
      <c r="O18"/>
      <c r="P18" s="25"/>
      <c r="Q18" s="25"/>
    </row>
    <row r="19" spans="1:17">
      <c r="A19" s="12">
        <f t="shared" si="0"/>
        <v>5</v>
      </c>
      <c r="B19"/>
      <c r="C19" s="5" t="s">
        <v>91</v>
      </c>
      <c r="D19"/>
      <c r="E19"/>
      <c r="F19"/>
      <c r="G19"/>
      <c r="H19" s="35">
        <v>9307884.7601225805</v>
      </c>
      <c r="I19"/>
      <c r="J19" s="59">
        <f>L19-H19</f>
        <v>372315.39040490426</v>
      </c>
      <c r="K19"/>
      <c r="L19" s="57">
        <f>H19*1.04</f>
        <v>9680200.1505274847</v>
      </c>
      <c r="M19" s="5"/>
      <c r="N19" s="5"/>
      <c r="O19"/>
      <c r="P19" s="60"/>
      <c r="Q19" s="60"/>
    </row>
    <row r="20" spans="1:17">
      <c r="A20" s="12">
        <f t="shared" si="0"/>
        <v>6</v>
      </c>
      <c r="B20"/>
      <c r="C20" s="5" t="s">
        <v>92</v>
      </c>
      <c r="D20"/>
      <c r="E20"/>
      <c r="F20"/>
      <c r="G20"/>
      <c r="H20" s="61">
        <f>SUM(H18:H19)</f>
        <v>12574695.470122579</v>
      </c>
      <c r="I20"/>
      <c r="J20" s="57">
        <f>SUM(J18:J19)</f>
        <v>502987.81880490435</v>
      </c>
      <c r="K20"/>
      <c r="L20" s="61">
        <f>SUM(L18:L19)</f>
        <v>13077683.288927484</v>
      </c>
      <c r="M20"/>
      <c r="O20"/>
      <c r="P20" s="60"/>
      <c r="Q20" s="60"/>
    </row>
    <row r="21" spans="1:17">
      <c r="A21" s="12">
        <f t="shared" si="0"/>
        <v>7</v>
      </c>
      <c r="B21"/>
      <c r="C21"/>
      <c r="D21"/>
      <c r="E21"/>
      <c r="F21"/>
      <c r="G21"/>
      <c r="H21" s="35"/>
      <c r="I21"/>
      <c r="J21" s="35"/>
      <c r="K21"/>
      <c r="L21" s="35"/>
      <c r="M21"/>
      <c r="O21"/>
      <c r="P21" s="60"/>
      <c r="Q21" s="60"/>
    </row>
    <row r="22" spans="1:17">
      <c r="A22" s="12">
        <f t="shared" si="0"/>
        <v>8</v>
      </c>
      <c r="B22"/>
      <c r="C22" s="18" t="s">
        <v>23</v>
      </c>
      <c r="D22" s="25"/>
      <c r="E22" t="s">
        <v>118</v>
      </c>
      <c r="F22" t="s">
        <v>119</v>
      </c>
      <c r="G22" t="s">
        <v>93</v>
      </c>
      <c r="H22"/>
      <c r="I22"/>
      <c r="J22"/>
      <c r="K22"/>
      <c r="L22"/>
      <c r="M22"/>
    </row>
    <row r="23" spans="1:17">
      <c r="A23" s="12">
        <f t="shared" si="0"/>
        <v>9</v>
      </c>
      <c r="B23"/>
      <c r="C23" s="5" t="s">
        <v>94</v>
      </c>
      <c r="D23" s="60"/>
      <c r="E23" s="52">
        <v>3.1100000000000003E-2</v>
      </c>
      <c r="F23" s="52">
        <v>3.78E-2</v>
      </c>
      <c r="G23" s="52">
        <v>3.4450000000000001E-2</v>
      </c>
      <c r="H23" s="57">
        <f>H$18*G23</f>
        <v>112541.62895949998</v>
      </c>
      <c r="I23"/>
      <c r="J23" s="57">
        <f>L23-H23</f>
        <v>4501.6651583800121</v>
      </c>
      <c r="K23"/>
      <c r="L23" s="57">
        <f>L$18*G23</f>
        <v>117043.29411788</v>
      </c>
      <c r="M23"/>
      <c r="P23" s="60"/>
      <c r="Q23" s="60"/>
    </row>
    <row r="24" spans="1:17">
      <c r="A24" s="12">
        <f t="shared" si="0"/>
        <v>10</v>
      </c>
      <c r="B24"/>
      <c r="C24" s="5" t="s">
        <v>95</v>
      </c>
      <c r="D24" s="60"/>
      <c r="E24" s="58"/>
      <c r="F24" s="58"/>
      <c r="G24" s="58"/>
      <c r="H24" s="57">
        <v>3063427</v>
      </c>
      <c r="I24"/>
      <c r="J24" s="35">
        <f>L24-H24</f>
        <v>122537.08000000007</v>
      </c>
      <c r="K24"/>
      <c r="L24" s="62">
        <f>H24*1.04</f>
        <v>3185964.08</v>
      </c>
      <c r="M24"/>
      <c r="P24" s="60"/>
      <c r="Q24" s="60"/>
    </row>
    <row r="25" spans="1:17">
      <c r="A25" s="12">
        <f t="shared" si="0"/>
        <v>11</v>
      </c>
      <c r="B25"/>
      <c r="C25" s="5" t="s">
        <v>96</v>
      </c>
      <c r="D25" s="60"/>
      <c r="E25" s="52">
        <v>0.29730000000000001</v>
      </c>
      <c r="F25" s="52">
        <v>0.30759999999999998</v>
      </c>
      <c r="G25" s="52">
        <v>0.30245000000000005</v>
      </c>
      <c r="H25" s="59">
        <f>H$18*G25</f>
        <v>988046.89923950005</v>
      </c>
      <c r="I25"/>
      <c r="J25" s="59">
        <f>L25-H25</f>
        <v>39521.875969580025</v>
      </c>
      <c r="K25"/>
      <c r="L25" s="59">
        <f>L$18*G25</f>
        <v>1027568.7752090801</v>
      </c>
      <c r="M25"/>
      <c r="P25" s="60"/>
    </row>
    <row r="26" spans="1:17">
      <c r="A26" s="12">
        <f t="shared" si="0"/>
        <v>12</v>
      </c>
      <c r="B26"/>
      <c r="C26" s="5" t="s">
        <v>97</v>
      </c>
      <c r="D26"/>
      <c r="E26"/>
      <c r="F26"/>
      <c r="G26"/>
      <c r="H26" s="57">
        <f>SUM(H23:H25)</f>
        <v>4164015.5281989998</v>
      </c>
      <c r="I26"/>
      <c r="J26" s="57">
        <f>SUM(J23:J25)</f>
        <v>166560.6211279601</v>
      </c>
      <c r="K26"/>
      <c r="L26" s="57">
        <f>SUM(L23:L25)</f>
        <v>4330576.1493269606</v>
      </c>
      <c r="M26"/>
      <c r="O26"/>
      <c r="P26"/>
    </row>
    <row r="27" spans="1:17">
      <c r="A27" s="12">
        <f t="shared" si="0"/>
        <v>13</v>
      </c>
      <c r="B27"/>
      <c r="C27"/>
      <c r="D27"/>
      <c r="E27"/>
      <c r="F27"/>
      <c r="G27"/>
      <c r="H27"/>
      <c r="I27"/>
      <c r="J27"/>
      <c r="K27"/>
      <c r="L27"/>
      <c r="M27"/>
      <c r="O27"/>
      <c r="P27"/>
    </row>
    <row r="28" spans="1:17">
      <c r="A28" s="12">
        <f t="shared" si="0"/>
        <v>14</v>
      </c>
      <c r="B28"/>
      <c r="C28" s="18" t="s">
        <v>30</v>
      </c>
      <c r="D28"/>
      <c r="E28"/>
      <c r="F28"/>
      <c r="G28"/>
      <c r="H28" s="35"/>
      <c r="I28" s="53"/>
      <c r="J28" s="35"/>
      <c r="K28"/>
      <c r="L28" s="35" t="s">
        <v>29</v>
      </c>
      <c r="M28"/>
      <c r="N28" s="60"/>
      <c r="O28"/>
      <c r="P28"/>
    </row>
    <row r="29" spans="1:17">
      <c r="A29" s="12">
        <f t="shared" si="0"/>
        <v>15</v>
      </c>
      <c r="B29"/>
      <c r="C29" s="5" t="s">
        <v>98</v>
      </c>
      <c r="D29"/>
      <c r="E29"/>
      <c r="F29"/>
      <c r="G29"/>
      <c r="H29" s="57">
        <v>538017.9600000002</v>
      </c>
      <c r="I29" s="53"/>
      <c r="J29" s="57">
        <f>L29-H29</f>
        <v>21520.718400000012</v>
      </c>
      <c r="K29"/>
      <c r="L29" s="57">
        <v>559538.67840000021</v>
      </c>
      <c r="M29"/>
      <c r="N29" s="60"/>
      <c r="O29"/>
      <c r="P29"/>
    </row>
    <row r="30" spans="1:17">
      <c r="A30" s="12">
        <f t="shared" si="0"/>
        <v>16</v>
      </c>
      <c r="B30"/>
      <c r="C30" s="5" t="s">
        <v>99</v>
      </c>
      <c r="D30"/>
      <c r="E30"/>
      <c r="F30"/>
      <c r="G30"/>
      <c r="H30" s="61">
        <f>SUM(H29:H29)</f>
        <v>538017.9600000002</v>
      </c>
      <c r="I30"/>
      <c r="J30" s="57">
        <f>SUM(J29:J29)</f>
        <v>21520.718400000012</v>
      </c>
      <c r="K30"/>
      <c r="L30" s="61">
        <f>SUM(L29:L29)</f>
        <v>559538.67840000021</v>
      </c>
      <c r="M30"/>
      <c r="N30"/>
      <c r="O30"/>
      <c r="P30"/>
    </row>
    <row r="31" spans="1:17">
      <c r="A31" s="12">
        <f t="shared" si="0"/>
        <v>17</v>
      </c>
      <c r="B31"/>
      <c r="C31"/>
      <c r="D31"/>
      <c r="E31"/>
      <c r="F31"/>
      <c r="G31"/>
      <c r="H31" s="35"/>
      <c r="I31"/>
      <c r="J31" s="35"/>
      <c r="K31"/>
      <c r="L31" s="35" t="s">
        <v>29</v>
      </c>
      <c r="M31"/>
      <c r="N31"/>
      <c r="O31"/>
      <c r="P31"/>
    </row>
    <row r="32" spans="1:17" ht="15.75" thickBot="1">
      <c r="A32" s="12">
        <f t="shared" si="0"/>
        <v>18</v>
      </c>
      <c r="B32"/>
      <c r="C32" s="5" t="s">
        <v>100</v>
      </c>
      <c r="D32"/>
      <c r="E32"/>
      <c r="F32"/>
      <c r="G32"/>
      <c r="H32" s="63">
        <f>(+H20+H26+H30)</f>
        <v>17276728.958321579</v>
      </c>
      <c r="I32"/>
      <c r="J32" s="63">
        <f>(+J20+J26+J30)</f>
        <v>691069.1583328644</v>
      </c>
      <c r="K32"/>
      <c r="L32" s="63">
        <f>(+L20+L26+L30)</f>
        <v>17967798.116654444</v>
      </c>
      <c r="M32"/>
      <c r="N32"/>
      <c r="O32"/>
      <c r="P32"/>
    </row>
    <row r="33" spans="1:16" ht="15.75" thickTop="1">
      <c r="A33"/>
      <c r="B33"/>
      <c r="C33"/>
      <c r="D33"/>
      <c r="E33"/>
      <c r="F33"/>
      <c r="G33"/>
      <c r="H33" s="35"/>
      <c r="I33"/>
      <c r="J33" s="35"/>
      <c r="K33"/>
      <c r="L33" s="5" t="s">
        <v>29</v>
      </c>
      <c r="M33"/>
      <c r="N33"/>
      <c r="O33"/>
      <c r="P33"/>
    </row>
    <row r="34" spans="1:16" ht="15.75">
      <c r="A34" s="64" t="s">
        <v>101</v>
      </c>
      <c r="B34" s="5"/>
      <c r="C34"/>
      <c r="D34"/>
      <c r="E34"/>
      <c r="F34"/>
      <c r="G34"/>
      <c r="H34" s="35"/>
      <c r="I34"/>
      <c r="J34" s="35"/>
      <c r="K34"/>
      <c r="L34" s="35"/>
      <c r="M34"/>
      <c r="N34"/>
      <c r="O34"/>
      <c r="P34"/>
    </row>
    <row r="35" spans="1:16">
      <c r="B35" s="5"/>
      <c r="C35"/>
      <c r="D35"/>
      <c r="E35"/>
      <c r="F35"/>
      <c r="G35"/>
      <c r="H35" s="35"/>
      <c r="I35"/>
      <c r="J35" s="35"/>
      <c r="K35"/>
      <c r="L35" s="35"/>
      <c r="M35"/>
      <c r="N35"/>
      <c r="O35"/>
      <c r="P35"/>
    </row>
    <row r="36" spans="1:16">
      <c r="A36" s="65" t="s">
        <v>102</v>
      </c>
      <c r="C36" s="5"/>
      <c r="D36"/>
      <c r="E36" s="25"/>
      <c r="F36"/>
      <c r="G36"/>
      <c r="H36" s="35"/>
      <c r="I36"/>
      <c r="J36" s="35"/>
      <c r="K36"/>
      <c r="L36" s="35"/>
      <c r="M36"/>
      <c r="N36"/>
      <c r="O36"/>
      <c r="P36"/>
    </row>
    <row r="37" spans="1:16">
      <c r="A37" t="s">
        <v>103</v>
      </c>
      <c r="C37"/>
      <c r="D37"/>
      <c r="E37"/>
      <c r="F37"/>
      <c r="G37"/>
      <c r="H37" s="35"/>
      <c r="I37"/>
      <c r="J37" s="35"/>
      <c r="K37"/>
      <c r="L37" s="35"/>
      <c r="M37"/>
      <c r="N37"/>
      <c r="O37"/>
      <c r="P37"/>
    </row>
    <row r="38" spans="1:16">
      <c r="A38" t="s">
        <v>104</v>
      </c>
      <c r="C38"/>
      <c r="D38"/>
      <c r="E38"/>
      <c r="F38"/>
      <c r="G38"/>
      <c r="H38" s="35"/>
      <c r="I38"/>
      <c r="J38" s="35"/>
      <c r="K38"/>
      <c r="L38" s="35"/>
      <c r="M38"/>
      <c r="N38"/>
      <c r="O38"/>
      <c r="P38"/>
    </row>
    <row r="39" spans="1:16">
      <c r="A39" t="s">
        <v>105</v>
      </c>
      <c r="C39"/>
      <c r="D39"/>
      <c r="E39"/>
      <c r="F39"/>
      <c r="G39"/>
      <c r="H39"/>
      <c r="I39" s="58"/>
      <c r="J39"/>
      <c r="K39"/>
      <c r="L39"/>
      <c r="M39"/>
      <c r="N39"/>
      <c r="O39"/>
      <c r="P39"/>
    </row>
    <row r="40" spans="1:16">
      <c r="A40" t="s">
        <v>106</v>
      </c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>
      <c r="A41" t="s">
        <v>107</v>
      </c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>
      <c r="A42" t="s">
        <v>108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>
      <c r="A44" s="3" t="s">
        <v>109</v>
      </c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>
      <c r="A45" s="66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>
      <c r="A48" t="s">
        <v>110</v>
      </c>
      <c r="B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>
      <c r="A49" s="67" t="s">
        <v>111</v>
      </c>
      <c r="B49"/>
      <c r="D49"/>
      <c r="E49"/>
      <c r="F49"/>
      <c r="G49"/>
      <c r="H49"/>
      <c r="I49"/>
      <c r="J49"/>
      <c r="K49"/>
      <c r="L49" s="25"/>
      <c r="M49"/>
      <c r="N49"/>
      <c r="O49"/>
      <c r="P49"/>
    </row>
    <row r="50" spans="1:16">
      <c r="A50" s="68" t="s">
        <v>112</v>
      </c>
      <c r="B50" s="69"/>
      <c r="C50" s="36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</sheetData>
  <printOptions horizontalCentered="1"/>
  <pageMargins left="0.5" right="0.5" top="0.75" bottom="0.52" header="0.25" footer="0.25"/>
  <pageSetup scale="74" orientation="landscape" verticalDpi="300" r:id="rId1"/>
  <headerFooter alignWithMargins="0">
    <oddHeader>&amp;RCASE NO. 2021-00214
FR_16(8)(g) 
ATTACHMENT 1</oddHeader>
    <oddFooter>&amp;RSchedule &amp;A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G.1</vt:lpstr>
      <vt:lpstr>G.2</vt:lpstr>
      <vt:lpstr>G.3</vt:lpstr>
      <vt:lpstr>G.1!Print_Area</vt:lpstr>
      <vt:lpstr>G.2!Print_Area</vt:lpstr>
      <vt:lpstr>G.3!Print_Area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 Troup</dc:creator>
  <cp:lastModifiedBy>Sharon E Whiting</cp:lastModifiedBy>
  <dcterms:created xsi:type="dcterms:W3CDTF">2021-06-22T15:25:27Z</dcterms:created>
  <dcterms:modified xsi:type="dcterms:W3CDTF">2021-06-23T14:14:06Z</dcterms:modified>
</cp:coreProperties>
</file>