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W:\MdSt-KY Rate Case\2021 KY Rate Case\Direct Testimony\Christian\"/>
    </mc:Choice>
  </mc:AlternateContent>
  <xr:revisionPtr revIDLastSave="0" documentId="13_ncr:1_{BB759D91-A6AA-4073-ACD3-F7B6CF63E949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DATA INPUT" sheetId="28" r:id="rId1"/>
    <sheet name="ATO-CWC1A" sheetId="63" r:id="rId2"/>
    <sheet name="ATO-CWC1B" sheetId="62" r:id="rId3"/>
    <sheet name="ATO-CWC2" sheetId="9" r:id="rId4"/>
    <sheet name="WP 2-1" sheetId="10" r:id="rId5"/>
    <sheet name="WP 2-2" sheetId="47" r:id="rId6"/>
    <sheet name="ATO-CWC3" sheetId="16" r:id="rId7"/>
    <sheet name="ATO-CWC4" sheetId="4" r:id="rId8"/>
    <sheet name="ATO-CWC5" sheetId="15" r:id="rId9"/>
    <sheet name="WP 5-1" sheetId="65" r:id="rId10"/>
    <sheet name="WP 5-2" sheetId="66" r:id="rId11"/>
    <sheet name="ATO-CWC6" sheetId="6" r:id="rId12"/>
    <sheet name="ATO-CWC7" sheetId="5" r:id="rId13"/>
    <sheet name="ATO-CWC8" sheetId="60" r:id="rId14"/>
    <sheet name="ATO-CWC9" sheetId="61" r:id="rId15"/>
  </sheets>
  <externalReferences>
    <externalReference r:id="rId16"/>
  </externalReferences>
  <definedNames>
    <definedName name="_Dist_Bin" localSheetId="10" hidden="1">#REF!</definedName>
    <definedName name="_Dist_Bin" hidden="1">#REF!</definedName>
    <definedName name="_Dist_Values" localSheetId="10" hidden="1">#REF!</definedName>
    <definedName name="_Dist_Values" hidden="1">#REF!</definedName>
    <definedName name="_Fill" localSheetId="10" hidden="1">#REF!</definedName>
    <definedName name="_Fill" hidden="1">#REF!</definedName>
    <definedName name="_xlnm._FilterDatabase" localSheetId="3" hidden="1">'ATO-CWC2'!$A$7:$I$2695</definedName>
    <definedName name="_xlnm._FilterDatabase" localSheetId="6" hidden="1">'ATO-CWC3'!$A$7:$P$7</definedName>
    <definedName name="_xlnm._FilterDatabase" localSheetId="8" hidden="1">'ATO-CWC5'!$A$9:$F$5997</definedName>
    <definedName name="_xlnm._FilterDatabase" localSheetId="9" hidden="1">'WP 5-1'!$A$7:$O$392</definedName>
    <definedName name="_xlnm._FilterDatabase" localSheetId="10" hidden="1">'WP 5-2'!$A$7:$O$24</definedName>
    <definedName name="_Key1" localSheetId="14" hidden="1">#REF!</definedName>
    <definedName name="_Key1" localSheetId="10" hidden="1">#REF!</definedName>
    <definedName name="_Key1" hidden="1">#REF!</definedName>
    <definedName name="_Order1" hidden="1">255</definedName>
    <definedName name="_Order2" hidden="1">255</definedName>
    <definedName name="_Sort" localSheetId="14" hidden="1">#REF!</definedName>
    <definedName name="_Sort" localSheetId="10" hidden="1">#REF!</definedName>
    <definedName name="_Sort" hidden="1">#REF!</definedName>
    <definedName name="ATTR_YEAR">'DATA INPUT'!$C$10</definedName>
    <definedName name="COMPANY" localSheetId="5">'[1]DATA INPUT'!$C$7</definedName>
    <definedName name="COMPANY">'DATA INPUT'!$C$7</definedName>
    <definedName name="COMPOSITE">'DATA INPUT'!$C$15</definedName>
    <definedName name="csDesignMode">1</definedName>
    <definedName name="FEDERAL">'DATA INPUT'!$C$13</definedName>
    <definedName name="JURISDICTION">'DATA INPUT'!$C$8</definedName>
    <definedName name="_xlnm.Print_Area" localSheetId="6">'ATO-CWC3'!$A$1:$L$130</definedName>
    <definedName name="_xlnm.Print_Area" localSheetId="7">'ATO-CWC4'!$A$1:$J$61</definedName>
    <definedName name="_xlnm.Print_Area" localSheetId="8">'ATO-CWC5'!$A$1:$F$18</definedName>
    <definedName name="_xlnm.Print_Area" localSheetId="11">'ATO-CWC6'!$A$1:$F$39</definedName>
    <definedName name="_xlnm.Print_Area" localSheetId="13">'ATO-CWC8'!$A$1:$I$16</definedName>
    <definedName name="_xlnm.Print_Area" localSheetId="14">'ATO-CWC9'!$A$1:$U$27</definedName>
    <definedName name="_xlnm.Print_Area" localSheetId="0">'DATA INPUT'!$A$1:$D$17</definedName>
    <definedName name="_xlnm.Print_Area" localSheetId="4">'WP 2-1'!$A$1:$G$380</definedName>
    <definedName name="_xlnm.Print_Area" localSheetId="9">'WP 5-1'!$A$1:$O$392</definedName>
    <definedName name="_xlnm.Print_Area" localSheetId="10">'WP 5-2'!$A$1:$O$32</definedName>
    <definedName name="_xlnm.Print_Area">'WP 2-1'!$C$8:$G$305</definedName>
    <definedName name="_xlnm.Print_Titles" localSheetId="6">'ATO-CWC3'!$1:$7</definedName>
    <definedName name="_xlnm.Print_Titles" localSheetId="7">'ATO-CWC4'!$1:$5</definedName>
    <definedName name="_xlnm.Print_Titles" localSheetId="8">'ATO-CWC5'!$2:$9</definedName>
    <definedName name="_xlnm.Print_Titles" localSheetId="4">'WP 2-1'!$1:$6</definedName>
    <definedName name="_xlnm.Print_Titles" localSheetId="9">'WP 5-1'!$1:$7</definedName>
    <definedName name="_xlnm.Print_Titles" localSheetId="10">'WP 5-2'!$1:$7</definedName>
    <definedName name="testyear">'DATA INPUT'!$C$9</definedName>
    <definedName name="WP_2_1">'WP 2-1'!$C$8:$G$305</definedName>
    <definedName name="WP_9_1" localSheetId="14">'ATO-CWC9'!$A$4:$F$19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61" l="1"/>
  <c r="S20" i="61" s="1"/>
  <c r="T20" i="61" s="1"/>
  <c r="Q20" i="61"/>
  <c r="Q21" i="61"/>
  <c r="Q22" i="61"/>
  <c r="Q23" i="61"/>
  <c r="Q24" i="61"/>
  <c r="S23" i="61" l="1"/>
  <c r="T23" i="61" s="1"/>
  <c r="S22" i="61"/>
  <c r="T22" i="61" s="1"/>
  <c r="S21" i="61"/>
  <c r="T21" i="61" s="1"/>
  <c r="I27" i="47" l="1"/>
  <c r="A3" i="47"/>
  <c r="A1" i="47"/>
  <c r="N27" i="47" l="1"/>
  <c r="C27" i="47"/>
  <c r="J27" i="47"/>
  <c r="M27" i="47"/>
  <c r="E27" i="47"/>
  <c r="H27" i="47"/>
  <c r="F27" i="47"/>
  <c r="L27" i="47"/>
  <c r="D27" i="47"/>
  <c r="K27" i="47"/>
  <c r="G27" i="47"/>
  <c r="G18" i="47"/>
  <c r="G20" i="47" s="1"/>
  <c r="G29" i="47" s="1"/>
  <c r="J18" i="47"/>
  <c r="J20" i="47" s="1"/>
  <c r="H18" i="47"/>
  <c r="H20" i="47" s="1"/>
  <c r="H29" i="47" s="1"/>
  <c r="K18" i="47"/>
  <c r="K20" i="47" s="1"/>
  <c r="K29" i="47" s="1"/>
  <c r="E18" i="47"/>
  <c r="E20" i="47" s="1"/>
  <c r="E29" i="47" s="1"/>
  <c r="M18" i="47"/>
  <c r="M20" i="47" s="1"/>
  <c r="N18" i="47"/>
  <c r="N20" i="47" s="1"/>
  <c r="N29" i="47" s="1"/>
  <c r="F18" i="47"/>
  <c r="F20" i="47" s="1"/>
  <c r="F29" i="47" s="1"/>
  <c r="I18" i="47"/>
  <c r="I20" i="47" s="1"/>
  <c r="I29" i="47" s="1"/>
  <c r="L18" i="47"/>
  <c r="L20" i="47" s="1"/>
  <c r="D18" i="47"/>
  <c r="D20" i="47" s="1"/>
  <c r="D29" i="47" s="1"/>
  <c r="C18" i="47"/>
  <c r="C20" i="47" s="1"/>
  <c r="C29" i="47" s="1"/>
  <c r="L29" i="47" l="1"/>
  <c r="M29" i="47"/>
  <c r="J29" i="47"/>
  <c r="G33" i="4" l="1"/>
  <c r="G34" i="4" s="1"/>
  <c r="G35" i="4" s="1"/>
  <c r="G36" i="4" s="1"/>
  <c r="G37" i="4" s="1"/>
  <c r="G38" i="4" s="1"/>
  <c r="C33" i="4"/>
  <c r="D33" i="4" s="1"/>
  <c r="C34" i="4" s="1"/>
  <c r="D34" i="4" s="1"/>
  <c r="C35" i="4" s="1"/>
  <c r="D35" i="4" s="1"/>
  <c r="C36" i="4" s="1"/>
  <c r="D36" i="4" s="1"/>
  <c r="C37" i="4" s="1"/>
  <c r="D37" i="4" s="1"/>
  <c r="C38" i="4" s="1"/>
  <c r="D38" i="4" s="1"/>
  <c r="I11" i="65" l="1"/>
  <c r="I12" i="65"/>
  <c r="I14" i="65"/>
  <c r="I19" i="65"/>
  <c r="I20" i="65"/>
  <c r="I35" i="65"/>
  <c r="I36" i="65"/>
  <c r="I80" i="65"/>
  <c r="Q83" i="65"/>
  <c r="I136" i="65"/>
  <c r="I148" i="65"/>
  <c r="I151" i="65"/>
  <c r="K151" i="65" s="1"/>
  <c r="L151" i="65" s="1"/>
  <c r="I185" i="65"/>
  <c r="I186" i="65"/>
  <c r="K186" i="65" s="1"/>
  <c r="L186" i="65" s="1"/>
  <c r="I194" i="65"/>
  <c r="K194" i="65" s="1"/>
  <c r="L194" i="65" s="1"/>
  <c r="I233" i="65"/>
  <c r="I234" i="65"/>
  <c r="K234" i="65" s="1"/>
  <c r="I235" i="65"/>
  <c r="K235" i="65" s="1"/>
  <c r="I239" i="65"/>
  <c r="K239" i="65" s="1"/>
  <c r="L239" i="65" s="1"/>
  <c r="I269" i="65"/>
  <c r="K269" i="65" s="1"/>
  <c r="I271" i="65"/>
  <c r="K271" i="65" s="1"/>
  <c r="I280" i="65"/>
  <c r="I297" i="65"/>
  <c r="I298" i="65"/>
  <c r="I299" i="65"/>
  <c r="I301" i="65"/>
  <c r="I331" i="65"/>
  <c r="I343" i="65"/>
  <c r="I367" i="65"/>
  <c r="I371" i="65"/>
  <c r="I379" i="65"/>
  <c r="I83" i="65" l="1"/>
  <c r="I388" i="65"/>
  <c r="I385" i="65"/>
  <c r="K385" i="65" s="1"/>
  <c r="I384" i="65"/>
  <c r="K384" i="65" s="1"/>
  <c r="L384" i="65" s="1"/>
  <c r="I381" i="65"/>
  <c r="K381" i="65" s="1"/>
  <c r="I380" i="65"/>
  <c r="I359" i="65"/>
  <c r="K359" i="65" s="1"/>
  <c r="L359" i="65" s="1"/>
  <c r="I347" i="65"/>
  <c r="K347" i="65" s="1"/>
  <c r="L347" i="65" s="1"/>
  <c r="I345" i="65"/>
  <c r="K345" i="65" s="1"/>
  <c r="L345" i="65" s="1"/>
  <c r="I344" i="65"/>
  <c r="I315" i="65"/>
  <c r="K315" i="65" s="1"/>
  <c r="L315" i="65" s="1"/>
  <c r="I311" i="65"/>
  <c r="K311" i="65" s="1"/>
  <c r="L311" i="65" s="1"/>
  <c r="I304" i="65"/>
  <c r="K304" i="65" s="1"/>
  <c r="L304" i="65" s="1"/>
  <c r="I302" i="65"/>
  <c r="I160" i="65"/>
  <c r="I159" i="65"/>
  <c r="K159" i="65" s="1"/>
  <c r="L159" i="65" s="1"/>
  <c r="I156" i="65"/>
  <c r="K379" i="65"/>
  <c r="L379" i="65" s="1"/>
  <c r="K371" i="65"/>
  <c r="K367" i="65"/>
  <c r="L367" i="65" s="1"/>
  <c r="K343" i="65"/>
  <c r="L343" i="65" s="1"/>
  <c r="K331" i="65"/>
  <c r="L331" i="65" s="1"/>
  <c r="I287" i="65"/>
  <c r="I286" i="65"/>
  <c r="K286" i="65" s="1"/>
  <c r="L286" i="65" s="1"/>
  <c r="I284" i="65"/>
  <c r="I258" i="65"/>
  <c r="K258" i="65" s="1"/>
  <c r="L258" i="65" s="1"/>
  <c r="I257" i="65"/>
  <c r="I256" i="65"/>
  <c r="K256" i="65" s="1"/>
  <c r="L256" i="65" s="1"/>
  <c r="I254" i="65"/>
  <c r="I251" i="65"/>
  <c r="K251" i="65" s="1"/>
  <c r="L251" i="65" s="1"/>
  <c r="I247" i="65"/>
  <c r="K247" i="65" s="1"/>
  <c r="I244" i="65"/>
  <c r="K244" i="65" s="1"/>
  <c r="L244" i="65" s="1"/>
  <c r="I241" i="65"/>
  <c r="K241" i="65" s="1"/>
  <c r="I240" i="65"/>
  <c r="I223" i="65"/>
  <c r="K223" i="65" s="1"/>
  <c r="I218" i="65"/>
  <c r="K218" i="65" s="1"/>
  <c r="L218" i="65" s="1"/>
  <c r="I210" i="65"/>
  <c r="K210" i="65" s="1"/>
  <c r="L210" i="65" s="1"/>
  <c r="I208" i="65"/>
  <c r="I202" i="65"/>
  <c r="K202" i="65" s="1"/>
  <c r="L202" i="65" s="1"/>
  <c r="I173" i="65"/>
  <c r="K173" i="65" s="1"/>
  <c r="L173" i="65" s="1"/>
  <c r="I164" i="65"/>
  <c r="I133" i="65"/>
  <c r="I124" i="65"/>
  <c r="I116" i="65"/>
  <c r="I114" i="65"/>
  <c r="K114" i="65" s="1"/>
  <c r="L114" i="65" s="1"/>
  <c r="I108" i="65"/>
  <c r="I94" i="65"/>
  <c r="I84" i="65"/>
  <c r="I82" i="65"/>
  <c r="I68" i="65"/>
  <c r="I66" i="65"/>
  <c r="I62" i="65"/>
  <c r="I58" i="65"/>
  <c r="I54" i="65"/>
  <c r="I48" i="65"/>
  <c r="I46" i="65"/>
  <c r="K46" i="65" s="1"/>
  <c r="L46" i="65" s="1"/>
  <c r="I42" i="65"/>
  <c r="I38" i="65"/>
  <c r="I30" i="65"/>
  <c r="Q82" i="65"/>
  <c r="I307" i="65"/>
  <c r="I306" i="65"/>
  <c r="K306" i="65" s="1"/>
  <c r="L306" i="65" s="1"/>
  <c r="I296" i="65"/>
  <c r="K296" i="65" s="1"/>
  <c r="L296" i="65" s="1"/>
  <c r="I295" i="65"/>
  <c r="K295" i="65" s="1"/>
  <c r="L295" i="65" s="1"/>
  <c r="I294" i="65"/>
  <c r="K294" i="65" s="1"/>
  <c r="L294" i="65" s="1"/>
  <c r="I292" i="65"/>
  <c r="K292" i="65" s="1"/>
  <c r="L292" i="65" s="1"/>
  <c r="I289" i="65"/>
  <c r="I168" i="65"/>
  <c r="K168" i="65" s="1"/>
  <c r="L168" i="65" s="1"/>
  <c r="I167" i="65"/>
  <c r="K167" i="65" s="1"/>
  <c r="L167" i="65" s="1"/>
  <c r="I166" i="65"/>
  <c r="I149" i="65"/>
  <c r="I144" i="65"/>
  <c r="K144" i="65" s="1"/>
  <c r="L144" i="65" s="1"/>
  <c r="I143" i="65"/>
  <c r="K143" i="65" s="1"/>
  <c r="L143" i="65" s="1"/>
  <c r="I140" i="65"/>
  <c r="I135" i="65"/>
  <c r="I282" i="65"/>
  <c r="K282" i="65" s="1"/>
  <c r="L282" i="65" s="1"/>
  <c r="I281" i="65"/>
  <c r="K280" i="65"/>
  <c r="L280" i="65" s="1"/>
  <c r="I274" i="65"/>
  <c r="K274" i="65" s="1"/>
  <c r="L274" i="65" s="1"/>
  <c r="I267" i="65"/>
  <c r="K267" i="65" s="1"/>
  <c r="L267" i="65" s="1"/>
  <c r="I263" i="65"/>
  <c r="K263" i="65" s="1"/>
  <c r="L263" i="65" s="1"/>
  <c r="I262" i="65"/>
  <c r="I132" i="65"/>
  <c r="I130" i="65"/>
  <c r="K130" i="65" s="1"/>
  <c r="L130" i="65" s="1"/>
  <c r="I129" i="65"/>
  <c r="I128" i="65"/>
  <c r="I110" i="65"/>
  <c r="I98" i="65"/>
  <c r="K98" i="65" s="1"/>
  <c r="L98" i="65" s="1"/>
  <c r="I97" i="65"/>
  <c r="I96" i="65"/>
  <c r="I92" i="65"/>
  <c r="I91" i="65"/>
  <c r="K91" i="65" s="1"/>
  <c r="L91" i="65" s="1"/>
  <c r="I88" i="65"/>
  <c r="I87" i="65"/>
  <c r="I78" i="65"/>
  <c r="I74" i="65"/>
  <c r="K74" i="65" s="1"/>
  <c r="L74" i="65" s="1"/>
  <c r="I70" i="65"/>
  <c r="L271" i="65"/>
  <c r="I375" i="65"/>
  <c r="K375" i="65" s="1"/>
  <c r="L375" i="65" s="1"/>
  <c r="I363" i="65"/>
  <c r="K363" i="65" s="1"/>
  <c r="L363" i="65" s="1"/>
  <c r="I361" i="65"/>
  <c r="K361" i="65" s="1"/>
  <c r="L361" i="65" s="1"/>
  <c r="I360" i="65"/>
  <c r="K360" i="65" s="1"/>
  <c r="L360" i="65" s="1"/>
  <c r="I253" i="65"/>
  <c r="K253" i="65" s="1"/>
  <c r="I237" i="65"/>
  <c r="K237" i="65" s="1"/>
  <c r="L237" i="65" s="1"/>
  <c r="I232" i="65"/>
  <c r="K232" i="65" s="1"/>
  <c r="L232" i="65" s="1"/>
  <c r="I231" i="65"/>
  <c r="K231" i="65" s="1"/>
  <c r="I230" i="65"/>
  <c r="I228" i="65"/>
  <c r="K228" i="65" s="1"/>
  <c r="L228" i="65" s="1"/>
  <c r="I225" i="65"/>
  <c r="K225" i="65" s="1"/>
  <c r="L225" i="65" s="1"/>
  <c r="I64" i="65"/>
  <c r="K64" i="65" s="1"/>
  <c r="L64" i="65" s="1"/>
  <c r="I52" i="65"/>
  <c r="K52" i="65" s="1"/>
  <c r="L52" i="65" s="1"/>
  <c r="I51" i="65"/>
  <c r="K51" i="65" s="1"/>
  <c r="L51" i="65" s="1"/>
  <c r="I32" i="65"/>
  <c r="L371" i="65"/>
  <c r="L235" i="65"/>
  <c r="L234" i="65"/>
  <c r="K233" i="65"/>
  <c r="L233" i="65" s="1"/>
  <c r="I26" i="65"/>
  <c r="I22" i="65"/>
  <c r="K22" i="65" s="1"/>
  <c r="L22" i="65" s="1"/>
  <c r="I16" i="65"/>
  <c r="I355" i="65"/>
  <c r="I351" i="65"/>
  <c r="I341" i="65"/>
  <c r="K341" i="65" s="1"/>
  <c r="L341" i="65" s="1"/>
  <c r="I340" i="65"/>
  <c r="I337" i="65"/>
  <c r="K337" i="65" s="1"/>
  <c r="L337" i="65" s="1"/>
  <c r="I336" i="65"/>
  <c r="I333" i="65"/>
  <c r="K333" i="65" s="1"/>
  <c r="L333" i="65" s="1"/>
  <c r="I332" i="65"/>
  <c r="I327" i="65"/>
  <c r="K327" i="65" s="1"/>
  <c r="L327" i="65" s="1"/>
  <c r="I325" i="65"/>
  <c r="K325" i="65" s="1"/>
  <c r="I324" i="65"/>
  <c r="K324" i="65" s="1"/>
  <c r="L324" i="65" s="1"/>
  <c r="I321" i="65"/>
  <c r="K321" i="65" s="1"/>
  <c r="I320" i="65"/>
  <c r="I317" i="65"/>
  <c r="K317" i="65" s="1"/>
  <c r="L317" i="65" s="1"/>
  <c r="I316" i="65"/>
  <c r="K316" i="65" s="1"/>
  <c r="L316" i="65" s="1"/>
  <c r="I221" i="65"/>
  <c r="I219" i="65"/>
  <c r="I216" i="65"/>
  <c r="K216" i="65" s="1"/>
  <c r="L216" i="65" s="1"/>
  <c r="I215" i="65"/>
  <c r="K215" i="65" s="1"/>
  <c r="L215" i="65" s="1"/>
  <c r="I214" i="65"/>
  <c r="K214" i="65" s="1"/>
  <c r="L214" i="65" s="1"/>
  <c r="I213" i="65"/>
  <c r="K213" i="65" s="1"/>
  <c r="I212" i="65"/>
  <c r="K212" i="65" s="1"/>
  <c r="I211" i="65"/>
  <c r="K211" i="65" s="1"/>
  <c r="L211" i="65" s="1"/>
  <c r="I207" i="65"/>
  <c r="I206" i="65"/>
  <c r="K206" i="65" s="1"/>
  <c r="L206" i="65" s="1"/>
  <c r="I205" i="65"/>
  <c r="K205" i="65" s="1"/>
  <c r="I204" i="65"/>
  <c r="K204" i="65" s="1"/>
  <c r="L204" i="65" s="1"/>
  <c r="I203" i="65"/>
  <c r="K203" i="65" s="1"/>
  <c r="L203" i="65" s="1"/>
  <c r="I192" i="65"/>
  <c r="K192" i="65" s="1"/>
  <c r="L192" i="65" s="1"/>
  <c r="I184" i="65"/>
  <c r="I176" i="65"/>
  <c r="K176" i="65" s="1"/>
  <c r="L176" i="65" s="1"/>
  <c r="K110" i="65"/>
  <c r="L110" i="65" s="1"/>
  <c r="K35" i="65"/>
  <c r="L35" i="65" s="1"/>
  <c r="I357" i="65"/>
  <c r="K357" i="65" s="1"/>
  <c r="L357" i="65" s="1"/>
  <c r="I356" i="65"/>
  <c r="I353" i="65"/>
  <c r="K353" i="65" s="1"/>
  <c r="L353" i="65" s="1"/>
  <c r="I352" i="65"/>
  <c r="I349" i="65"/>
  <c r="K349" i="65" s="1"/>
  <c r="L349" i="65" s="1"/>
  <c r="I348" i="65"/>
  <c r="I303" i="65"/>
  <c r="I266" i="65"/>
  <c r="K266" i="65" s="1"/>
  <c r="L266" i="65" s="1"/>
  <c r="I226" i="65"/>
  <c r="K226" i="65" s="1"/>
  <c r="L226" i="65" s="1"/>
  <c r="I222" i="65"/>
  <c r="K222" i="65" s="1"/>
  <c r="L222" i="65" s="1"/>
  <c r="I220" i="65"/>
  <c r="K220" i="65" s="1"/>
  <c r="L220" i="65" s="1"/>
  <c r="I201" i="65"/>
  <c r="I200" i="65"/>
  <c r="K200" i="65" s="1"/>
  <c r="L200" i="65" s="1"/>
  <c r="I183" i="65"/>
  <c r="I182" i="65"/>
  <c r="K182" i="65" s="1"/>
  <c r="L182" i="65" s="1"/>
  <c r="I181" i="65"/>
  <c r="K181" i="65" s="1"/>
  <c r="I180" i="65"/>
  <c r="K180" i="65" s="1"/>
  <c r="L180" i="65" s="1"/>
  <c r="I179" i="65"/>
  <c r="K179" i="65" s="1"/>
  <c r="L179" i="65" s="1"/>
  <c r="I178" i="65"/>
  <c r="I177" i="65"/>
  <c r="K177" i="65" s="1"/>
  <c r="I172" i="65"/>
  <c r="K172" i="65" s="1"/>
  <c r="L172" i="65" s="1"/>
  <c r="I165" i="65"/>
  <c r="K165" i="65" s="1"/>
  <c r="L165" i="65" s="1"/>
  <c r="K83" i="65"/>
  <c r="L83" i="65" s="1"/>
  <c r="I44" i="65"/>
  <c r="I43" i="65"/>
  <c r="K43" i="65" s="1"/>
  <c r="L43" i="65" s="1"/>
  <c r="I40" i="65"/>
  <c r="I39" i="65"/>
  <c r="K39" i="65" s="1"/>
  <c r="L39" i="65" s="1"/>
  <c r="I34" i="65"/>
  <c r="K355" i="65"/>
  <c r="L355" i="65" s="1"/>
  <c r="K221" i="65"/>
  <c r="I290" i="65"/>
  <c r="K290" i="65" s="1"/>
  <c r="L290" i="65" s="1"/>
  <c r="K284" i="65"/>
  <c r="L284" i="65" s="1"/>
  <c r="I265" i="65"/>
  <c r="I264" i="65"/>
  <c r="K264" i="65" s="1"/>
  <c r="L264" i="65" s="1"/>
  <c r="K257" i="65"/>
  <c r="L257" i="65" s="1"/>
  <c r="K254" i="65"/>
  <c r="L254" i="65" s="1"/>
  <c r="I217" i="65"/>
  <c r="K217" i="65" s="1"/>
  <c r="L217" i="65" s="1"/>
  <c r="I199" i="65"/>
  <c r="K199" i="65" s="1"/>
  <c r="L199" i="65" s="1"/>
  <c r="I198" i="65"/>
  <c r="K198" i="65" s="1"/>
  <c r="L198" i="65" s="1"/>
  <c r="I197" i="65"/>
  <c r="K197" i="65" s="1"/>
  <c r="I196" i="65"/>
  <c r="K196" i="65" s="1"/>
  <c r="L196" i="65" s="1"/>
  <c r="I195" i="65"/>
  <c r="K195" i="65" s="1"/>
  <c r="L195" i="65" s="1"/>
  <c r="I163" i="65"/>
  <c r="I162" i="65"/>
  <c r="I161" i="65"/>
  <c r="I157" i="65"/>
  <c r="K157" i="65" s="1"/>
  <c r="L157" i="65" s="1"/>
  <c r="I152" i="65"/>
  <c r="K149" i="65"/>
  <c r="L149" i="65" s="1"/>
  <c r="I119" i="65"/>
  <c r="K119" i="65" s="1"/>
  <c r="L119" i="65" s="1"/>
  <c r="I118" i="65"/>
  <c r="K118" i="65" s="1"/>
  <c r="I117" i="65"/>
  <c r="I115" i="65"/>
  <c r="K115" i="65" s="1"/>
  <c r="L115" i="65" s="1"/>
  <c r="I111" i="65"/>
  <c r="K111" i="65" s="1"/>
  <c r="L111" i="65" s="1"/>
  <c r="K108" i="65"/>
  <c r="L108" i="65" s="1"/>
  <c r="I76" i="65"/>
  <c r="K76" i="65" s="1"/>
  <c r="L76" i="65" s="1"/>
  <c r="I75" i="65"/>
  <c r="I72" i="65"/>
  <c r="K72" i="65" s="1"/>
  <c r="L72" i="65" s="1"/>
  <c r="I71" i="65"/>
  <c r="K19" i="65"/>
  <c r="K298" i="65"/>
  <c r="L298" i="65" s="1"/>
  <c r="K219" i="65"/>
  <c r="L219" i="65" s="1"/>
  <c r="I339" i="65"/>
  <c r="K339" i="65" s="1"/>
  <c r="L339" i="65" s="1"/>
  <c r="I335" i="65"/>
  <c r="K335" i="65" s="1"/>
  <c r="L335" i="65" s="1"/>
  <c r="I329" i="65"/>
  <c r="K329" i="65" s="1"/>
  <c r="L329" i="65" s="1"/>
  <c r="I328" i="65"/>
  <c r="K328" i="65" s="1"/>
  <c r="L328" i="65" s="1"/>
  <c r="I285" i="65"/>
  <c r="I283" i="65"/>
  <c r="I255" i="65"/>
  <c r="K255" i="65" s="1"/>
  <c r="L255" i="65" s="1"/>
  <c r="I252" i="65"/>
  <c r="K252" i="65" s="1"/>
  <c r="L252" i="65" s="1"/>
  <c r="K208" i="65"/>
  <c r="L208" i="65" s="1"/>
  <c r="I193" i="65"/>
  <c r="I150" i="65"/>
  <c r="K150" i="65" s="1"/>
  <c r="L150" i="65" s="1"/>
  <c r="I67" i="65"/>
  <c r="K67" i="65" s="1"/>
  <c r="L67" i="65" s="1"/>
  <c r="I28" i="65"/>
  <c r="I27" i="65"/>
  <c r="I24" i="65"/>
  <c r="K24" i="65" s="1"/>
  <c r="L24" i="65" s="1"/>
  <c r="I23" i="65"/>
  <c r="K23" i="65" s="1"/>
  <c r="L23" i="65" s="1"/>
  <c r="I18" i="65"/>
  <c r="L325" i="65"/>
  <c r="L241" i="65"/>
  <c r="L212" i="65"/>
  <c r="K184" i="65"/>
  <c r="L184" i="65" s="1"/>
  <c r="K135" i="65"/>
  <c r="L135" i="65" s="1"/>
  <c r="K97" i="65"/>
  <c r="L97" i="65" s="1"/>
  <c r="K96" i="65"/>
  <c r="L96" i="65" s="1"/>
  <c r="L385" i="65"/>
  <c r="L381" i="65"/>
  <c r="L321" i="65"/>
  <c r="I387" i="65"/>
  <c r="K387" i="65" s="1"/>
  <c r="L387" i="65" s="1"/>
  <c r="I383" i="65"/>
  <c r="K383" i="65" s="1"/>
  <c r="L383" i="65" s="1"/>
  <c r="I377" i="65"/>
  <c r="K377" i="65" s="1"/>
  <c r="L377" i="65" s="1"/>
  <c r="I376" i="65"/>
  <c r="I323" i="65"/>
  <c r="K323" i="65" s="1"/>
  <c r="L323" i="65" s="1"/>
  <c r="I319" i="65"/>
  <c r="K319" i="65" s="1"/>
  <c r="L319" i="65" s="1"/>
  <c r="I313" i="65"/>
  <c r="K313" i="65" s="1"/>
  <c r="L313" i="65" s="1"/>
  <c r="I312" i="65"/>
  <c r="K312" i="65" s="1"/>
  <c r="L312" i="65" s="1"/>
  <c r="I279" i="65"/>
  <c r="K279" i="65" s="1"/>
  <c r="L279" i="65" s="1"/>
  <c r="I278" i="65"/>
  <c r="K278" i="65" s="1"/>
  <c r="L278" i="65" s="1"/>
  <c r="I276" i="65"/>
  <c r="K276" i="65" s="1"/>
  <c r="L276" i="65" s="1"/>
  <c r="I250" i="65"/>
  <c r="K250" i="65" s="1"/>
  <c r="L250" i="65" s="1"/>
  <c r="I249" i="65"/>
  <c r="K249" i="65" s="1"/>
  <c r="I248" i="65"/>
  <c r="K248" i="65" s="1"/>
  <c r="L248" i="65" s="1"/>
  <c r="I242" i="65"/>
  <c r="K242" i="65" s="1"/>
  <c r="L242" i="65" s="1"/>
  <c r="I238" i="65"/>
  <c r="K238" i="65" s="1"/>
  <c r="L238" i="65" s="1"/>
  <c r="I209" i="65"/>
  <c r="I191" i="65"/>
  <c r="I190" i="65"/>
  <c r="K190" i="65" s="1"/>
  <c r="L190" i="65" s="1"/>
  <c r="I189" i="65"/>
  <c r="K189" i="65" s="1"/>
  <c r="L189" i="65" s="1"/>
  <c r="I188" i="65"/>
  <c r="K188" i="65" s="1"/>
  <c r="L188" i="65" s="1"/>
  <c r="I187" i="65"/>
  <c r="K187" i="65" s="1"/>
  <c r="L187" i="65" s="1"/>
  <c r="I141" i="65"/>
  <c r="K141" i="65" s="1"/>
  <c r="L141" i="65" s="1"/>
  <c r="I107" i="65"/>
  <c r="K107" i="65" s="1"/>
  <c r="L107" i="65" s="1"/>
  <c r="I106" i="65"/>
  <c r="K106" i="65" s="1"/>
  <c r="I105" i="65"/>
  <c r="K105" i="65" s="1"/>
  <c r="L105" i="65" s="1"/>
  <c r="I104" i="65"/>
  <c r="K104" i="65" s="1"/>
  <c r="L104" i="65" s="1"/>
  <c r="I100" i="65"/>
  <c r="I60" i="65"/>
  <c r="I59" i="65"/>
  <c r="I56" i="65"/>
  <c r="K56" i="65" s="1"/>
  <c r="L56" i="65" s="1"/>
  <c r="I55" i="65"/>
  <c r="I50" i="65"/>
  <c r="I10" i="65"/>
  <c r="K351" i="65"/>
  <c r="L351" i="65" s="1"/>
  <c r="I373" i="65"/>
  <c r="K373" i="65" s="1"/>
  <c r="L373" i="65" s="1"/>
  <c r="I372" i="65"/>
  <c r="I369" i="65"/>
  <c r="K369" i="65" s="1"/>
  <c r="L369" i="65" s="1"/>
  <c r="I368" i="65"/>
  <c r="K368" i="65" s="1"/>
  <c r="L368" i="65" s="1"/>
  <c r="I365" i="65"/>
  <c r="K365" i="65" s="1"/>
  <c r="L365" i="65" s="1"/>
  <c r="I364" i="65"/>
  <c r="I309" i="65"/>
  <c r="K309" i="65" s="1"/>
  <c r="L309" i="65" s="1"/>
  <c r="I308" i="65"/>
  <c r="I305" i="65"/>
  <c r="I273" i="65"/>
  <c r="I272" i="65"/>
  <c r="K272" i="65" s="1"/>
  <c r="L272" i="65" s="1"/>
  <c r="I270" i="65"/>
  <c r="K270" i="65" s="1"/>
  <c r="L270" i="65" s="1"/>
  <c r="I268" i="65"/>
  <c r="K268" i="65" s="1"/>
  <c r="L268" i="65" s="1"/>
  <c r="I236" i="65"/>
  <c r="K236" i="65" s="1"/>
  <c r="L236" i="65" s="1"/>
  <c r="K94" i="65"/>
  <c r="L94" i="65" s="1"/>
  <c r="I90" i="65"/>
  <c r="K90" i="65" s="1"/>
  <c r="L90" i="65" s="1"/>
  <c r="I86" i="65"/>
  <c r="K160" i="65"/>
  <c r="L160" i="65" s="1"/>
  <c r="I378" i="65"/>
  <c r="K378" i="65" s="1"/>
  <c r="L378" i="65" s="1"/>
  <c r="I362" i="65"/>
  <c r="K362" i="65" s="1"/>
  <c r="L362" i="65" s="1"/>
  <c r="I346" i="65"/>
  <c r="I330" i="65"/>
  <c r="K330" i="65" s="1"/>
  <c r="L330" i="65" s="1"/>
  <c r="I314" i="65"/>
  <c r="K314" i="65" s="1"/>
  <c r="L314" i="65" s="1"/>
  <c r="I288" i="65"/>
  <c r="K288" i="65" s="1"/>
  <c r="L288" i="65" s="1"/>
  <c r="I275" i="65"/>
  <c r="K275" i="65" s="1"/>
  <c r="L275" i="65" s="1"/>
  <c r="I261" i="65"/>
  <c r="K261" i="65" s="1"/>
  <c r="L261" i="65" s="1"/>
  <c r="I260" i="65"/>
  <c r="K260" i="65" s="1"/>
  <c r="L260" i="65" s="1"/>
  <c r="I246" i="65"/>
  <c r="K246" i="65" s="1"/>
  <c r="L246" i="65" s="1"/>
  <c r="K230" i="65"/>
  <c r="I224" i="65"/>
  <c r="K224" i="65" s="1"/>
  <c r="L224" i="65" s="1"/>
  <c r="I175" i="65"/>
  <c r="K175" i="65" s="1"/>
  <c r="L175" i="65" s="1"/>
  <c r="K148" i="65"/>
  <c r="L148" i="65" s="1"/>
  <c r="I139" i="65"/>
  <c r="K139" i="65" s="1"/>
  <c r="L139" i="65" s="1"/>
  <c r="I138" i="65"/>
  <c r="K138" i="65" s="1"/>
  <c r="L138" i="65" s="1"/>
  <c r="I137" i="65"/>
  <c r="K137" i="65" s="1"/>
  <c r="L137" i="65" s="1"/>
  <c r="I127" i="65"/>
  <c r="K127" i="65" s="1"/>
  <c r="L127" i="65" s="1"/>
  <c r="I126" i="65"/>
  <c r="K126" i="65" s="1"/>
  <c r="L126" i="65" s="1"/>
  <c r="K124" i="65"/>
  <c r="L124" i="65" s="1"/>
  <c r="I113" i="65"/>
  <c r="I112" i="65"/>
  <c r="K112" i="65" s="1"/>
  <c r="L112" i="65" s="1"/>
  <c r="I99" i="65"/>
  <c r="K99" i="65" s="1"/>
  <c r="L99" i="65" s="1"/>
  <c r="I85" i="65"/>
  <c r="K85" i="65" s="1"/>
  <c r="L85" i="65" s="1"/>
  <c r="K80" i="65"/>
  <c r="L80" i="65" s="1"/>
  <c r="I69" i="65"/>
  <c r="I53" i="65"/>
  <c r="K48" i="65"/>
  <c r="L48" i="65" s="1"/>
  <c r="I37" i="65"/>
  <c r="K37" i="65" s="1"/>
  <c r="L37" i="65" s="1"/>
  <c r="K32" i="65"/>
  <c r="L32" i="65" s="1"/>
  <c r="I21" i="65"/>
  <c r="K21" i="65" s="1"/>
  <c r="L21" i="65" s="1"/>
  <c r="K16" i="65"/>
  <c r="L16" i="65" s="1"/>
  <c r="K302" i="65"/>
  <c r="L302" i="65" s="1"/>
  <c r="L223" i="65"/>
  <c r="K209" i="65"/>
  <c r="L209" i="65" s="1"/>
  <c r="K201" i="65"/>
  <c r="L201" i="65" s="1"/>
  <c r="K193" i="65"/>
  <c r="L193" i="65" s="1"/>
  <c r="K185" i="65"/>
  <c r="L185" i="65" s="1"/>
  <c r="K163" i="65"/>
  <c r="K161" i="65"/>
  <c r="L161" i="65" s="1"/>
  <c r="I374" i="65"/>
  <c r="K374" i="65" s="1"/>
  <c r="L374" i="65" s="1"/>
  <c r="I358" i="65"/>
  <c r="K358" i="65" s="1"/>
  <c r="L358" i="65" s="1"/>
  <c r="I342" i="65"/>
  <c r="K342" i="65" s="1"/>
  <c r="L342" i="65" s="1"/>
  <c r="I326" i="65"/>
  <c r="I310" i="65"/>
  <c r="K310" i="65" s="1"/>
  <c r="L310" i="65" s="1"/>
  <c r="I300" i="65"/>
  <c r="K300" i="65" s="1"/>
  <c r="L300" i="65" s="1"/>
  <c r="K299" i="65"/>
  <c r="L299" i="65" s="1"/>
  <c r="I259" i="65"/>
  <c r="K259" i="65" s="1"/>
  <c r="L259" i="65" s="1"/>
  <c r="I245" i="65"/>
  <c r="K245" i="65" s="1"/>
  <c r="L245" i="65" s="1"/>
  <c r="I174" i="65"/>
  <c r="K174" i="65" s="1"/>
  <c r="L174" i="65" s="1"/>
  <c r="K133" i="65"/>
  <c r="L133" i="65" s="1"/>
  <c r="K132" i="65"/>
  <c r="L132" i="65" s="1"/>
  <c r="I125" i="65"/>
  <c r="K125" i="65" s="1"/>
  <c r="L125" i="65" s="1"/>
  <c r="I95" i="65"/>
  <c r="K95" i="65" s="1"/>
  <c r="L95" i="65" s="1"/>
  <c r="K92" i="65"/>
  <c r="L92" i="65" s="1"/>
  <c r="I81" i="65"/>
  <c r="I65" i="65"/>
  <c r="K65" i="65" s="1"/>
  <c r="L65" i="65" s="1"/>
  <c r="K60" i="65"/>
  <c r="L60" i="65" s="1"/>
  <c r="I49" i="65"/>
  <c r="K44" i="65"/>
  <c r="L44" i="65" s="1"/>
  <c r="I33" i="65"/>
  <c r="K33" i="65" s="1"/>
  <c r="L33" i="65" s="1"/>
  <c r="K28" i="65"/>
  <c r="L28" i="65" s="1"/>
  <c r="I17" i="65"/>
  <c r="K12" i="65"/>
  <c r="L12" i="65" s="1"/>
  <c r="K265" i="65"/>
  <c r="L265" i="65" s="1"/>
  <c r="K207" i="65"/>
  <c r="L207" i="65" s="1"/>
  <c r="K191" i="65"/>
  <c r="L191" i="65" s="1"/>
  <c r="K183" i="65"/>
  <c r="L183" i="65" s="1"/>
  <c r="K156" i="65"/>
  <c r="L156" i="65" s="1"/>
  <c r="I147" i="65"/>
  <c r="K147" i="65" s="1"/>
  <c r="L147" i="65" s="1"/>
  <c r="I146" i="65"/>
  <c r="K146" i="65" s="1"/>
  <c r="L146" i="65" s="1"/>
  <c r="I145" i="65"/>
  <c r="K145" i="65" s="1"/>
  <c r="L145" i="65" s="1"/>
  <c r="I134" i="65"/>
  <c r="K134" i="65" s="1"/>
  <c r="L134" i="65" s="1"/>
  <c r="K117" i="65"/>
  <c r="L117" i="65" s="1"/>
  <c r="K116" i="65"/>
  <c r="L116" i="65" s="1"/>
  <c r="I109" i="65"/>
  <c r="K109" i="65" s="1"/>
  <c r="L109" i="65" s="1"/>
  <c r="I79" i="65"/>
  <c r="K79" i="65" s="1"/>
  <c r="L79" i="65" s="1"/>
  <c r="I63" i="65"/>
  <c r="K63" i="65" s="1"/>
  <c r="L63" i="65" s="1"/>
  <c r="I47" i="65"/>
  <c r="K47" i="65" s="1"/>
  <c r="L47" i="65" s="1"/>
  <c r="I31" i="65"/>
  <c r="K31" i="65" s="1"/>
  <c r="L31" i="65" s="1"/>
  <c r="I15" i="65"/>
  <c r="K15" i="65" s="1"/>
  <c r="L15" i="65" s="1"/>
  <c r="I386" i="65"/>
  <c r="I370" i="65"/>
  <c r="K370" i="65" s="1"/>
  <c r="L370" i="65" s="1"/>
  <c r="I354" i="65"/>
  <c r="K354" i="65" s="1"/>
  <c r="L354" i="65" s="1"/>
  <c r="I338" i="65"/>
  <c r="K338" i="65" s="1"/>
  <c r="L338" i="65" s="1"/>
  <c r="I322" i="65"/>
  <c r="K322" i="65" s="1"/>
  <c r="L322" i="65" s="1"/>
  <c r="K307" i="65"/>
  <c r="L307" i="65" s="1"/>
  <c r="I293" i="65"/>
  <c r="K283" i="65"/>
  <c r="L283" i="65" s="1"/>
  <c r="K262" i="65"/>
  <c r="L262" i="65" s="1"/>
  <c r="I243" i="65"/>
  <c r="K243" i="65" s="1"/>
  <c r="L243" i="65" s="1"/>
  <c r="K240" i="65"/>
  <c r="L240" i="65" s="1"/>
  <c r="I229" i="65"/>
  <c r="K229" i="65" s="1"/>
  <c r="L229" i="65" s="1"/>
  <c r="I171" i="65"/>
  <c r="K171" i="65" s="1"/>
  <c r="L171" i="65" s="1"/>
  <c r="I170" i="65"/>
  <c r="I169" i="65"/>
  <c r="K169" i="65" s="1"/>
  <c r="L169" i="65" s="1"/>
  <c r="I158" i="65"/>
  <c r="K158" i="65" s="1"/>
  <c r="L158" i="65" s="1"/>
  <c r="K152" i="65"/>
  <c r="L152" i="65" s="1"/>
  <c r="I123" i="65"/>
  <c r="K123" i="65" s="1"/>
  <c r="L123" i="65" s="1"/>
  <c r="I122" i="65"/>
  <c r="K122" i="65" s="1"/>
  <c r="L122" i="65" s="1"/>
  <c r="I121" i="65"/>
  <c r="K121" i="65" s="1"/>
  <c r="L121" i="65" s="1"/>
  <c r="I120" i="65"/>
  <c r="K120" i="65" s="1"/>
  <c r="L120" i="65" s="1"/>
  <c r="K100" i="65"/>
  <c r="L100" i="65" s="1"/>
  <c r="I93" i="65"/>
  <c r="K93" i="65" s="1"/>
  <c r="L93" i="65" s="1"/>
  <c r="K88" i="65"/>
  <c r="L88" i="65" s="1"/>
  <c r="I77" i="65"/>
  <c r="K77" i="65" s="1"/>
  <c r="L77" i="65" s="1"/>
  <c r="I61" i="65"/>
  <c r="K61" i="65" s="1"/>
  <c r="L61" i="65" s="1"/>
  <c r="I45" i="65"/>
  <c r="K45" i="65" s="1"/>
  <c r="L45" i="65" s="1"/>
  <c r="K40" i="65"/>
  <c r="L40" i="65" s="1"/>
  <c r="I29" i="65"/>
  <c r="K29" i="65" s="1"/>
  <c r="L29" i="65" s="1"/>
  <c r="I13" i="65"/>
  <c r="K13" i="65" s="1"/>
  <c r="L13" i="65" s="1"/>
  <c r="L249" i="65"/>
  <c r="L205" i="65"/>
  <c r="L197" i="65"/>
  <c r="L181" i="65"/>
  <c r="K166" i="65"/>
  <c r="L166" i="65" s="1"/>
  <c r="K140" i="65"/>
  <c r="L140" i="65" s="1"/>
  <c r="K129" i="65"/>
  <c r="L129" i="65" s="1"/>
  <c r="L118" i="65"/>
  <c r="L106" i="65"/>
  <c r="I382" i="65"/>
  <c r="K382" i="65" s="1"/>
  <c r="L382" i="65" s="1"/>
  <c r="I366" i="65"/>
  <c r="I350" i="65"/>
  <c r="K350" i="65" s="1"/>
  <c r="L350" i="65" s="1"/>
  <c r="I334" i="65"/>
  <c r="K334" i="65" s="1"/>
  <c r="L334" i="65" s="1"/>
  <c r="I318" i="65"/>
  <c r="K318" i="65" s="1"/>
  <c r="L318" i="65" s="1"/>
  <c r="I291" i="65"/>
  <c r="I277" i="65"/>
  <c r="K277" i="65" s="1"/>
  <c r="L277" i="65" s="1"/>
  <c r="I227" i="65"/>
  <c r="K227" i="65" s="1"/>
  <c r="L227" i="65" s="1"/>
  <c r="K164" i="65"/>
  <c r="L164" i="65" s="1"/>
  <c r="I155" i="65"/>
  <c r="K155" i="65" s="1"/>
  <c r="L155" i="65" s="1"/>
  <c r="I154" i="65"/>
  <c r="K154" i="65" s="1"/>
  <c r="L154" i="65" s="1"/>
  <c r="I153" i="65"/>
  <c r="K153" i="65" s="1"/>
  <c r="L153" i="65" s="1"/>
  <c r="I142" i="65"/>
  <c r="K142" i="65" s="1"/>
  <c r="L142" i="65" s="1"/>
  <c r="K136" i="65"/>
  <c r="L136" i="65" s="1"/>
  <c r="I131" i="65"/>
  <c r="K131" i="65" s="1"/>
  <c r="L131" i="65" s="1"/>
  <c r="K113" i="65"/>
  <c r="L113" i="65" s="1"/>
  <c r="I103" i="65"/>
  <c r="K103" i="65" s="1"/>
  <c r="L103" i="65" s="1"/>
  <c r="I102" i="65"/>
  <c r="K102" i="65" s="1"/>
  <c r="L102" i="65" s="1"/>
  <c r="I101" i="65"/>
  <c r="K101" i="65" s="1"/>
  <c r="L101" i="65" s="1"/>
  <c r="I89" i="65"/>
  <c r="K89" i="65" s="1"/>
  <c r="L89" i="65" s="1"/>
  <c r="K84" i="65"/>
  <c r="L84" i="65" s="1"/>
  <c r="I73" i="65"/>
  <c r="K73" i="65" s="1"/>
  <c r="L73" i="65" s="1"/>
  <c r="K69" i="65"/>
  <c r="L69" i="65" s="1"/>
  <c r="K68" i="65"/>
  <c r="L68" i="65" s="1"/>
  <c r="I57" i="65"/>
  <c r="K57" i="65" s="1"/>
  <c r="L57" i="65" s="1"/>
  <c r="K53" i="65"/>
  <c r="L53" i="65" s="1"/>
  <c r="I41" i="65"/>
  <c r="K41" i="65" s="1"/>
  <c r="L41" i="65" s="1"/>
  <c r="K36" i="65"/>
  <c r="L36" i="65" s="1"/>
  <c r="I25" i="65"/>
  <c r="K20" i="65"/>
  <c r="L20" i="65" s="1"/>
  <c r="K285" i="65"/>
  <c r="L285" i="65" s="1"/>
  <c r="L247" i="65"/>
  <c r="L231" i="65"/>
  <c r="K178" i="65"/>
  <c r="L178" i="65" s="1"/>
  <c r="K380" i="65"/>
  <c r="L380" i="65" s="1"/>
  <c r="K366" i="65"/>
  <c r="L366" i="65" s="1"/>
  <c r="K356" i="65"/>
  <c r="L356" i="65" s="1"/>
  <c r="K352" i="65"/>
  <c r="L352" i="65" s="1"/>
  <c r="K348" i="65"/>
  <c r="L348" i="65" s="1"/>
  <c r="K346" i="65"/>
  <c r="L346" i="65" s="1"/>
  <c r="K344" i="65"/>
  <c r="L344" i="65" s="1"/>
  <c r="K340" i="65"/>
  <c r="L340" i="65" s="1"/>
  <c r="K336" i="65"/>
  <c r="L336" i="65" s="1"/>
  <c r="K332" i="65"/>
  <c r="L332" i="65" s="1"/>
  <c r="K326" i="65"/>
  <c r="L326" i="65" s="1"/>
  <c r="K320" i="65"/>
  <c r="L320" i="65" s="1"/>
  <c r="K308" i="65"/>
  <c r="L308" i="65" s="1"/>
  <c r="K301" i="65"/>
  <c r="L301" i="65" s="1"/>
  <c r="K291" i="65"/>
  <c r="L291" i="65" s="1"/>
  <c r="L269" i="65"/>
  <c r="L253" i="65"/>
  <c r="L230" i="65"/>
  <c r="L221" i="65"/>
  <c r="K388" i="65"/>
  <c r="L388" i="65" s="1"/>
  <c r="K386" i="65"/>
  <c r="L386" i="65" s="1"/>
  <c r="K281" i="65"/>
  <c r="L281" i="65" s="1"/>
  <c r="K162" i="65"/>
  <c r="L162" i="65" s="1"/>
  <c r="K128" i="65"/>
  <c r="L128" i="65" s="1"/>
  <c r="K376" i="65"/>
  <c r="L376" i="65" s="1"/>
  <c r="K372" i="65"/>
  <c r="L372" i="65" s="1"/>
  <c r="K364" i="65"/>
  <c r="L364" i="65" s="1"/>
  <c r="K303" i="65"/>
  <c r="L303" i="65" s="1"/>
  <c r="K287" i="65"/>
  <c r="L287" i="65" s="1"/>
  <c r="L177" i="65"/>
  <c r="K297" i="65"/>
  <c r="L297" i="65" s="1"/>
  <c r="K293" i="65"/>
  <c r="L293" i="65" s="1"/>
  <c r="K305" i="65"/>
  <c r="L305" i="65" s="1"/>
  <c r="L213" i="65"/>
  <c r="K170" i="65"/>
  <c r="L170" i="65" s="1"/>
  <c r="K289" i="65"/>
  <c r="L289" i="65" s="1"/>
  <c r="K273" i="65"/>
  <c r="L273" i="65" s="1"/>
  <c r="K78" i="65"/>
  <c r="L78" i="65" s="1"/>
  <c r="K62" i="65"/>
  <c r="L62" i="65" s="1"/>
  <c r="K30" i="65"/>
  <c r="L30" i="65" s="1"/>
  <c r="K25" i="65"/>
  <c r="L25" i="65" s="1"/>
  <c r="K14" i="65"/>
  <c r="L14" i="65" s="1"/>
  <c r="L19" i="65"/>
  <c r="K82" i="65"/>
  <c r="L82" i="65" s="1"/>
  <c r="K66" i="65"/>
  <c r="L66" i="65" s="1"/>
  <c r="K50" i="65"/>
  <c r="L50" i="65" s="1"/>
  <c r="K34" i="65"/>
  <c r="L34" i="65" s="1"/>
  <c r="K18" i="65"/>
  <c r="L18" i="65" s="1"/>
  <c r="K87" i="65"/>
  <c r="L87" i="65" s="1"/>
  <c r="K71" i="65"/>
  <c r="L71" i="65" s="1"/>
  <c r="K55" i="65"/>
  <c r="L55" i="65" s="1"/>
  <c r="K86" i="65"/>
  <c r="L86" i="65" s="1"/>
  <c r="K81" i="65"/>
  <c r="L81" i="65" s="1"/>
  <c r="K70" i="65"/>
  <c r="L70" i="65" s="1"/>
  <c r="K54" i="65"/>
  <c r="L54" i="65" s="1"/>
  <c r="K49" i="65"/>
  <c r="L49" i="65" s="1"/>
  <c r="K38" i="65"/>
  <c r="L38" i="65" s="1"/>
  <c r="K17" i="65"/>
  <c r="L17" i="65" s="1"/>
  <c r="K75" i="65"/>
  <c r="L75" i="65" s="1"/>
  <c r="K59" i="65"/>
  <c r="L59" i="65" s="1"/>
  <c r="K27" i="65"/>
  <c r="L27" i="65" s="1"/>
  <c r="K11" i="65"/>
  <c r="L11" i="65" s="1"/>
  <c r="K58" i="65"/>
  <c r="L58" i="65" s="1"/>
  <c r="K42" i="65"/>
  <c r="L42" i="65" s="1"/>
  <c r="K26" i="65"/>
  <c r="L26" i="65" s="1"/>
  <c r="K10" i="65"/>
  <c r="L10" i="65" s="1"/>
  <c r="D14" i="5"/>
  <c r="D13" i="5"/>
  <c r="D12" i="5"/>
  <c r="C14" i="5"/>
  <c r="C13" i="5"/>
  <c r="C12" i="5"/>
  <c r="O19" i="47" l="1"/>
  <c r="A4" i="61"/>
  <c r="A3" i="60"/>
  <c r="A3" i="5"/>
  <c r="A4" i="6"/>
  <c r="A3" i="66"/>
  <c r="A3" i="65"/>
  <c r="A4" i="15"/>
  <c r="A3" i="4"/>
  <c r="A3" i="16"/>
  <c r="B3" i="10"/>
  <c r="O26" i="47" l="1"/>
  <c r="J22" i="62"/>
  <c r="J22" i="63"/>
  <c r="D18" i="6" l="1"/>
  <c r="D15" i="6"/>
  <c r="E27" i="6"/>
  <c r="J29" i="62" s="1"/>
  <c r="J29" i="63" l="1"/>
  <c r="J47" i="62"/>
  <c r="A4" i="62" l="1"/>
  <c r="A4" i="63"/>
  <c r="E51" i="4" l="1"/>
  <c r="E50" i="4"/>
  <c r="E48" i="4"/>
  <c r="E47" i="4" l="1"/>
  <c r="E27" i="4"/>
  <c r="F27" i="4" s="1"/>
  <c r="E28" i="4"/>
  <c r="F28" i="4" s="1"/>
  <c r="E29" i="4"/>
  <c r="F29" i="4" s="1"/>
  <c r="E13" i="4"/>
  <c r="F13" i="4" s="1"/>
  <c r="E15" i="4"/>
  <c r="F15" i="4" s="1"/>
  <c r="E14" i="4" l="1"/>
  <c r="F14" i="4" s="1"/>
  <c r="E25" i="4"/>
  <c r="F25" i="4" s="1"/>
  <c r="E21" i="4"/>
  <c r="F21" i="4" s="1"/>
  <c r="E35" i="4"/>
  <c r="F35" i="4" s="1"/>
  <c r="E32" i="4"/>
  <c r="F32" i="4" s="1"/>
  <c r="E18" i="4"/>
  <c r="F18" i="4" s="1"/>
  <c r="E38" i="4"/>
  <c r="F38" i="4" s="1"/>
  <c r="E30" i="4"/>
  <c r="F30" i="4" s="1"/>
  <c r="E20" i="4"/>
  <c r="F20" i="4" s="1"/>
  <c r="E22" i="4"/>
  <c r="F22" i="4" s="1"/>
  <c r="E17" i="4"/>
  <c r="F17" i="4" s="1"/>
  <c r="E16" i="4"/>
  <c r="F16" i="4" s="1"/>
  <c r="E36" i="4"/>
  <c r="F36" i="4" s="1"/>
  <c r="E33" i="4"/>
  <c r="F33" i="4" s="1"/>
  <c r="E31" i="4"/>
  <c r="F31" i="4" s="1"/>
  <c r="E24" i="4"/>
  <c r="F24" i="4" s="1"/>
  <c r="E19" i="4"/>
  <c r="F19" i="4" s="1"/>
  <c r="E23" i="4"/>
  <c r="F23" i="4" s="1"/>
  <c r="E37" i="4"/>
  <c r="F37" i="4" s="1"/>
  <c r="E34" i="4"/>
  <c r="F34" i="4" s="1"/>
  <c r="G69" i="16"/>
  <c r="E87" i="16"/>
  <c r="E101" i="16"/>
  <c r="E77" i="16" l="1"/>
  <c r="I64" i="16"/>
  <c r="I62" i="16"/>
  <c r="G60" i="16"/>
  <c r="E124" i="16"/>
  <c r="E122" i="16"/>
  <c r="E120" i="16"/>
  <c r="E116" i="16"/>
  <c r="E114" i="16"/>
  <c r="E112" i="16"/>
  <c r="E108" i="16"/>
  <c r="E106" i="16"/>
  <c r="E104" i="16"/>
  <c r="E60" i="16"/>
  <c r="E42" i="16"/>
  <c r="E22" i="16"/>
  <c r="E20" i="16"/>
  <c r="E14" i="16"/>
  <c r="E12" i="16"/>
  <c r="E10" i="16"/>
  <c r="G78" i="16"/>
  <c r="E66" i="16"/>
  <c r="E64" i="16"/>
  <c r="I63" i="16"/>
  <c r="E62" i="16"/>
  <c r="G58" i="16"/>
  <c r="E85" i="16"/>
  <c r="G51" i="16"/>
  <c r="G49" i="16"/>
  <c r="E117" i="16"/>
  <c r="E115" i="16"/>
  <c r="E111" i="16"/>
  <c r="G82" i="16"/>
  <c r="G80" i="16"/>
  <c r="I56" i="16"/>
  <c r="E55" i="16"/>
  <c r="E53" i="16"/>
  <c r="I52" i="16"/>
  <c r="I46" i="16"/>
  <c r="I38" i="16"/>
  <c r="E119" i="16"/>
  <c r="E103" i="16"/>
  <c r="I102" i="16"/>
  <c r="G99" i="16"/>
  <c r="E75" i="16"/>
  <c r="E73" i="16"/>
  <c r="E71" i="16"/>
  <c r="I70" i="16"/>
  <c r="E69" i="16"/>
  <c r="I42" i="16"/>
  <c r="I40" i="16"/>
  <c r="E39" i="16"/>
  <c r="G37" i="16"/>
  <c r="G29" i="16"/>
  <c r="E28" i="16"/>
  <c r="G25" i="16"/>
  <c r="I100" i="16"/>
  <c r="E97" i="16"/>
  <c r="I96" i="16"/>
  <c r="E93" i="16"/>
  <c r="I92" i="16"/>
  <c r="E89" i="16"/>
  <c r="I88" i="16"/>
  <c r="G85" i="16"/>
  <c r="G70" i="16"/>
  <c r="I58" i="16"/>
  <c r="E50" i="16"/>
  <c r="I49" i="16"/>
  <c r="E46" i="16"/>
  <c r="E44" i="16"/>
  <c r="I36" i="16"/>
  <c r="I34" i="16"/>
  <c r="I28" i="16"/>
  <c r="I26" i="16"/>
  <c r="I24" i="16"/>
  <c r="I22" i="16"/>
  <c r="I20" i="16"/>
  <c r="I18" i="16"/>
  <c r="I16" i="16"/>
  <c r="E15" i="16"/>
  <c r="I12" i="16"/>
  <c r="I10" i="16"/>
  <c r="E18" i="16"/>
  <c r="I124" i="16"/>
  <c r="E121" i="16"/>
  <c r="I120" i="16"/>
  <c r="G117" i="16"/>
  <c r="G115" i="16"/>
  <c r="E95" i="16"/>
  <c r="I86" i="16"/>
  <c r="G74" i="16"/>
  <c r="G72" i="16"/>
  <c r="G65" i="16"/>
  <c r="G63" i="16"/>
  <c r="G61" i="16"/>
  <c r="E58" i="16"/>
  <c r="I48" i="16"/>
  <c r="E47" i="16"/>
  <c r="G45" i="16"/>
  <c r="G43" i="16"/>
  <c r="E11" i="16"/>
  <c r="I118" i="16"/>
  <c r="E113" i="16"/>
  <c r="I112" i="16"/>
  <c r="E109" i="16"/>
  <c r="I108" i="16"/>
  <c r="E105" i="16"/>
  <c r="I104" i="16"/>
  <c r="G101" i="16"/>
  <c r="E100" i="16"/>
  <c r="E98" i="16"/>
  <c r="E96" i="16"/>
  <c r="E92" i="16"/>
  <c r="E90" i="16"/>
  <c r="E88" i="16"/>
  <c r="E83" i="16"/>
  <c r="E81" i="16"/>
  <c r="E79" i="16"/>
  <c r="I78" i="16"/>
  <c r="G77" i="16"/>
  <c r="E67" i="16"/>
  <c r="E54" i="16"/>
  <c r="E52" i="16"/>
  <c r="G50" i="16"/>
  <c r="I44" i="16"/>
  <c r="E43" i="16"/>
  <c r="E36" i="16"/>
  <c r="E34" i="16"/>
  <c r="E32" i="16"/>
  <c r="E30" i="16"/>
  <c r="E24" i="16"/>
  <c r="I14" i="16"/>
  <c r="E123" i="16"/>
  <c r="E107" i="16"/>
  <c r="E91" i="16"/>
  <c r="E25" i="16"/>
  <c r="G23" i="16"/>
  <c r="E17" i="16"/>
  <c r="G15" i="16"/>
  <c r="I116" i="16"/>
  <c r="G109" i="16"/>
  <c r="G93" i="16"/>
  <c r="I82" i="16"/>
  <c r="G81" i="16"/>
  <c r="I74" i="16"/>
  <c r="G73" i="16"/>
  <c r="I54" i="16"/>
  <c r="E40" i="16"/>
  <c r="E35" i="16"/>
  <c r="G33" i="16"/>
  <c r="G123" i="16"/>
  <c r="I110" i="16"/>
  <c r="G107" i="16"/>
  <c r="E99" i="16"/>
  <c r="I94" i="16"/>
  <c r="G91" i="16"/>
  <c r="G84" i="16"/>
  <c r="G76" i="16"/>
  <c r="G68" i="16"/>
  <c r="G66" i="16"/>
  <c r="G57" i="16"/>
  <c r="E56" i="16"/>
  <c r="I55" i="16"/>
  <c r="G47" i="16"/>
  <c r="G41" i="16"/>
  <c r="E38" i="16"/>
  <c r="I32" i="16"/>
  <c r="I30" i="16"/>
  <c r="E29" i="16"/>
  <c r="E26" i="16"/>
  <c r="E21" i="16"/>
  <c r="G19" i="16"/>
  <c r="G11" i="16"/>
  <c r="G121" i="16"/>
  <c r="G113" i="16"/>
  <c r="G105" i="16"/>
  <c r="G97" i="16"/>
  <c r="G89" i="16"/>
  <c r="I84" i="16"/>
  <c r="G83" i="16"/>
  <c r="I80" i="16"/>
  <c r="G79" i="16"/>
  <c r="I76" i="16"/>
  <c r="G75" i="16"/>
  <c r="I72" i="16"/>
  <c r="G71" i="16"/>
  <c r="I68" i="16"/>
  <c r="G67" i="16"/>
  <c r="I65" i="16"/>
  <c r="I57" i="16"/>
  <c r="G52" i="16"/>
  <c r="E37" i="16"/>
  <c r="E33" i="16"/>
  <c r="G31" i="16"/>
  <c r="G27" i="16"/>
  <c r="E23" i="16"/>
  <c r="E19" i="16"/>
  <c r="G13" i="16"/>
  <c r="I122" i="16"/>
  <c r="G119" i="16"/>
  <c r="E118" i="16"/>
  <c r="I114" i="16"/>
  <c r="G111" i="16"/>
  <c r="E110" i="16"/>
  <c r="I106" i="16"/>
  <c r="G103" i="16"/>
  <c r="E102" i="16"/>
  <c r="I98" i="16"/>
  <c r="G95" i="16"/>
  <c r="E94" i="16"/>
  <c r="I90" i="16"/>
  <c r="G87" i="16"/>
  <c r="E86" i="16"/>
  <c r="E61" i="16"/>
  <c r="G59" i="16"/>
  <c r="E48" i="16"/>
  <c r="I47" i="16"/>
  <c r="E45" i="16"/>
  <c r="E41" i="16"/>
  <c r="G39" i="16"/>
  <c r="G35" i="16"/>
  <c r="E31" i="16"/>
  <c r="E27" i="16"/>
  <c r="G21" i="16"/>
  <c r="G17" i="16"/>
  <c r="E16" i="16"/>
  <c r="E13" i="16"/>
  <c r="G124" i="16"/>
  <c r="I123" i="16"/>
  <c r="G120" i="16"/>
  <c r="G118" i="16"/>
  <c r="I117" i="16"/>
  <c r="G114" i="16"/>
  <c r="I113" i="16"/>
  <c r="I109" i="16"/>
  <c r="I107" i="16"/>
  <c r="G102" i="16"/>
  <c r="I101" i="16"/>
  <c r="I99" i="16"/>
  <c r="I97" i="16"/>
  <c r="G94" i="16"/>
  <c r="I93" i="16"/>
  <c r="I91" i="16"/>
  <c r="G88" i="16"/>
  <c r="I87" i="16"/>
  <c r="E84" i="16"/>
  <c r="E82" i="16"/>
  <c r="E80" i="16"/>
  <c r="E78" i="16"/>
  <c r="E76" i="16"/>
  <c r="E74" i="16"/>
  <c r="E72" i="16"/>
  <c r="E70" i="16"/>
  <c r="E68" i="16"/>
  <c r="E63" i="16"/>
  <c r="G122" i="16"/>
  <c r="I121" i="16"/>
  <c r="I119" i="16"/>
  <c r="G116" i="16"/>
  <c r="I115" i="16"/>
  <c r="G112" i="16"/>
  <c r="I111" i="16"/>
  <c r="G110" i="16"/>
  <c r="G108" i="16"/>
  <c r="G106" i="16"/>
  <c r="I105" i="16"/>
  <c r="G104" i="16"/>
  <c r="I103" i="16"/>
  <c r="G100" i="16"/>
  <c r="G98" i="16"/>
  <c r="G96" i="16"/>
  <c r="I95" i="16"/>
  <c r="G92" i="16"/>
  <c r="G90" i="16"/>
  <c r="I89" i="16"/>
  <c r="G86" i="16"/>
  <c r="I85" i="16"/>
  <c r="I83" i="16"/>
  <c r="I81" i="16"/>
  <c r="I79" i="16"/>
  <c r="J79" i="16" s="1"/>
  <c r="I77" i="16"/>
  <c r="I75" i="16"/>
  <c r="I73" i="16"/>
  <c r="I71" i="16"/>
  <c r="I69" i="16"/>
  <c r="J69" i="16" s="1"/>
  <c r="I67" i="16"/>
  <c r="I66" i="16"/>
  <c r="I60" i="16"/>
  <c r="G55" i="16"/>
  <c r="G53" i="16"/>
  <c r="I50" i="16"/>
  <c r="G64" i="16"/>
  <c r="I61" i="16"/>
  <c r="E59" i="16"/>
  <c r="G56" i="16"/>
  <c r="I53" i="16"/>
  <c r="E51" i="16"/>
  <c r="G48" i="16"/>
  <c r="I45" i="16"/>
  <c r="I43" i="16"/>
  <c r="I41" i="16"/>
  <c r="I39" i="16"/>
  <c r="I37" i="16"/>
  <c r="I35" i="16"/>
  <c r="I33" i="16"/>
  <c r="I31" i="16"/>
  <c r="I29" i="16"/>
  <c r="I27" i="16"/>
  <c r="I25" i="16"/>
  <c r="I23" i="16"/>
  <c r="I21" i="16"/>
  <c r="I19" i="16"/>
  <c r="I17" i="16"/>
  <c r="J17" i="16" s="1"/>
  <c r="I15" i="16"/>
  <c r="I13" i="16"/>
  <c r="I11" i="16"/>
  <c r="E65" i="16"/>
  <c r="G62" i="16"/>
  <c r="I59" i="16"/>
  <c r="E57" i="16"/>
  <c r="G54" i="16"/>
  <c r="I51" i="16"/>
  <c r="E49" i="16"/>
  <c r="G46" i="16"/>
  <c r="G44" i="16"/>
  <c r="G42" i="16"/>
  <c r="G40" i="16"/>
  <c r="G38" i="16"/>
  <c r="G36" i="16"/>
  <c r="G34" i="16"/>
  <c r="G32" i="16"/>
  <c r="G30" i="16"/>
  <c r="G28" i="16"/>
  <c r="G26" i="16"/>
  <c r="G24" i="16"/>
  <c r="G22" i="16"/>
  <c r="G20" i="16"/>
  <c r="G18" i="16"/>
  <c r="G16" i="16"/>
  <c r="G14" i="16"/>
  <c r="G12" i="16"/>
  <c r="G10" i="16"/>
  <c r="J105" i="16" l="1"/>
  <c r="J47" i="16"/>
  <c r="J22" i="16"/>
  <c r="J34" i="16"/>
  <c r="J93" i="16"/>
  <c r="J84" i="16"/>
  <c r="J32" i="16"/>
  <c r="J21" i="16"/>
  <c r="J81" i="16"/>
  <c r="J89" i="16"/>
  <c r="J96" i="16"/>
  <c r="J116" i="16"/>
  <c r="J39" i="16"/>
  <c r="J48" i="16"/>
  <c r="J98" i="16"/>
  <c r="J119" i="16"/>
  <c r="J101" i="16"/>
  <c r="J55" i="16"/>
  <c r="J106" i="16"/>
  <c r="J121" i="16"/>
  <c r="J87" i="16"/>
  <c r="J123" i="16"/>
  <c r="J10" i="16"/>
  <c r="J18" i="16"/>
  <c r="J20" i="16"/>
  <c r="J82" i="16"/>
  <c r="J49" i="16"/>
  <c r="J62" i="16"/>
  <c r="J104" i="16"/>
  <c r="J28" i="16"/>
  <c r="J44" i="16"/>
  <c r="J71" i="16"/>
  <c r="J85" i="16"/>
  <c r="J40" i="16"/>
  <c r="J13" i="16"/>
  <c r="J56" i="16"/>
  <c r="J50" i="16"/>
  <c r="J115" i="16"/>
  <c r="J124" i="16"/>
  <c r="J77" i="16"/>
  <c r="J120" i="16"/>
  <c r="J12" i="16"/>
  <c r="J14" i="16"/>
  <c r="J64" i="16"/>
  <c r="J60" i="16"/>
  <c r="J112" i="16"/>
  <c r="J58" i="16"/>
  <c r="J70" i="16"/>
  <c r="J46" i="16"/>
  <c r="J100" i="16"/>
  <c r="J73" i="16"/>
  <c r="J92" i="16"/>
  <c r="J42" i="16"/>
  <c r="J15" i="16"/>
  <c r="J114" i="16"/>
  <c r="J74" i="16"/>
  <c r="J76" i="16"/>
  <c r="J36" i="16"/>
  <c r="J52" i="16"/>
  <c r="J30" i="16"/>
  <c r="J57" i="16"/>
  <c r="J11" i="16"/>
  <c r="J35" i="16"/>
  <c r="J43" i="16"/>
  <c r="J75" i="16"/>
  <c r="J86" i="16"/>
  <c r="J108" i="16"/>
  <c r="J72" i="16"/>
  <c r="J80" i="16"/>
  <c r="J88" i="16"/>
  <c r="J97" i="16"/>
  <c r="J107" i="16"/>
  <c r="J117" i="16"/>
  <c r="J61" i="16"/>
  <c r="J78" i="16"/>
  <c r="J16" i="16"/>
  <c r="J24" i="16"/>
  <c r="J29" i="16"/>
  <c r="J66" i="16"/>
  <c r="J110" i="16"/>
  <c r="J63" i="16"/>
  <c r="J91" i="16"/>
  <c r="J109" i="16"/>
  <c r="J90" i="16"/>
  <c r="J111" i="16"/>
  <c r="J99" i="16"/>
  <c r="J26" i="16"/>
  <c r="J54" i="16"/>
  <c r="J65" i="16"/>
  <c r="J25" i="16"/>
  <c r="J33" i="16"/>
  <c r="J41" i="16"/>
  <c r="J68" i="16"/>
  <c r="J38" i="16"/>
  <c r="J19" i="16"/>
  <c r="J27" i="16"/>
  <c r="J122" i="16"/>
  <c r="J94" i="16"/>
  <c r="J102" i="16"/>
  <c r="J67" i="16"/>
  <c r="J37" i="16"/>
  <c r="J45" i="16"/>
  <c r="J95" i="16"/>
  <c r="J103" i="16"/>
  <c r="J118" i="16"/>
  <c r="J51" i="16"/>
  <c r="J23" i="16"/>
  <c r="J31" i="16"/>
  <c r="J83" i="16"/>
  <c r="J113" i="16"/>
  <c r="J53" i="16"/>
  <c r="J59" i="16"/>
  <c r="M20" i="66" l="1"/>
  <c r="M19" i="66"/>
  <c r="M18" i="66"/>
  <c r="M16" i="66"/>
  <c r="M15" i="66"/>
  <c r="M14" i="66"/>
  <c r="M13" i="66"/>
  <c r="M17" i="66"/>
  <c r="M12" i="66"/>
  <c r="M11" i="66"/>
  <c r="M10" i="66"/>
  <c r="M9" i="66"/>
  <c r="F18" i="66"/>
  <c r="B17" i="66"/>
  <c r="B20" i="66" l="1"/>
  <c r="B10" i="66"/>
  <c r="B15" i="66"/>
  <c r="B14" i="66"/>
  <c r="B19" i="66"/>
  <c r="F15" i="66"/>
  <c r="B11" i="66"/>
  <c r="B16" i="66"/>
  <c r="F19" i="66"/>
  <c r="B12" i="66"/>
  <c r="B18" i="66"/>
  <c r="F11" i="66"/>
  <c r="F12" i="66"/>
  <c r="F16" i="66"/>
  <c r="F20" i="66"/>
  <c r="B13" i="66"/>
  <c r="F13" i="66"/>
  <c r="F17" i="66"/>
  <c r="F10" i="66"/>
  <c r="F14" i="66"/>
  <c r="N15" i="65" l="1"/>
  <c r="O15" i="65" s="1"/>
  <c r="N31" i="65"/>
  <c r="O31" i="65" s="1"/>
  <c r="N39" i="65"/>
  <c r="O39" i="65" s="1"/>
  <c r="N47" i="65"/>
  <c r="O47" i="65" s="1"/>
  <c r="N169" i="65"/>
  <c r="O169" i="65" s="1"/>
  <c r="N250" i="65"/>
  <c r="O250" i="65" s="1"/>
  <c r="N303" i="65"/>
  <c r="O303" i="65" s="1"/>
  <c r="N307" i="65"/>
  <c r="O307" i="65" s="1"/>
  <c r="N343" i="65"/>
  <c r="O343" i="65" s="1"/>
  <c r="N347" i="65"/>
  <c r="O347" i="65" s="1"/>
  <c r="N365" i="65"/>
  <c r="O365" i="65" s="1"/>
  <c r="N381" i="65"/>
  <c r="O381" i="65" s="1"/>
  <c r="N358" i="65" l="1"/>
  <c r="O358" i="65" s="1"/>
  <c r="N378" i="65"/>
  <c r="O378" i="65" s="1"/>
  <c r="N370" i="65"/>
  <c r="O370" i="65" s="1"/>
  <c r="N362" i="65"/>
  <c r="O362" i="65" s="1"/>
  <c r="N356" i="65"/>
  <c r="O356" i="65" s="1"/>
  <c r="N328" i="65"/>
  <c r="O328" i="65" s="1"/>
  <c r="N324" i="65"/>
  <c r="O324" i="65" s="1"/>
  <c r="N312" i="65"/>
  <c r="O312" i="65" s="1"/>
  <c r="N206" i="65"/>
  <c r="O206" i="65" s="1"/>
  <c r="N159" i="65"/>
  <c r="O159" i="65" s="1"/>
  <c r="N140" i="65"/>
  <c r="O140" i="65" s="1"/>
  <c r="N125" i="65"/>
  <c r="O125" i="65" s="1"/>
  <c r="N90" i="65"/>
  <c r="N53" i="65"/>
  <c r="O53" i="65" s="1"/>
  <c r="N37" i="65"/>
  <c r="O37" i="65" s="1"/>
  <c r="N338" i="65"/>
  <c r="O338" i="65" s="1"/>
  <c r="N322" i="65"/>
  <c r="O322" i="65" s="1"/>
  <c r="N318" i="65"/>
  <c r="O318" i="65" s="1"/>
  <c r="N317" i="65"/>
  <c r="O317" i="65" s="1"/>
  <c r="N310" i="65"/>
  <c r="O310" i="65" s="1"/>
  <c r="N220" i="65"/>
  <c r="O220" i="65" s="1"/>
  <c r="N151" i="65"/>
  <c r="O151" i="65" s="1"/>
  <c r="N147" i="65"/>
  <c r="N314" i="65"/>
  <c r="O314" i="65" s="1"/>
  <c r="N289" i="65"/>
  <c r="O289" i="65" s="1"/>
  <c r="N279" i="65"/>
  <c r="O279" i="65" s="1"/>
  <c r="N271" i="65"/>
  <c r="O271" i="65" s="1"/>
  <c r="N386" i="65"/>
  <c r="O386" i="65" s="1"/>
  <c r="N339" i="65"/>
  <c r="O339" i="65" s="1"/>
  <c r="N294" i="65"/>
  <c r="O294" i="65" s="1"/>
  <c r="N383" i="65"/>
  <c r="O383" i="65" s="1"/>
  <c r="N379" i="65"/>
  <c r="O379" i="65" s="1"/>
  <c r="N375" i="65"/>
  <c r="O375" i="65" s="1"/>
  <c r="N367" i="65"/>
  <c r="O367" i="65" s="1"/>
  <c r="N363" i="65"/>
  <c r="O363" i="65" s="1"/>
  <c r="N359" i="65"/>
  <c r="O359" i="65" s="1"/>
  <c r="N353" i="65"/>
  <c r="O353" i="65" s="1"/>
  <c r="N341" i="65"/>
  <c r="O341" i="65" s="1"/>
  <c r="N321" i="65"/>
  <c r="O321" i="65" s="1"/>
  <c r="N311" i="65"/>
  <c r="O311" i="65" s="1"/>
  <c r="N296" i="65"/>
  <c r="O296" i="65" s="1"/>
  <c r="N288" i="65"/>
  <c r="O288" i="65" s="1"/>
  <c r="N251" i="65"/>
  <c r="O251" i="65" s="1"/>
  <c r="N248" i="65"/>
  <c r="O248" i="65" s="1"/>
  <c r="N183" i="65"/>
  <c r="O183" i="65" s="1"/>
  <c r="N371" i="65"/>
  <c r="O371" i="65" s="1"/>
  <c r="N330" i="65"/>
  <c r="O330" i="65" s="1"/>
  <c r="N212" i="65"/>
  <c r="O212" i="65" s="1"/>
  <c r="N153" i="65"/>
  <c r="O153" i="65" s="1"/>
  <c r="N384" i="65"/>
  <c r="O384" i="65" s="1"/>
  <c r="N223" i="65"/>
  <c r="O223" i="65" s="1"/>
  <c r="N115" i="65"/>
  <c r="O115" i="65" s="1"/>
  <c r="N382" i="65"/>
  <c r="O382" i="65" s="1"/>
  <c r="N376" i="65"/>
  <c r="O376" i="65" s="1"/>
  <c r="N350" i="65"/>
  <c r="O350" i="65" s="1"/>
  <c r="N342" i="65"/>
  <c r="O342" i="65" s="1"/>
  <c r="N335" i="65"/>
  <c r="O335" i="65" s="1"/>
  <c r="N226" i="65"/>
  <c r="O226" i="65" s="1"/>
  <c r="N209" i="65"/>
  <c r="O209" i="65" s="1"/>
  <c r="N177" i="65"/>
  <c r="O177" i="65" s="1"/>
  <c r="N70" i="65"/>
  <c r="O70" i="65" s="1"/>
  <c r="N66" i="65"/>
  <c r="O66" i="65" s="1"/>
  <c r="N62" i="65"/>
  <c r="O62" i="65" s="1"/>
  <c r="N58" i="65"/>
  <c r="O58" i="65" s="1"/>
  <c r="N50" i="65"/>
  <c r="O50" i="65" s="1"/>
  <c r="N26" i="65"/>
  <c r="O26" i="65" s="1"/>
  <c r="N346" i="65"/>
  <c r="O346" i="65" s="1"/>
  <c r="N374" i="65"/>
  <c r="O374" i="65" s="1"/>
  <c r="N355" i="65"/>
  <c r="O355" i="65" s="1"/>
  <c r="N354" i="65"/>
  <c r="O354" i="65" s="1"/>
  <c r="N348" i="65"/>
  <c r="O348" i="65" s="1"/>
  <c r="N344" i="65"/>
  <c r="O344" i="65" s="1"/>
  <c r="N334" i="65"/>
  <c r="O334" i="65" s="1"/>
  <c r="N327" i="65"/>
  <c r="O327" i="65" s="1"/>
  <c r="N323" i="65"/>
  <c r="O323" i="65" s="1"/>
  <c r="N319" i="65"/>
  <c r="O319" i="65" s="1"/>
  <c r="N306" i="65"/>
  <c r="O306" i="65" s="1"/>
  <c r="N302" i="65"/>
  <c r="O302" i="65" s="1"/>
  <c r="N290" i="65"/>
  <c r="O290" i="65" s="1"/>
  <c r="N276" i="65"/>
  <c r="O276" i="65" s="1"/>
  <c r="N257" i="65"/>
  <c r="O257" i="65" s="1"/>
  <c r="N194" i="65"/>
  <c r="O194" i="65" s="1"/>
  <c r="N179" i="65"/>
  <c r="O179" i="65" s="1"/>
  <c r="N157" i="65"/>
  <c r="O157" i="65" s="1"/>
  <c r="N150" i="65"/>
  <c r="O150" i="65" s="1"/>
  <c r="N88" i="65"/>
  <c r="O88" i="65" s="1"/>
  <c r="N80" i="65"/>
  <c r="O80" i="65" s="1"/>
  <c r="N77" i="65"/>
  <c r="O77" i="65" s="1"/>
  <c r="N40" i="65"/>
  <c r="O40" i="65" s="1"/>
  <c r="N23" i="65"/>
  <c r="O23" i="65" s="1"/>
  <c r="N326" i="65"/>
  <c r="O326" i="65" s="1"/>
  <c r="N282" i="65"/>
  <c r="O282" i="65" s="1"/>
  <c r="N244" i="65"/>
  <c r="O244" i="65" s="1"/>
  <c r="N218" i="65"/>
  <c r="O218" i="65" s="1"/>
  <c r="N210" i="65"/>
  <c r="O210" i="65" s="1"/>
  <c r="N180" i="65"/>
  <c r="O180" i="65" s="1"/>
  <c r="N172" i="65"/>
  <c r="O172" i="65" s="1"/>
  <c r="N167" i="65"/>
  <c r="O167" i="65" s="1"/>
  <c r="N163" i="65"/>
  <c r="N148" i="65"/>
  <c r="O148" i="65" s="1"/>
  <c r="N139" i="65"/>
  <c r="O139" i="65" s="1"/>
  <c r="N116" i="65"/>
  <c r="O116" i="65" s="1"/>
  <c r="N108" i="65"/>
  <c r="O108" i="65" s="1"/>
  <c r="N98" i="65"/>
  <c r="O98" i="65" s="1"/>
  <c r="N13" i="65"/>
  <c r="O13" i="65" s="1"/>
  <c r="N280" i="65"/>
  <c r="O280" i="65" s="1"/>
  <c r="N188" i="65"/>
  <c r="O188" i="65" s="1"/>
  <c r="N51" i="65"/>
  <c r="O51" i="65" s="1"/>
  <c r="N387" i="65"/>
  <c r="N372" i="65"/>
  <c r="O372" i="65" s="1"/>
  <c r="N369" i="65"/>
  <c r="O369" i="65" s="1"/>
  <c r="N366" i="65"/>
  <c r="O366" i="65" s="1"/>
  <c r="N360" i="65"/>
  <c r="O360" i="65" s="1"/>
  <c r="N351" i="65"/>
  <c r="O351" i="65" s="1"/>
  <c r="N337" i="65"/>
  <c r="O337" i="65" s="1"/>
  <c r="N308" i="65"/>
  <c r="O308" i="65" s="1"/>
  <c r="N305" i="65"/>
  <c r="O305" i="65" s="1"/>
  <c r="N237" i="65"/>
  <c r="N236" i="65"/>
  <c r="O236" i="65" s="1"/>
  <c r="N215" i="65"/>
  <c r="O215" i="65" s="1"/>
  <c r="N162" i="65"/>
  <c r="O162" i="65" s="1"/>
  <c r="N43" i="65"/>
  <c r="O43" i="65" s="1"/>
  <c r="N29" i="65"/>
  <c r="O29" i="65" s="1"/>
  <c r="N173" i="65"/>
  <c r="O173" i="65" s="1"/>
  <c r="N388" i="65"/>
  <c r="O388" i="65" s="1"/>
  <c r="N385" i="65"/>
  <c r="O385" i="65" s="1"/>
  <c r="N380" i="65"/>
  <c r="O380" i="65" s="1"/>
  <c r="N373" i="65"/>
  <c r="O373" i="65" s="1"/>
  <c r="N364" i="65"/>
  <c r="O364" i="65" s="1"/>
  <c r="N357" i="65"/>
  <c r="O357" i="65" s="1"/>
  <c r="N352" i="65"/>
  <c r="O352" i="65" s="1"/>
  <c r="N345" i="65"/>
  <c r="O345" i="65" s="1"/>
  <c r="N336" i="65"/>
  <c r="O336" i="65" s="1"/>
  <c r="N331" i="65"/>
  <c r="O331" i="65" s="1"/>
  <c r="N297" i="65"/>
  <c r="O297" i="65" s="1"/>
  <c r="N274" i="65"/>
  <c r="O274" i="65" s="1"/>
  <c r="N234" i="65"/>
  <c r="O234" i="65" s="1"/>
  <c r="N230" i="65"/>
  <c r="O230" i="65" s="1"/>
  <c r="N224" i="65"/>
  <c r="O224" i="65" s="1"/>
  <c r="N171" i="65"/>
  <c r="O171" i="65" s="1"/>
  <c r="N96" i="65"/>
  <c r="O96" i="65" s="1"/>
  <c r="N32" i="65"/>
  <c r="O32" i="65" s="1"/>
  <c r="N20" i="65"/>
  <c r="O20" i="65" s="1"/>
  <c r="N16" i="65"/>
  <c r="O16" i="65" s="1"/>
  <c r="N377" i="65"/>
  <c r="O377" i="65" s="1"/>
  <c r="N368" i="65"/>
  <c r="O368" i="65" s="1"/>
  <c r="N361" i="65"/>
  <c r="O361" i="65" s="1"/>
  <c r="N349" i="65"/>
  <c r="O349" i="65" s="1"/>
  <c r="N340" i="65"/>
  <c r="O340" i="65" s="1"/>
  <c r="N333" i="65"/>
  <c r="O333" i="65" s="1"/>
  <c r="N315" i="65"/>
  <c r="O315" i="65" s="1"/>
  <c r="N300" i="65"/>
  <c r="O300" i="65" s="1"/>
  <c r="N284" i="65"/>
  <c r="O284" i="65" s="1"/>
  <c r="N259" i="65"/>
  <c r="O259" i="65" s="1"/>
  <c r="N246" i="65"/>
  <c r="O246" i="65" s="1"/>
  <c r="N238" i="65"/>
  <c r="O238" i="65" s="1"/>
  <c r="N74" i="65"/>
  <c r="O74" i="65" s="1"/>
  <c r="N48" i="65"/>
  <c r="O48" i="65" s="1"/>
  <c r="N45" i="65"/>
  <c r="O45" i="65" s="1"/>
  <c r="N41" i="65"/>
  <c r="O41" i="65" s="1"/>
  <c r="N332" i="65"/>
  <c r="O332" i="65" s="1"/>
  <c r="N325" i="65"/>
  <c r="O325" i="65" s="1"/>
  <c r="N316" i="65"/>
  <c r="O316" i="65" s="1"/>
  <c r="N309" i="65"/>
  <c r="O309" i="65" s="1"/>
  <c r="N275" i="65"/>
  <c r="O275" i="65" s="1"/>
  <c r="N268" i="65"/>
  <c r="O268" i="65" s="1"/>
  <c r="N249" i="65"/>
  <c r="O249" i="65" s="1"/>
  <c r="N232" i="65"/>
  <c r="O232" i="65" s="1"/>
  <c r="N231" i="65"/>
  <c r="O231" i="65" s="1"/>
  <c r="N229" i="65"/>
  <c r="O229" i="65" s="1"/>
  <c r="N204" i="65"/>
  <c r="O204" i="65" s="1"/>
  <c r="N199" i="65"/>
  <c r="O199" i="65" s="1"/>
  <c r="N196" i="65"/>
  <c r="O196" i="65" s="1"/>
  <c r="N175" i="65"/>
  <c r="O175" i="65" s="1"/>
  <c r="N161" i="65"/>
  <c r="O161" i="65" s="1"/>
  <c r="N142" i="65"/>
  <c r="O142" i="65" s="1"/>
  <c r="N138" i="65"/>
  <c r="O138" i="65" s="1"/>
  <c r="N124" i="65"/>
  <c r="O124" i="65" s="1"/>
  <c r="N118" i="65"/>
  <c r="O118" i="65" s="1"/>
  <c r="N100" i="65"/>
  <c r="O100" i="65" s="1"/>
  <c r="N86" i="65"/>
  <c r="O86" i="65" s="1"/>
  <c r="N73" i="65"/>
  <c r="O73" i="65" s="1"/>
  <c r="N61" i="65"/>
  <c r="O61" i="65" s="1"/>
  <c r="N34" i="65"/>
  <c r="O34" i="65" s="1"/>
  <c r="N18" i="65"/>
  <c r="O18" i="65" s="1"/>
  <c r="N329" i="65"/>
  <c r="O329" i="65" s="1"/>
  <c r="N320" i="65"/>
  <c r="O320" i="65" s="1"/>
  <c r="N313" i="65"/>
  <c r="O313" i="65" s="1"/>
  <c r="N304" i="65"/>
  <c r="O304" i="65" s="1"/>
  <c r="N298" i="65"/>
  <c r="O298" i="65" s="1"/>
  <c r="N272" i="65"/>
  <c r="O272" i="65" s="1"/>
  <c r="N270" i="65"/>
  <c r="O270" i="65" s="1"/>
  <c r="N241" i="65"/>
  <c r="O241" i="65" s="1"/>
  <c r="N214" i="65"/>
  <c r="O214" i="65" s="1"/>
  <c r="N202" i="65"/>
  <c r="O202" i="65" s="1"/>
  <c r="N198" i="65"/>
  <c r="O198" i="65" s="1"/>
  <c r="N191" i="65"/>
  <c r="O191" i="65" s="1"/>
  <c r="N184" i="65"/>
  <c r="O184" i="65" s="1"/>
  <c r="N174" i="65"/>
  <c r="O174" i="65" s="1"/>
  <c r="N154" i="65"/>
  <c r="O154" i="65" s="1"/>
  <c r="N130" i="65"/>
  <c r="O130" i="65" s="1"/>
  <c r="N127" i="65"/>
  <c r="O127" i="65" s="1"/>
  <c r="N121" i="65"/>
  <c r="O121" i="65" s="1"/>
  <c r="N117" i="65"/>
  <c r="O117" i="65" s="1"/>
  <c r="N113" i="65"/>
  <c r="O113" i="65" s="1"/>
  <c r="N106" i="65"/>
  <c r="O106" i="65" s="1"/>
  <c r="N94" i="65"/>
  <c r="O94" i="65" s="1"/>
  <c r="N89" i="65"/>
  <c r="O89" i="65" s="1"/>
  <c r="N75" i="65"/>
  <c r="O75" i="65" s="1"/>
  <c r="N42" i="65"/>
  <c r="O42" i="65" s="1"/>
  <c r="N301" i="65"/>
  <c r="O301" i="65" s="1"/>
  <c r="N295" i="65"/>
  <c r="O295" i="65" s="1"/>
  <c r="N292" i="65"/>
  <c r="O292" i="65" s="1"/>
  <c r="N286" i="65"/>
  <c r="O286" i="65" s="1"/>
  <c r="N278" i="65"/>
  <c r="O278" i="65" s="1"/>
  <c r="N267" i="65"/>
  <c r="O267" i="65" s="1"/>
  <c r="N265" i="65"/>
  <c r="O265" i="65" s="1"/>
  <c r="N255" i="65"/>
  <c r="O255" i="65" s="1"/>
  <c r="N228" i="65"/>
  <c r="O228" i="65" s="1"/>
  <c r="N222" i="65"/>
  <c r="O222" i="65" s="1"/>
  <c r="N207" i="65"/>
  <c r="O207" i="65" s="1"/>
  <c r="N192" i="65"/>
  <c r="O192" i="65" s="1"/>
  <c r="N293" i="65"/>
  <c r="O293" i="65" s="1"/>
  <c r="N287" i="65"/>
  <c r="O287" i="65" s="1"/>
  <c r="N285" i="65"/>
  <c r="O285" i="65" s="1"/>
  <c r="N243" i="65"/>
  <c r="O243" i="65" s="1"/>
  <c r="N239" i="65"/>
  <c r="O239" i="65" s="1"/>
  <c r="N217" i="65"/>
  <c r="O217" i="65" s="1"/>
  <c r="N281" i="65"/>
  <c r="O281" i="65" s="1"/>
  <c r="N273" i="65"/>
  <c r="O273" i="65" s="1"/>
  <c r="N266" i="65"/>
  <c r="O266" i="65" s="1"/>
  <c r="N264" i="65"/>
  <c r="O264" i="65" s="1"/>
  <c r="N262" i="65"/>
  <c r="O262" i="65" s="1"/>
  <c r="N260" i="65"/>
  <c r="O260" i="65" s="1"/>
  <c r="N240" i="65"/>
  <c r="O240" i="65" s="1"/>
  <c r="N233" i="65"/>
  <c r="O233" i="65" s="1"/>
  <c r="N221" i="65"/>
  <c r="O221" i="65" s="1"/>
  <c r="N216" i="65"/>
  <c r="O216" i="65" s="1"/>
  <c r="N197" i="65"/>
  <c r="O197" i="65" s="1"/>
  <c r="N190" i="65"/>
  <c r="O190" i="65" s="1"/>
  <c r="N181" i="65"/>
  <c r="O181" i="65" s="1"/>
  <c r="N165" i="65"/>
  <c r="O165" i="65" s="1"/>
  <c r="N155" i="65"/>
  <c r="O155" i="65" s="1"/>
  <c r="N149" i="65"/>
  <c r="O149" i="65" s="1"/>
  <c r="N145" i="65"/>
  <c r="O145" i="65" s="1"/>
  <c r="N132" i="65"/>
  <c r="O132" i="65" s="1"/>
  <c r="N119" i="65"/>
  <c r="O119" i="65" s="1"/>
  <c r="O90" i="65"/>
  <c r="N82" i="65"/>
  <c r="O82" i="65" s="1"/>
  <c r="N71" i="65"/>
  <c r="O71" i="65" s="1"/>
  <c r="N64" i="65"/>
  <c r="O64" i="65" s="1"/>
  <c r="N60" i="65"/>
  <c r="O60" i="65" s="1"/>
  <c r="N55" i="65"/>
  <c r="O55" i="65" s="1"/>
  <c r="N49" i="65"/>
  <c r="O49" i="65" s="1"/>
  <c r="N35" i="65"/>
  <c r="O35" i="65" s="1"/>
  <c r="N19" i="65"/>
  <c r="O19" i="65" s="1"/>
  <c r="N263" i="65"/>
  <c r="O263" i="65" s="1"/>
  <c r="N258" i="65"/>
  <c r="O258" i="65" s="1"/>
  <c r="N256" i="65"/>
  <c r="O256" i="65" s="1"/>
  <c r="N254" i="65"/>
  <c r="O254" i="65" s="1"/>
  <c r="N252" i="65"/>
  <c r="O252" i="65" s="1"/>
  <c r="N242" i="65"/>
  <c r="O242" i="65" s="1"/>
  <c r="O237" i="65"/>
  <c r="N225" i="65"/>
  <c r="O225" i="65" s="1"/>
  <c r="N208" i="65"/>
  <c r="O208" i="65" s="1"/>
  <c r="N200" i="65"/>
  <c r="O200" i="65" s="1"/>
  <c r="N189" i="65"/>
  <c r="O189" i="65" s="1"/>
  <c r="N110" i="65"/>
  <c r="O110" i="65" s="1"/>
  <c r="N107" i="65"/>
  <c r="O107" i="65" s="1"/>
  <c r="N92" i="65"/>
  <c r="O92" i="65" s="1"/>
  <c r="N63" i="65"/>
  <c r="O63" i="65" s="1"/>
  <c r="N56" i="65"/>
  <c r="O56" i="65" s="1"/>
  <c r="N54" i="65"/>
  <c r="O54" i="65" s="1"/>
  <c r="N33" i="65"/>
  <c r="O33" i="65" s="1"/>
  <c r="N21" i="65"/>
  <c r="O21" i="65" s="1"/>
  <c r="N213" i="65"/>
  <c r="O213" i="65" s="1"/>
  <c r="N201" i="65"/>
  <c r="O201" i="65" s="1"/>
  <c r="N193" i="65"/>
  <c r="O193" i="65" s="1"/>
  <c r="N185" i="65"/>
  <c r="O185" i="65" s="1"/>
  <c r="N182" i="65"/>
  <c r="O182" i="65" s="1"/>
  <c r="N176" i="65"/>
  <c r="O176" i="65" s="1"/>
  <c r="N170" i="65"/>
  <c r="O170" i="65" s="1"/>
  <c r="N146" i="65"/>
  <c r="O146" i="65" s="1"/>
  <c r="N135" i="65"/>
  <c r="O135" i="65" s="1"/>
  <c r="N133" i="65"/>
  <c r="O133" i="65" s="1"/>
  <c r="N129" i="65"/>
  <c r="O129" i="65" s="1"/>
  <c r="N126" i="65"/>
  <c r="O126" i="65" s="1"/>
  <c r="N123" i="65"/>
  <c r="O123" i="65" s="1"/>
  <c r="N114" i="65"/>
  <c r="O114" i="65" s="1"/>
  <c r="N103" i="65"/>
  <c r="O103" i="65" s="1"/>
  <c r="N101" i="65"/>
  <c r="O101" i="65" s="1"/>
  <c r="N93" i="65"/>
  <c r="O93" i="65" s="1"/>
  <c r="N85" i="65"/>
  <c r="O85" i="65" s="1"/>
  <c r="N83" i="65"/>
  <c r="O83" i="65" s="1"/>
  <c r="N81" i="65"/>
  <c r="O81" i="65" s="1"/>
  <c r="N79" i="65"/>
  <c r="O79" i="65" s="1"/>
  <c r="N72" i="65"/>
  <c r="O72" i="65" s="1"/>
  <c r="N59" i="65"/>
  <c r="O59" i="65" s="1"/>
  <c r="N44" i="65"/>
  <c r="O44" i="65" s="1"/>
  <c r="N36" i="65"/>
  <c r="O36" i="65" s="1"/>
  <c r="N28" i="65"/>
  <c r="O28" i="65" s="1"/>
  <c r="N22" i="65"/>
  <c r="O22" i="65" s="1"/>
  <c r="N12" i="65"/>
  <c r="O12" i="65" s="1"/>
  <c r="N11" i="65"/>
  <c r="O11" i="65" s="1"/>
  <c r="N10" i="65"/>
  <c r="O10" i="65" s="1"/>
  <c r="N205" i="65"/>
  <c r="O205" i="65" s="1"/>
  <c r="N203" i="65"/>
  <c r="O203" i="65" s="1"/>
  <c r="N195" i="65"/>
  <c r="O195" i="65" s="1"/>
  <c r="N187" i="65"/>
  <c r="O187" i="65" s="1"/>
  <c r="N178" i="65"/>
  <c r="O178" i="65" s="1"/>
  <c r="N166" i="65"/>
  <c r="N158" i="65"/>
  <c r="O158" i="65" s="1"/>
  <c r="N143" i="65"/>
  <c r="O143" i="65" s="1"/>
  <c r="N141" i="65"/>
  <c r="O141" i="65" s="1"/>
  <c r="N137" i="65"/>
  <c r="O137" i="65" s="1"/>
  <c r="N134" i="65"/>
  <c r="O134" i="65" s="1"/>
  <c r="N131" i="65"/>
  <c r="O131" i="65" s="1"/>
  <c r="N122" i="65"/>
  <c r="O122" i="65" s="1"/>
  <c r="N111" i="65"/>
  <c r="O111" i="65" s="1"/>
  <c r="N109" i="65"/>
  <c r="O109" i="65" s="1"/>
  <c r="N105" i="65"/>
  <c r="O105" i="65" s="1"/>
  <c r="N102" i="65"/>
  <c r="O102" i="65" s="1"/>
  <c r="N99" i="65"/>
  <c r="O99" i="65" s="1"/>
  <c r="N97" i="65"/>
  <c r="O97" i="65" s="1"/>
  <c r="N95" i="65"/>
  <c r="O95" i="65" s="1"/>
  <c r="N91" i="65"/>
  <c r="O91" i="65" s="1"/>
  <c r="N87" i="65"/>
  <c r="O87" i="65" s="1"/>
  <c r="N78" i="65"/>
  <c r="O78" i="65" s="1"/>
  <c r="N69" i="65"/>
  <c r="O69" i="65" s="1"/>
  <c r="N67" i="65"/>
  <c r="O67" i="65" s="1"/>
  <c r="N52" i="65"/>
  <c r="O52" i="65" s="1"/>
  <c r="N46" i="65"/>
  <c r="O46" i="65" s="1"/>
  <c r="N38" i="65"/>
  <c r="O38" i="65" s="1"/>
  <c r="N30" i="65"/>
  <c r="O30" i="65" s="1"/>
  <c r="N24" i="65"/>
  <c r="O24" i="65" s="1"/>
  <c r="N14" i="65"/>
  <c r="O14" i="65" s="1"/>
  <c r="N261" i="65"/>
  <c r="O261" i="65" s="1"/>
  <c r="O387" i="65"/>
  <c r="N253" i="65"/>
  <c r="O253" i="65" s="1"/>
  <c r="N299" i="65"/>
  <c r="O299" i="65" s="1"/>
  <c r="N291" i="65"/>
  <c r="O291" i="65" s="1"/>
  <c r="N283" i="65"/>
  <c r="O283" i="65" s="1"/>
  <c r="N277" i="65"/>
  <c r="O277" i="65" s="1"/>
  <c r="N269" i="65"/>
  <c r="O269" i="65" s="1"/>
  <c r="N247" i="65"/>
  <c r="O247" i="65" s="1"/>
  <c r="N65" i="65"/>
  <c r="O65" i="65" s="1"/>
  <c r="N245" i="65"/>
  <c r="O245" i="65" s="1"/>
  <c r="N186" i="65"/>
  <c r="O186" i="65" s="1"/>
  <c r="N235" i="65"/>
  <c r="O235" i="65" s="1"/>
  <c r="N227" i="65"/>
  <c r="O227" i="65" s="1"/>
  <c r="N219" i="65"/>
  <c r="O219" i="65" s="1"/>
  <c r="N211" i="65"/>
  <c r="O211" i="65" s="1"/>
  <c r="N17" i="65"/>
  <c r="O17" i="65" s="1"/>
  <c r="N57" i="65"/>
  <c r="O57" i="65" s="1"/>
  <c r="N168" i="65"/>
  <c r="O168" i="65" s="1"/>
  <c r="N164" i="65"/>
  <c r="O164" i="65" s="1"/>
  <c r="N160" i="65"/>
  <c r="O160" i="65" s="1"/>
  <c r="N156" i="65"/>
  <c r="O156" i="65" s="1"/>
  <c r="N152" i="65"/>
  <c r="O152" i="65" s="1"/>
  <c r="N144" i="65"/>
  <c r="O144" i="65" s="1"/>
  <c r="N136" i="65"/>
  <c r="O136" i="65" s="1"/>
  <c r="N128" i="65"/>
  <c r="O128" i="65" s="1"/>
  <c r="N120" i="65"/>
  <c r="O120" i="65" s="1"/>
  <c r="N112" i="65"/>
  <c r="O112" i="65" s="1"/>
  <c r="N104" i="65"/>
  <c r="O104" i="65" s="1"/>
  <c r="N25" i="65"/>
  <c r="O25" i="65" s="1"/>
  <c r="N84" i="65"/>
  <c r="O84" i="65" s="1"/>
  <c r="N76" i="65"/>
  <c r="O76" i="65" s="1"/>
  <c r="N68" i="65"/>
  <c r="O68" i="65" s="1"/>
  <c r="N27" i="65"/>
  <c r="O27" i="65" s="1"/>
  <c r="F45" i="63" l="1"/>
  <c r="F33" i="63"/>
  <c r="F29" i="63"/>
  <c r="F26" i="63"/>
  <c r="F24" i="63"/>
  <c r="F23" i="63"/>
  <c r="F22" i="63"/>
  <c r="F21" i="63"/>
  <c r="F13" i="63"/>
  <c r="C12" i="9" l="1"/>
  <c r="I9" i="66" l="1"/>
  <c r="K9" i="66" s="1"/>
  <c r="L9" i="66" s="1"/>
  <c r="N9" i="66"/>
  <c r="O9" i="66" s="1"/>
  <c r="A10" i="66"/>
  <c r="A11" i="66" s="1"/>
  <c r="A12" i="66" s="1"/>
  <c r="A13" i="66" s="1"/>
  <c r="A14" i="66" s="1"/>
  <c r="A15" i="66" s="1"/>
  <c r="A16" i="66" s="1"/>
  <c r="A17" i="66" s="1"/>
  <c r="A18" i="66" s="1"/>
  <c r="A19" i="66" s="1"/>
  <c r="I10" i="66"/>
  <c r="K10" i="66" s="1"/>
  <c r="L10" i="66" s="1"/>
  <c r="N10" i="66"/>
  <c r="O10" i="66" s="1"/>
  <c r="I11" i="66"/>
  <c r="K11" i="66" s="1"/>
  <c r="L11" i="66" s="1"/>
  <c r="N11" i="66"/>
  <c r="O11" i="66" s="1"/>
  <c r="I12" i="66"/>
  <c r="K12" i="66" s="1"/>
  <c r="L12" i="66" s="1"/>
  <c r="N12" i="66"/>
  <c r="O12" i="66" s="1"/>
  <c r="I13" i="66"/>
  <c r="K13" i="66" s="1"/>
  <c r="L13" i="66" s="1"/>
  <c r="N13" i="66"/>
  <c r="O13" i="66" s="1"/>
  <c r="I14" i="66"/>
  <c r="K14" i="66" s="1"/>
  <c r="L14" i="66" s="1"/>
  <c r="N14" i="66"/>
  <c r="O14" i="66" s="1"/>
  <c r="I15" i="66"/>
  <c r="K15" i="66" s="1"/>
  <c r="L15" i="66" s="1"/>
  <c r="N15" i="66"/>
  <c r="O15" i="66" s="1"/>
  <c r="I16" i="66"/>
  <c r="K16" i="66" s="1"/>
  <c r="L16" i="66" s="1"/>
  <c r="N16" i="66"/>
  <c r="O16" i="66" s="1"/>
  <c r="I17" i="66"/>
  <c r="K17" i="66" s="1"/>
  <c r="L17" i="66" s="1"/>
  <c r="N17" i="66"/>
  <c r="O17" i="66" s="1"/>
  <c r="I18" i="66"/>
  <c r="K18" i="66" s="1"/>
  <c r="L18" i="66" s="1"/>
  <c r="N18" i="66"/>
  <c r="O18" i="66" s="1"/>
  <c r="I19" i="66"/>
  <c r="K19" i="66" s="1"/>
  <c r="L19" i="66" s="1"/>
  <c r="N19" i="66"/>
  <c r="O19" i="66" s="1"/>
  <c r="I20" i="66"/>
  <c r="K20" i="66" s="1"/>
  <c r="L20" i="66" s="1"/>
  <c r="N20" i="66"/>
  <c r="O20" i="66" s="1"/>
  <c r="E22" i="66"/>
  <c r="A1" i="66"/>
  <c r="O22" i="66" l="1"/>
  <c r="O24" i="66" s="1"/>
  <c r="L22" i="66"/>
  <c r="L24" i="66" l="1"/>
  <c r="E374" i="10" l="1"/>
  <c r="Q13" i="61" l="1"/>
  <c r="Q14" i="61"/>
  <c r="Q15" i="61"/>
  <c r="Q16" i="61"/>
  <c r="Q17" i="61"/>
  <c r="Q18" i="61"/>
  <c r="Q19" i="61"/>
  <c r="Q12" i="61"/>
  <c r="D14" i="60" l="1"/>
  <c r="D13" i="60"/>
  <c r="D12" i="60"/>
  <c r="D11" i="60"/>
  <c r="C14" i="60"/>
  <c r="C13" i="60"/>
  <c r="C12" i="60"/>
  <c r="C11" i="60"/>
  <c r="B14" i="60"/>
  <c r="B13" i="60"/>
  <c r="B12" i="60"/>
  <c r="B11" i="60"/>
  <c r="I46" i="4" l="1"/>
  <c r="H37" i="4" l="1"/>
  <c r="I37" i="4" l="1"/>
  <c r="O17" i="47" l="1"/>
  <c r="O16" i="47"/>
  <c r="O15" i="47"/>
  <c r="O14" i="47"/>
  <c r="O13" i="47"/>
  <c r="O12" i="47"/>
  <c r="O11" i="47"/>
  <c r="O10" i="47"/>
  <c r="O9" i="47"/>
  <c r="O8" i="47"/>
  <c r="O7" i="47"/>
  <c r="O18" i="47" l="1"/>
  <c r="A10" i="65"/>
  <c r="O20" i="47" l="1"/>
  <c r="L36" i="16"/>
  <c r="L38" i="16"/>
  <c r="L40" i="16"/>
  <c r="L42" i="16"/>
  <c r="L44" i="16"/>
  <c r="L46" i="16"/>
  <c r="L37" i="16"/>
  <c r="L39" i="16"/>
  <c r="L41" i="16"/>
  <c r="L43" i="16"/>
  <c r="L45" i="16"/>
  <c r="L48" i="16"/>
  <c r="L50" i="16"/>
  <c r="L52" i="16"/>
  <c r="L54" i="16"/>
  <c r="L56" i="16"/>
  <c r="L58" i="16"/>
  <c r="L60" i="16"/>
  <c r="L62" i="16"/>
  <c r="L64" i="16"/>
  <c r="L66" i="16"/>
  <c r="L68" i="16"/>
  <c r="L70" i="16"/>
  <c r="L72" i="16"/>
  <c r="L74" i="16"/>
  <c r="L76" i="16"/>
  <c r="L78" i="16"/>
  <c r="L80" i="16"/>
  <c r="L82" i="16"/>
  <c r="L84" i="16"/>
  <c r="L86" i="16"/>
  <c r="L88" i="16"/>
  <c r="L90" i="16"/>
  <c r="L92" i="16"/>
  <c r="L94" i="16"/>
  <c r="L96" i="16"/>
  <c r="L98" i="16"/>
  <c r="L47" i="16"/>
  <c r="L49" i="16"/>
  <c r="L51" i="16"/>
  <c r="L53" i="16"/>
  <c r="L55" i="16"/>
  <c r="L57" i="16"/>
  <c r="L59" i="16"/>
  <c r="L61" i="16"/>
  <c r="L63" i="16"/>
  <c r="L65" i="16"/>
  <c r="L67" i="16"/>
  <c r="L69" i="16"/>
  <c r="L71" i="16"/>
  <c r="L73" i="16"/>
  <c r="L75" i="16"/>
  <c r="L77" i="16"/>
  <c r="L79" i="16"/>
  <c r="L81" i="16"/>
  <c r="L83" i="16"/>
  <c r="L85" i="16"/>
  <c r="L87" i="16"/>
  <c r="L89" i="16"/>
  <c r="L91" i="16"/>
  <c r="L93" i="16"/>
  <c r="L95" i="16"/>
  <c r="L97" i="16"/>
  <c r="L99" i="16"/>
  <c r="N9" i="65" l="1"/>
  <c r="O9" i="65" s="1"/>
  <c r="I9" i="65"/>
  <c r="K9" i="65" s="1"/>
  <c r="L9" i="65" s="1"/>
  <c r="A11" i="65" l="1"/>
  <c r="A1" i="65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E14" i="5"/>
  <c r="G14" i="5" s="1"/>
  <c r="H14" i="5" s="1"/>
  <c r="E13" i="5"/>
  <c r="G13" i="5" s="1"/>
  <c r="H13" i="5" s="1"/>
  <c r="E12" i="5"/>
  <c r="G12" i="5" s="1"/>
  <c r="H12" i="5" s="1"/>
  <c r="E11" i="5"/>
  <c r="G11" i="5" s="1"/>
  <c r="H11" i="5" s="1"/>
  <c r="E14" i="60"/>
  <c r="G14" i="60" s="1"/>
  <c r="H14" i="60" s="1"/>
  <c r="E13" i="60"/>
  <c r="G13" i="60" s="1"/>
  <c r="H13" i="60" s="1"/>
  <c r="E12" i="60"/>
  <c r="G12" i="60" s="1"/>
  <c r="H12" i="60" s="1"/>
  <c r="E11" i="60"/>
  <c r="G11" i="60" s="1"/>
  <c r="H11" i="60" s="1"/>
  <c r="I9" i="16"/>
  <c r="G9" i="16"/>
  <c r="E9" i="16"/>
  <c r="O23" i="47"/>
  <c r="O25" i="47"/>
  <c r="O24" i="47"/>
  <c r="O22" i="47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I47" i="4"/>
  <c r="I48" i="4"/>
  <c r="I49" i="4"/>
  <c r="I50" i="4"/>
  <c r="I51" i="4"/>
  <c r="K126" i="16"/>
  <c r="A12" i="63"/>
  <c r="J21" i="63"/>
  <c r="E12" i="4"/>
  <c r="F12" i="4" s="1"/>
  <c r="H12" i="4"/>
  <c r="H13" i="4"/>
  <c r="H14" i="4"/>
  <c r="I14" i="4" s="1"/>
  <c r="H15" i="4"/>
  <c r="I15" i="4" s="1"/>
  <c r="H16" i="4"/>
  <c r="H17" i="4"/>
  <c r="H18" i="4"/>
  <c r="H19" i="4"/>
  <c r="H20" i="4"/>
  <c r="H21" i="4"/>
  <c r="H22" i="4"/>
  <c r="I22" i="4" s="1"/>
  <c r="H23" i="4"/>
  <c r="I23" i="4" s="1"/>
  <c r="H24" i="4"/>
  <c r="I24" i="4" s="1"/>
  <c r="H25" i="4"/>
  <c r="E26" i="4"/>
  <c r="F26" i="4" s="1"/>
  <c r="H26" i="4"/>
  <c r="H27" i="4"/>
  <c r="I27" i="4" s="1"/>
  <c r="H28" i="4"/>
  <c r="I28" i="4" s="1"/>
  <c r="H29" i="4"/>
  <c r="H30" i="4"/>
  <c r="H31" i="4"/>
  <c r="H32" i="4"/>
  <c r="H33" i="4"/>
  <c r="I33" i="4" s="1"/>
  <c r="H34" i="4"/>
  <c r="I34" i="4" s="1"/>
  <c r="H35" i="4"/>
  <c r="H36" i="4"/>
  <c r="A12" i="62"/>
  <c r="J25" i="63"/>
  <c r="J26" i="63"/>
  <c r="J21" i="62"/>
  <c r="J26" i="62"/>
  <c r="J43" i="62"/>
  <c r="A2" i="63"/>
  <c r="J43" i="63"/>
  <c r="A12" i="15"/>
  <c r="A13" i="15" s="1"/>
  <c r="A2" i="61"/>
  <c r="A1" i="60"/>
  <c r="F16" i="60"/>
  <c r="A1" i="5"/>
  <c r="F16" i="5"/>
  <c r="A2" i="6"/>
  <c r="A2" i="15"/>
  <c r="A1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H38" i="4"/>
  <c r="I38" i="4" s="1"/>
  <c r="A1" i="16"/>
  <c r="B1" i="10"/>
  <c r="A2" i="9"/>
  <c r="A2" i="62"/>
  <c r="J25" i="62"/>
  <c r="O27" i="47" l="1"/>
  <c r="O29" i="47" s="1"/>
  <c r="S12" i="61"/>
  <c r="T12" i="61" s="1"/>
  <c r="S24" i="61"/>
  <c r="T24" i="61" s="1"/>
  <c r="I12" i="4"/>
  <c r="I16" i="4"/>
  <c r="S18" i="61"/>
  <c r="T18" i="61" s="1"/>
  <c r="S16" i="61"/>
  <c r="T16" i="61" s="1"/>
  <c r="S14" i="61"/>
  <c r="T14" i="61" s="1"/>
  <c r="I53" i="4"/>
  <c r="I57" i="4" s="1"/>
  <c r="L17" i="16"/>
  <c r="L35" i="16"/>
  <c r="L101" i="16"/>
  <c r="L116" i="16"/>
  <c r="L29" i="16"/>
  <c r="L11" i="16"/>
  <c r="L19" i="16"/>
  <c r="L21" i="16"/>
  <c r="L23" i="16"/>
  <c r="L25" i="16"/>
  <c r="L108" i="16"/>
  <c r="L118" i="16"/>
  <c r="L120" i="16"/>
  <c r="L124" i="16"/>
  <c r="J9" i="16"/>
  <c r="L9" i="16" s="1"/>
  <c r="L13" i="16"/>
  <c r="L27" i="16"/>
  <c r="L103" i="16"/>
  <c r="L110" i="16"/>
  <c r="L112" i="16"/>
  <c r="L122" i="16"/>
  <c r="L15" i="16"/>
  <c r="L31" i="16"/>
  <c r="L114" i="16"/>
  <c r="L10" i="16"/>
  <c r="L16" i="16"/>
  <c r="L28" i="16"/>
  <c r="L32" i="16"/>
  <c r="L33" i="16"/>
  <c r="L34" i="16"/>
  <c r="L104" i="16"/>
  <c r="L106" i="16"/>
  <c r="L107" i="16"/>
  <c r="L115" i="16"/>
  <c r="L123" i="16"/>
  <c r="L12" i="16"/>
  <c r="L14" i="16"/>
  <c r="L18" i="16"/>
  <c r="L20" i="16"/>
  <c r="L22" i="16"/>
  <c r="L24" i="16"/>
  <c r="L26" i="16"/>
  <c r="L30" i="16"/>
  <c r="L100" i="16"/>
  <c r="L102" i="16"/>
  <c r="L105" i="16"/>
  <c r="L109" i="16"/>
  <c r="L111" i="16"/>
  <c r="L113" i="16"/>
  <c r="L117" i="16"/>
  <c r="L119" i="16"/>
  <c r="L121" i="16"/>
  <c r="I30" i="4"/>
  <c r="I29" i="4"/>
  <c r="I26" i="4"/>
  <c r="I25" i="4"/>
  <c r="I20" i="4"/>
  <c r="I19" i="4"/>
  <c r="I18" i="4"/>
  <c r="I21" i="4"/>
  <c r="I17" i="4"/>
  <c r="I13" i="4"/>
  <c r="I36" i="4"/>
  <c r="I35" i="4"/>
  <c r="I32" i="4"/>
  <c r="I31" i="4"/>
  <c r="E376" i="10"/>
  <c r="J33" i="63"/>
  <c r="J33" i="62"/>
  <c r="S19" i="61"/>
  <c r="T19" i="61" s="1"/>
  <c r="S17" i="61"/>
  <c r="T17" i="61" s="1"/>
  <c r="S15" i="61"/>
  <c r="T15" i="61" s="1"/>
  <c r="S13" i="61"/>
  <c r="T13" i="61" s="1"/>
  <c r="H16" i="60"/>
  <c r="H16" i="5"/>
  <c r="J38" i="62" s="1"/>
  <c r="E377" i="10" l="1"/>
  <c r="E379" i="10" s="1"/>
  <c r="C14" i="9" s="1"/>
  <c r="L126" i="16"/>
  <c r="L128" i="16" s="1"/>
  <c r="J13" i="63" s="1"/>
  <c r="I40" i="4"/>
  <c r="D12" i="6" s="1"/>
  <c r="S26" i="61"/>
  <c r="T26" i="61"/>
  <c r="J42" i="62"/>
  <c r="J42" i="63"/>
  <c r="J38" i="63"/>
  <c r="I59" i="4" l="1"/>
  <c r="J16" i="62" s="1"/>
  <c r="C19" i="9"/>
  <c r="H13" i="63" s="1"/>
  <c r="L13" i="63" s="1"/>
  <c r="J13" i="62"/>
  <c r="J49" i="63"/>
  <c r="J49" i="62"/>
  <c r="J24" i="63"/>
  <c r="J24" i="62"/>
  <c r="J16" i="63" l="1"/>
  <c r="H47" i="62"/>
  <c r="L47" i="62" s="1"/>
  <c r="L25" i="63"/>
  <c r="H23" i="63"/>
  <c r="H22" i="63"/>
  <c r="L22" i="63" s="1"/>
  <c r="H21" i="62"/>
  <c r="L21" i="62" s="1"/>
  <c r="H16" i="63"/>
  <c r="H43" i="63"/>
  <c r="L43" i="63" s="1"/>
  <c r="H29" i="63"/>
  <c r="L29" i="63" s="1"/>
  <c r="H39" i="62"/>
  <c r="L39" i="62" s="1"/>
  <c r="H34" i="62"/>
  <c r="H17" i="63"/>
  <c r="H42" i="63"/>
  <c r="L42" i="63" s="1"/>
  <c r="H51" i="63"/>
  <c r="L51" i="63" s="1"/>
  <c r="H26" i="63"/>
  <c r="L26" i="63" s="1"/>
  <c r="H47" i="63"/>
  <c r="L47" i="63" s="1"/>
  <c r="H51" i="62"/>
  <c r="L51" i="62" s="1"/>
  <c r="H30" i="62"/>
  <c r="H49" i="62"/>
  <c r="H17" i="62"/>
  <c r="H16" i="62"/>
  <c r="L16" i="62" s="1"/>
  <c r="H13" i="62"/>
  <c r="L13" i="62" s="1"/>
  <c r="H24" i="62"/>
  <c r="L24" i="62" s="1"/>
  <c r="H30" i="63"/>
  <c r="H49" i="63"/>
  <c r="L49" i="63" s="1"/>
  <c r="H33" i="62"/>
  <c r="L33" i="62" s="1"/>
  <c r="H39" i="63"/>
  <c r="L39" i="63" s="1"/>
  <c r="H29" i="62"/>
  <c r="L29" i="62" s="1"/>
  <c r="H21" i="63"/>
  <c r="L21" i="63" s="1"/>
  <c r="H38" i="62"/>
  <c r="L38" i="62" s="1"/>
  <c r="H38" i="63"/>
  <c r="L38" i="63" s="1"/>
  <c r="H22" i="62"/>
  <c r="L22" i="62" s="1"/>
  <c r="H45" i="63"/>
  <c r="L45" i="63" s="1"/>
  <c r="H42" i="62"/>
  <c r="L42" i="62" s="1"/>
  <c r="H33" i="63"/>
  <c r="L33" i="63" s="1"/>
  <c r="H34" i="63"/>
  <c r="H26" i="62"/>
  <c r="L26" i="62" s="1"/>
  <c r="L25" i="62"/>
  <c r="H23" i="62"/>
  <c r="H24" i="63"/>
  <c r="L24" i="63" s="1"/>
  <c r="H45" i="62"/>
  <c r="L45" i="62" s="1"/>
  <c r="H43" i="62"/>
  <c r="L43" i="62" s="1"/>
  <c r="L49" i="62"/>
  <c r="L16" i="63" l="1"/>
  <c r="A12" i="65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A59" i="65" s="1"/>
  <c r="A60" i="65" s="1"/>
  <c r="A61" i="65" s="1"/>
  <c r="A62" i="65" s="1"/>
  <c r="A63" i="65" s="1"/>
  <c r="A64" i="65" s="1"/>
  <c r="A65" i="65" s="1"/>
  <c r="A66" i="65" s="1"/>
  <c r="A67" i="65" s="1"/>
  <c r="A68" i="65" s="1"/>
  <c r="A69" i="65" s="1"/>
  <c r="A70" i="65" s="1"/>
  <c r="A71" i="65" s="1"/>
  <c r="A72" i="65" s="1"/>
  <c r="A73" i="65" s="1"/>
  <c r="A74" i="65" s="1"/>
  <c r="A75" i="65" s="1"/>
  <c r="A76" i="65" s="1"/>
  <c r="A77" i="65" s="1"/>
  <c r="A78" i="65" s="1"/>
  <c r="A79" i="65" s="1"/>
  <c r="A80" i="65" s="1"/>
  <c r="A81" i="65" s="1"/>
  <c r="A82" i="65" s="1"/>
  <c r="A83" i="65" s="1"/>
  <c r="A84" i="65" s="1"/>
  <c r="A85" i="65" s="1"/>
  <c r="A86" i="65" s="1"/>
  <c r="A87" i="65" s="1"/>
  <c r="A88" i="65" s="1"/>
  <c r="A89" i="65" s="1"/>
  <c r="A90" i="65" s="1"/>
  <c r="A91" i="65" s="1"/>
  <c r="A92" i="65" s="1"/>
  <c r="A93" i="65" s="1"/>
  <c r="A94" i="65" s="1"/>
  <c r="A95" i="65" s="1"/>
  <c r="A96" i="65" s="1"/>
  <c r="A97" i="65" s="1"/>
  <c r="A98" i="65" s="1"/>
  <c r="A99" i="65" s="1"/>
  <c r="A100" i="65" s="1"/>
  <c r="A101" i="65" s="1"/>
  <c r="A102" i="65" s="1"/>
  <c r="A103" i="65" s="1"/>
  <c r="A104" i="65" s="1"/>
  <c r="A105" i="65" s="1"/>
  <c r="A106" i="65" s="1"/>
  <c r="A107" i="65" s="1"/>
  <c r="A108" i="65" s="1"/>
  <c r="A109" i="65" s="1"/>
  <c r="A110" i="65" s="1"/>
  <c r="A111" i="65" s="1"/>
  <c r="A112" i="65" s="1"/>
  <c r="A113" i="65" s="1"/>
  <c r="A114" i="65" s="1"/>
  <c r="A115" i="65" s="1"/>
  <c r="A116" i="65" s="1"/>
  <c r="A117" i="65" s="1"/>
  <c r="A118" i="65" s="1"/>
  <c r="A119" i="65" s="1"/>
  <c r="A120" i="65" s="1"/>
  <c r="A121" i="65" s="1"/>
  <c r="A122" i="65" s="1"/>
  <c r="A123" i="65" s="1"/>
  <c r="A124" i="65" s="1"/>
  <c r="A125" i="65" s="1"/>
  <c r="A126" i="65" s="1"/>
  <c r="A127" i="65" s="1"/>
  <c r="A128" i="65" s="1"/>
  <c r="A129" i="65" s="1"/>
  <c r="A130" i="65" s="1"/>
  <c r="A131" i="65" s="1"/>
  <c r="A132" i="65" s="1"/>
  <c r="A133" i="65" s="1"/>
  <c r="A134" i="65" s="1"/>
  <c r="A135" i="65" s="1"/>
  <c r="A136" i="65" s="1"/>
  <c r="A137" i="65" s="1"/>
  <c r="A138" i="65" s="1"/>
  <c r="A139" i="65" s="1"/>
  <c r="A140" i="65" s="1"/>
  <c r="A141" i="65" s="1"/>
  <c r="A142" i="65" s="1"/>
  <c r="A143" i="65" s="1"/>
  <c r="A144" i="65" s="1"/>
  <c r="A145" i="65" s="1"/>
  <c r="A146" i="65" s="1"/>
  <c r="A147" i="65" s="1"/>
  <c r="A148" i="65" s="1"/>
  <c r="A149" i="65" s="1"/>
  <c r="A150" i="65" s="1"/>
  <c r="A151" i="65" s="1"/>
  <c r="A152" i="65" s="1"/>
  <c r="A153" i="65" s="1"/>
  <c r="A154" i="65" s="1"/>
  <c r="A155" i="65" s="1"/>
  <c r="A156" i="65" s="1"/>
  <c r="A157" i="65" s="1"/>
  <c r="A158" i="65" s="1"/>
  <c r="A159" i="65" s="1"/>
  <c r="A160" i="65" s="1"/>
  <c r="A161" i="65" s="1"/>
  <c r="A162" i="65" s="1"/>
  <c r="A163" i="65" s="1"/>
  <c r="A164" i="65" s="1"/>
  <c r="A165" i="65" s="1"/>
  <c r="A166" i="65" s="1"/>
  <c r="A167" i="65" s="1"/>
  <c r="A168" i="65" s="1"/>
  <c r="A169" i="65" s="1"/>
  <c r="A170" i="65" s="1"/>
  <c r="A171" i="65" s="1"/>
  <c r="A172" i="65" s="1"/>
  <c r="A173" i="65" s="1"/>
  <c r="A174" i="65" s="1"/>
  <c r="A175" i="65" s="1"/>
  <c r="A176" i="65" s="1"/>
  <c r="A177" i="65" s="1"/>
  <c r="A178" i="65" s="1"/>
  <c r="A179" i="65" s="1"/>
  <c r="A180" i="65" s="1"/>
  <c r="A181" i="65" s="1"/>
  <c r="A182" i="65" s="1"/>
  <c r="A183" i="65" s="1"/>
  <c r="A184" i="65" s="1"/>
  <c r="A185" i="65" s="1"/>
  <c r="A186" i="65" s="1"/>
  <c r="A187" i="65" s="1"/>
  <c r="A188" i="65" s="1"/>
  <c r="A189" i="65" s="1"/>
  <c r="A190" i="65" s="1"/>
  <c r="A191" i="65" s="1"/>
  <c r="A192" i="65" s="1"/>
  <c r="A193" i="65" s="1"/>
  <c r="A194" i="65" s="1"/>
  <c r="A195" i="65" s="1"/>
  <c r="A196" i="65" s="1"/>
  <c r="A197" i="65" s="1"/>
  <c r="A198" i="65" s="1"/>
  <c r="A199" i="65" s="1"/>
  <c r="A200" i="65" s="1"/>
  <c r="A201" i="65" s="1"/>
  <c r="A202" i="65" s="1"/>
  <c r="A203" i="65" s="1"/>
  <c r="A204" i="65" s="1"/>
  <c r="A205" i="65" s="1"/>
  <c r="A206" i="65" s="1"/>
  <c r="A207" i="65" s="1"/>
  <c r="A208" i="65" s="1"/>
  <c r="A209" i="65" s="1"/>
  <c r="A210" i="65" s="1"/>
  <c r="A211" i="65" s="1"/>
  <c r="A212" i="65" s="1"/>
  <c r="A213" i="65" s="1"/>
  <c r="A214" i="65" s="1"/>
  <c r="A215" i="65" s="1"/>
  <c r="A216" i="65" s="1"/>
  <c r="A217" i="65" s="1"/>
  <c r="A218" i="65" s="1"/>
  <c r="A219" i="65" s="1"/>
  <c r="A220" i="65" s="1"/>
  <c r="A221" i="65" s="1"/>
  <c r="A222" i="65" s="1"/>
  <c r="A223" i="65" s="1"/>
  <c r="A224" i="65" s="1"/>
  <c r="A225" i="65" s="1"/>
  <c r="A226" i="65" s="1"/>
  <c r="A227" i="65" s="1"/>
  <c r="A228" i="65" s="1"/>
  <c r="A229" i="65" s="1"/>
  <c r="A230" i="65" s="1"/>
  <c r="A231" i="65" s="1"/>
  <c r="A232" i="65" s="1"/>
  <c r="A233" i="65" s="1"/>
  <c r="A234" i="65" s="1"/>
  <c r="A235" i="65" s="1"/>
  <c r="A236" i="65" s="1"/>
  <c r="A237" i="65" s="1"/>
  <c r="A238" i="65" s="1"/>
  <c r="A239" i="65" s="1"/>
  <c r="A240" i="65" s="1"/>
  <c r="A241" i="65" s="1"/>
  <c r="A242" i="65" s="1"/>
  <c r="A243" i="65" s="1"/>
  <c r="A244" i="65" s="1"/>
  <c r="A245" i="65" s="1"/>
  <c r="A246" i="65" s="1"/>
  <c r="A247" i="65" s="1"/>
  <c r="A248" i="65" s="1"/>
  <c r="A249" i="65" s="1"/>
  <c r="A250" i="65" s="1"/>
  <c r="A251" i="65" s="1"/>
  <c r="A252" i="65" s="1"/>
  <c r="A253" i="65" s="1"/>
  <c r="A254" i="65" s="1"/>
  <c r="A255" i="65" s="1"/>
  <c r="A256" i="65" s="1"/>
  <c r="A257" i="65" s="1"/>
  <c r="A258" i="65" s="1"/>
  <c r="A259" i="65" s="1"/>
  <c r="A260" i="65" s="1"/>
  <c r="A261" i="65" s="1"/>
  <c r="A262" i="65" s="1"/>
  <c r="A263" i="65" s="1"/>
  <c r="A264" i="65" s="1"/>
  <c r="A265" i="65" s="1"/>
  <c r="A266" i="65" s="1"/>
  <c r="A267" i="65" s="1"/>
  <c r="A268" i="65" s="1"/>
  <c r="A269" i="65" s="1"/>
  <c r="A270" i="65" s="1"/>
  <c r="A271" i="65" s="1"/>
  <c r="F26" i="62" l="1"/>
  <c r="N26" i="62" s="1"/>
  <c r="N26" i="63"/>
  <c r="N22" i="63"/>
  <c r="F24" i="62" l="1"/>
  <c r="N24" i="62" s="1"/>
  <c r="F22" i="62"/>
  <c r="N22" i="62" s="1"/>
  <c r="F25" i="62"/>
  <c r="N25" i="62" s="1"/>
  <c r="F30" i="62"/>
  <c r="F29" i="62"/>
  <c r="N29" i="62" s="1"/>
  <c r="N24" i="63"/>
  <c r="F21" i="62" l="1"/>
  <c r="N21" i="62" s="1"/>
  <c r="F23" i="62"/>
  <c r="C20" i="6"/>
  <c r="F30" i="63" l="1"/>
  <c r="F34" i="63"/>
  <c r="F33" i="62"/>
  <c r="N33" i="62" s="1"/>
  <c r="E18" i="6"/>
  <c r="E15" i="6"/>
  <c r="E12" i="6"/>
  <c r="E35" i="62" l="1"/>
  <c r="E20" i="6"/>
  <c r="J34" i="63" s="1"/>
  <c r="L34" i="63" l="1"/>
  <c r="F34" i="62"/>
  <c r="J23" i="62"/>
  <c r="J30" i="63"/>
  <c r="J30" i="62"/>
  <c r="J23" i="63"/>
  <c r="J34" i="62"/>
  <c r="L34" i="62" l="1"/>
  <c r="N34" i="62" s="1"/>
  <c r="L23" i="62"/>
  <c r="N23" i="62" s="1"/>
  <c r="L23" i="63"/>
  <c r="N23" i="63" s="1"/>
  <c r="L30" i="62"/>
  <c r="N30" i="62" s="1"/>
  <c r="L30" i="63"/>
  <c r="N35" i="62" l="1"/>
  <c r="N21" i="63"/>
  <c r="F45" i="62" l="1"/>
  <c r="N45" i="62" s="1"/>
  <c r="N30" i="63"/>
  <c r="N33" i="63"/>
  <c r="N34" i="63"/>
  <c r="N29" i="63" l="1"/>
  <c r="N13" i="63" l="1"/>
  <c r="N45" i="63"/>
  <c r="F13" i="62" l="1"/>
  <c r="N13" i="62" s="1"/>
  <c r="O147" i="65" l="1"/>
  <c r="F16" i="63" l="1"/>
  <c r="N16" i="63" s="1"/>
  <c r="F16" i="62" l="1"/>
  <c r="N16" i="62" s="1"/>
  <c r="E17" i="62" l="1"/>
  <c r="E24" i="66" l="1"/>
  <c r="E26" i="66" s="1"/>
  <c r="F17" i="62"/>
  <c r="O166" i="65" l="1"/>
  <c r="E17" i="63" l="1"/>
  <c r="F17" i="63" s="1"/>
  <c r="E35" i="63"/>
  <c r="E43" i="63"/>
  <c r="F43" i="63"/>
  <c r="N43" i="63" s="1"/>
  <c r="F47" i="63"/>
  <c r="N47" i="63" s="1"/>
  <c r="F49" i="63"/>
  <c r="N49" i="63" s="1"/>
  <c r="F51" i="63"/>
  <c r="N51" i="63" s="1"/>
  <c r="E43" i="62"/>
  <c r="F43" i="62" s="1"/>
  <c r="N43" i="62" s="1"/>
  <c r="F47" i="62"/>
  <c r="N47" i="62" s="1"/>
  <c r="F49" i="62"/>
  <c r="N49" i="62" s="1"/>
  <c r="F51" i="62"/>
  <c r="N51" i="62" s="1"/>
  <c r="F25" i="63" l="1"/>
  <c r="N25" i="63" s="1"/>
  <c r="N35" i="63" s="1"/>
  <c r="E39" i="63"/>
  <c r="F39" i="63" s="1"/>
  <c r="N39" i="63" s="1"/>
  <c r="E42" i="62"/>
  <c r="E42" i="63"/>
  <c r="F42" i="63" l="1"/>
  <c r="N42" i="63" s="1"/>
  <c r="E39" i="62"/>
  <c r="F39" i="62" s="1"/>
  <c r="N39" i="62" s="1"/>
  <c r="F42" i="62"/>
  <c r="N42" i="62" s="1"/>
  <c r="E38" i="63"/>
  <c r="F38" i="63" s="1"/>
  <c r="N38" i="63" s="1"/>
  <c r="E38" i="62" l="1"/>
  <c r="E53" i="63"/>
  <c r="F38" i="62" l="1"/>
  <c r="N38" i="62" s="1"/>
  <c r="E53" i="62"/>
  <c r="J17" i="63" l="1"/>
  <c r="L17" i="63"/>
  <c r="N17" i="63"/>
  <c r="N18" i="63"/>
  <c r="N53" i="63"/>
  <c r="J17" i="62"/>
  <c r="L17" i="62"/>
  <c r="N17" i="62"/>
  <c r="N18" i="62"/>
  <c r="N53" i="62"/>
  <c r="E11" i="15"/>
  <c r="E13" i="15"/>
  <c r="E15" i="15"/>
  <c r="E163" i="65"/>
  <c r="L163" i="65"/>
  <c r="O163" i="65"/>
  <c r="E390" i="65"/>
  <c r="L390" i="65"/>
  <c r="O390" i="65"/>
  <c r="L392" i="65"/>
  <c r="O392" i="65"/>
  <c r="E28" i="66"/>
  <c r="E30" i="66"/>
  <c r="E32" i="66"/>
</calcChain>
</file>

<file path=xl/sharedStrings.xml><?xml version="1.0" encoding="utf-8"?>
<sst xmlns="http://schemas.openxmlformats.org/spreadsheetml/2006/main" count="1561" uniqueCount="457">
  <si>
    <t>Revenue Lag Study</t>
  </si>
  <si>
    <t xml:space="preserve">Line </t>
  </si>
  <si>
    <t xml:space="preserve"> </t>
  </si>
  <si>
    <t>Revenue</t>
  </si>
  <si>
    <t>Payroll Lead Days</t>
  </si>
  <si>
    <t>Vendor</t>
  </si>
  <si>
    <t>Service Period</t>
  </si>
  <si>
    <t>From</t>
  </si>
  <si>
    <t>To</t>
  </si>
  <si>
    <t xml:space="preserve">Other O&amp;M Payment Lag </t>
  </si>
  <si>
    <t>b</t>
  </si>
  <si>
    <t>c</t>
  </si>
  <si>
    <t>e</t>
  </si>
  <si>
    <t xml:space="preserve">a </t>
  </si>
  <si>
    <t>f</t>
  </si>
  <si>
    <t xml:space="preserve">Other O&amp;M Payment Lag Days:  </t>
  </si>
  <si>
    <t>Atmos Consolidated Balances</t>
  </si>
  <si>
    <t>Annual</t>
  </si>
  <si>
    <t>% of</t>
  </si>
  <si>
    <t>Lender</t>
  </si>
  <si>
    <t>Maturity</t>
  </si>
  <si>
    <t>Type of Payment</t>
  </si>
  <si>
    <t>Pymt 1</t>
  </si>
  <si>
    <t>Pymt 2</t>
  </si>
  <si>
    <t>Pymt 3</t>
  </si>
  <si>
    <t>Pymt 4</t>
  </si>
  <si>
    <t>Interest</t>
  </si>
  <si>
    <t>Total Interest</t>
  </si>
  <si>
    <t>$</t>
  </si>
  <si>
    <t>WEIGHTED AVERAGE LEAD DAYS OF LONG TERM DEBT EXPENSE</t>
  </si>
  <si>
    <t>Long Term Debt</t>
  </si>
  <si>
    <t>Allocated Taxes-Shared Services</t>
  </si>
  <si>
    <t>Allocated Taxes-Business Unit</t>
  </si>
  <si>
    <t>Midpoint</t>
  </si>
  <si>
    <t>d</t>
  </si>
  <si>
    <t>Ad Valorem</t>
  </si>
  <si>
    <t xml:space="preserve">Check Clearing Lag Days:  </t>
  </si>
  <si>
    <t xml:space="preserve">Total O&amp;M Payment Lag Days:  </t>
  </si>
  <si>
    <t>Atmos Energy Corporation</t>
  </si>
  <si>
    <t>Company Name:</t>
  </si>
  <si>
    <t>Jurisdiction:</t>
  </si>
  <si>
    <t>LEAD/LAG STUDY</t>
  </si>
  <si>
    <t>Per Books Purchase Gas Cost</t>
  </si>
  <si>
    <t>Residential sales</t>
  </si>
  <si>
    <t>Other gas revenues</t>
  </si>
  <si>
    <t>Depreciation</t>
  </si>
  <si>
    <t>Operation and Maintenance Expense</t>
  </si>
  <si>
    <t xml:space="preserve">Taxes Other Than Income </t>
  </si>
  <si>
    <t>Test Year</t>
  </si>
  <si>
    <t>Expenses</t>
  </si>
  <si>
    <t>Expense</t>
  </si>
  <si>
    <t>Net Lag</t>
  </si>
  <si>
    <t>Supplier</t>
  </si>
  <si>
    <t>(h)</t>
  </si>
  <si>
    <t>Date of</t>
  </si>
  <si>
    <t>Invoice</t>
  </si>
  <si>
    <t xml:space="preserve">Date </t>
  </si>
  <si>
    <t>Total Taxes Other Than Income</t>
  </si>
  <si>
    <t>Start Service</t>
  </si>
  <si>
    <t>Finish Service</t>
  </si>
  <si>
    <t>(k)</t>
  </si>
  <si>
    <t>Total Revenue Lag =</t>
  </si>
  <si>
    <t>Begin</t>
  </si>
  <si>
    <t>Test Period</t>
  </si>
  <si>
    <t>TOTAL</t>
  </si>
  <si>
    <t>Same day</t>
  </si>
  <si>
    <t>Next day</t>
  </si>
  <si>
    <t>2 days</t>
  </si>
  <si>
    <t>3-7 days</t>
  </si>
  <si>
    <t>8-14 days</t>
  </si>
  <si>
    <t>&gt; 2 weeks</t>
  </si>
  <si>
    <t>Payroll Checks</t>
  </si>
  <si>
    <t>Clearing</t>
  </si>
  <si>
    <t>from Pd Dt</t>
  </si>
  <si>
    <t>Direct Payroll</t>
  </si>
  <si>
    <t>(i)</t>
  </si>
  <si>
    <t xml:space="preserve"> Days</t>
  </si>
  <si>
    <t>Lead/Lag</t>
  </si>
  <si>
    <t>Payroll Taxes</t>
  </si>
  <si>
    <t>Total O&amp;M Expense</t>
  </si>
  <si>
    <t>Gas Supply Expense</t>
  </si>
  <si>
    <t>AVERAGE DAILY TOTALS</t>
  </si>
  <si>
    <t>REVENUE LAG</t>
  </si>
  <si>
    <t>Type</t>
  </si>
  <si>
    <t>( c)</t>
  </si>
  <si>
    <t>To Schedule 1, Line 3</t>
  </si>
  <si>
    <t>Average</t>
  </si>
  <si>
    <t>TOTAL PAYROLL DIRECT DEPOSIT WEIGHTED AVG EXPENSE LAG</t>
  </si>
  <si>
    <t>Weighted Avg</t>
  </si>
  <si>
    <t>Lead/Lag Days</t>
  </si>
  <si>
    <t>Cash Working Capital Lead/Lag Analysis</t>
  </si>
  <si>
    <t>(b) / 365 days</t>
  </si>
  <si>
    <t>(c) x (f)</t>
  </si>
  <si>
    <t>( d) - (e)</t>
  </si>
  <si>
    <t>Daily Expense</t>
  </si>
  <si>
    <t>Production Month</t>
  </si>
  <si>
    <t>(j)</t>
  </si>
  <si>
    <t>(h) x (i)</t>
  </si>
  <si>
    <t>h</t>
  </si>
  <si>
    <t>Average Lag</t>
  </si>
  <si>
    <t>Taxes Other Than Income Taxes</t>
  </si>
  <si>
    <t>Payroll Taxes:</t>
  </si>
  <si>
    <t xml:space="preserve">Invoice </t>
  </si>
  <si>
    <t>i</t>
  </si>
  <si>
    <t>CWC WP 2-1</t>
  </si>
  <si>
    <t>CWC WP 2-2</t>
  </si>
  <si>
    <t>CWC WP 5-1</t>
  </si>
  <si>
    <t>Deferred Taxes</t>
  </si>
  <si>
    <t>Current Taxes</t>
  </si>
  <si>
    <t>Return on Equity</t>
  </si>
  <si>
    <t>Federal Income Tax Payments:</t>
  </si>
  <si>
    <t>Interest Expense - LTD</t>
  </si>
  <si>
    <t>ACTUAL CHECKS WRITTEN:</t>
  </si>
  <si>
    <t>WEIGHTED AVERAGE OF ACTUAL PAYROLL  CHECKS</t>
  </si>
  <si>
    <t>TOTAL PAYROLL LAG</t>
  </si>
  <si>
    <t>Total Payroll Check Lag</t>
  </si>
  <si>
    <t>% of Payroll Checks</t>
  </si>
  <si>
    <t>Federal Income Taxes</t>
  </si>
  <si>
    <t>Line No.</t>
  </si>
  <si>
    <t>(Test Yr Average Daily Accounts Receivable / Test Yr Average Daily Revenue)</t>
  </si>
  <si>
    <t>Payment</t>
  </si>
  <si>
    <t>Line</t>
  </si>
  <si>
    <t>CWC</t>
  </si>
  <si>
    <t>No.</t>
  </si>
  <si>
    <t>Description</t>
  </si>
  <si>
    <t>Amount</t>
  </si>
  <si>
    <t>Days</t>
  </si>
  <si>
    <t>Requirement</t>
  </si>
  <si>
    <t>(a)</t>
  </si>
  <si>
    <t>(b)</t>
  </si>
  <si>
    <t>(c)</t>
  </si>
  <si>
    <t>(d)</t>
  </si>
  <si>
    <t>(e)</t>
  </si>
  <si>
    <t>(f)</t>
  </si>
  <si>
    <t>(g)</t>
  </si>
  <si>
    <t>Purchased Gas</t>
  </si>
  <si>
    <t>Lag</t>
  </si>
  <si>
    <t>Start</t>
  </si>
  <si>
    <t>End</t>
  </si>
  <si>
    <t xml:space="preserve">Morning </t>
  </si>
  <si>
    <t>Evening</t>
  </si>
  <si>
    <t>Total</t>
  </si>
  <si>
    <t>of 1st day</t>
  </si>
  <si>
    <t>of Last Day</t>
  </si>
  <si>
    <t>No. of</t>
  </si>
  <si>
    <t>Service</t>
  </si>
  <si>
    <t>Date</t>
  </si>
  <si>
    <t>of Pay Period</t>
  </si>
  <si>
    <t>Paid</t>
  </si>
  <si>
    <t>Due</t>
  </si>
  <si>
    <t>Weighted</t>
  </si>
  <si>
    <t>Weight</t>
  </si>
  <si>
    <t>As Adjusted</t>
  </si>
  <si>
    <t>$ Amount</t>
  </si>
  <si>
    <t># of Days</t>
  </si>
  <si>
    <t xml:space="preserve">Weighted </t>
  </si>
  <si>
    <t>Cleared</t>
  </si>
  <si>
    <t>$ Days</t>
  </si>
  <si>
    <t xml:space="preserve">Federal Income Tax </t>
  </si>
  <si>
    <t>O&amp;M, Labor</t>
  </si>
  <si>
    <t>O&amp;M, Non-Labor</t>
  </si>
  <si>
    <t>Collection Lag:</t>
  </si>
  <si>
    <t>Federal Unemployment - Paid quarterly in arrears at the</t>
  </si>
  <si>
    <t>DOT</t>
  </si>
  <si>
    <t>Total Revenue</t>
  </si>
  <si>
    <t>Unbilled Residential Revenue</t>
  </si>
  <si>
    <t>Unbilled Indus Revenue</t>
  </si>
  <si>
    <t>Unbilled Comm Revenue</t>
  </si>
  <si>
    <t>Unbilled Public Authority Reve</t>
  </si>
  <si>
    <t>Forfeited discounts</t>
  </si>
  <si>
    <t>Miscellaneous service revenues</t>
  </si>
  <si>
    <t>Revenue-Transportation Commerc</t>
  </si>
  <si>
    <t>Revenue-Transportation Industr</t>
  </si>
  <si>
    <t>Billed Revenue</t>
  </si>
  <si>
    <t>Rent from Gas Property</t>
  </si>
  <si>
    <t>Account</t>
  </si>
  <si>
    <t>Due Date</t>
  </si>
  <si>
    <t>Total Payroll Taxes</t>
  </si>
  <si>
    <t xml:space="preserve">Other O&amp;M Payment and Check Clearing Lag </t>
  </si>
  <si>
    <t>lag</t>
  </si>
  <si>
    <t>g</t>
  </si>
  <si>
    <t>j = i -(h or b)</t>
  </si>
  <si>
    <t>k = (j * d)</t>
  </si>
  <si>
    <t>l</t>
  </si>
  <si>
    <t>n = (m * d)</t>
  </si>
  <si>
    <t>m = (l  - i)</t>
  </si>
  <si>
    <t>Revenue-Transportation Distrib</t>
  </si>
  <si>
    <t>Billed Taxes</t>
  </si>
  <si>
    <t>Billed Revenue plus Taxes</t>
  </si>
  <si>
    <t>DOT - Payment for the pipeline safety user fee for the</t>
  </si>
  <si>
    <t>current fiscal year is due by May 30th</t>
  </si>
  <si>
    <t>ATO-CWC1 A</t>
  </si>
  <si>
    <t>ATO-CWC1 B</t>
  </si>
  <si>
    <t>ATO-CWC2</t>
  </si>
  <si>
    <t>ATO-CWC3</t>
  </si>
  <si>
    <t>ATO-CWC4</t>
  </si>
  <si>
    <t>ATO-CWC5</t>
  </si>
  <si>
    <t xml:space="preserve">ATO-CWC6  </t>
  </si>
  <si>
    <t xml:space="preserve">ATO-CWC9 </t>
  </si>
  <si>
    <t xml:space="preserve">ATO-CWC8 </t>
  </si>
  <si>
    <t>ATO-CWC7</t>
  </si>
  <si>
    <t>State Unemployment - Paid quarterly in arrears at the end</t>
  </si>
  <si>
    <t>Total Normalized Other O&amp;M</t>
  </si>
  <si>
    <t>Commercial Revenue</t>
  </si>
  <si>
    <t>Industrial Revenue</t>
  </si>
  <si>
    <t>Other Sales to Public Authority</t>
  </si>
  <si>
    <t>Revenue Lag Study - Daily Accts Receivable Balances for Mid-States</t>
  </si>
  <si>
    <t>CWC WP 5-2</t>
  </si>
  <si>
    <t>CWC2</t>
  </si>
  <si>
    <t>CWC3</t>
  </si>
  <si>
    <t>CWC4</t>
  </si>
  <si>
    <t>CWC5</t>
  </si>
  <si>
    <t>CWC6</t>
  </si>
  <si>
    <t>CWC7</t>
  </si>
  <si>
    <t>CWC8</t>
  </si>
  <si>
    <t>CWC9</t>
  </si>
  <si>
    <t>Kentucky</t>
  </si>
  <si>
    <t>Test Year for Lead/Lag Study:</t>
  </si>
  <si>
    <t>Service Lag =</t>
  </si>
  <si>
    <t>Average Billing Lag (1) =</t>
  </si>
  <si>
    <t>Bank Lag (2) =</t>
  </si>
  <si>
    <t>Notes:</t>
  </si>
  <si>
    <t>(2) Please see the relied upon labeled "CWC2 Bank Lag" for the lag by payment channel</t>
  </si>
  <si>
    <t>Revenue Lag Study - Division 009 Kentucky Monthly Revenues</t>
  </si>
  <si>
    <t>Division 009</t>
  </si>
  <si>
    <t>Element Fleet Percent of Total</t>
  </si>
  <si>
    <t>O&amp;M Sample Excluding Element Fleet</t>
  </si>
  <si>
    <t>O&amp;M Sample with Element Fleet at percent of total from above</t>
  </si>
  <si>
    <t>Adjusted Element Fleet amount in sample</t>
  </si>
  <si>
    <t>(1)</t>
  </si>
  <si>
    <t>Pymt 5</t>
  </si>
  <si>
    <t>Pymt 6</t>
  </si>
  <si>
    <t>Pymt 7</t>
  </si>
  <si>
    <t>Pymt 8</t>
  </si>
  <si>
    <t>KENTUCKY ANNUAL BILLED REVENUE</t>
  </si>
  <si>
    <t>KENTUCKY AVERAGE DAILY REVENUE</t>
  </si>
  <si>
    <t>Public Service Commission</t>
  </si>
  <si>
    <t>Forecast Test Year:</t>
  </si>
  <si>
    <t>Base Period:</t>
  </si>
  <si>
    <t>State Income Tax</t>
  </si>
  <si>
    <t>State Income Taxes</t>
  </si>
  <si>
    <t>State Income Tax Payments:</t>
  </si>
  <si>
    <t>45 days after billed for state agencies and 30 days after</t>
  </si>
  <si>
    <t>billed for local agencies</t>
  </si>
  <si>
    <t>Interest Expense - STD</t>
  </si>
  <si>
    <t>Public Service Commission Assessment</t>
  </si>
  <si>
    <t>Assessment are prepaid to the Commission annually and</t>
  </si>
  <si>
    <t>are included in prepayments in rate base</t>
  </si>
  <si>
    <t>N/A</t>
  </si>
  <si>
    <t>Division Ad Valorem - Previous calendar year taxes are paid</t>
  </si>
  <si>
    <t>Shared Services Ad Valorem - Previous calendar year</t>
  </si>
  <si>
    <t>taxes are paid by January 31 of the current calendar year</t>
  </si>
  <si>
    <t>FICA - Paid on the day before each payday:</t>
  </si>
  <si>
    <t>end of the month following each quarter plus payroll service lag:</t>
  </si>
  <si>
    <t>Franchise and other pass through</t>
  </si>
  <si>
    <t>Franchise and Other Pass Through Taxes</t>
  </si>
  <si>
    <t>Taxes property and other</t>
  </si>
  <si>
    <t>Taxes Property and Other</t>
  </si>
  <si>
    <t>(1) Please see relied file labeled "CWC1 STD Days Outstanding.pdf (Page 9)" for calculation of average days held</t>
  </si>
  <si>
    <t>Cost of Service Reserve</t>
  </si>
  <si>
    <t>Pymt 9</t>
  </si>
  <si>
    <t>Pymt 10</t>
  </si>
  <si>
    <t>Pymt 11</t>
  </si>
  <si>
    <t>Pymt 12</t>
  </si>
  <si>
    <t>From WP 2-2</t>
  </si>
  <si>
    <t>(1) Please see the relied upon labeled "CWC2 Read to Billing Lag" for the billing lag</t>
  </si>
  <si>
    <t xml:space="preserve">     for the months of September, 2017 and January, 2018</t>
  </si>
  <si>
    <t>10/31/2017</t>
  </si>
  <si>
    <t>11/30/2017</t>
  </si>
  <si>
    <t>12/29/2017</t>
  </si>
  <si>
    <t>1/31/2018</t>
  </si>
  <si>
    <t>2/28/2018</t>
  </si>
  <si>
    <t>3/29/2018</t>
  </si>
  <si>
    <t>4/30/2018</t>
  </si>
  <si>
    <t>5/31/2018</t>
  </si>
  <si>
    <t>6/29/2018</t>
  </si>
  <si>
    <t>Direct Deposit</t>
  </si>
  <si>
    <t>ELEMENT FLEET</t>
  </si>
  <si>
    <t>For the CWC Study Test Year Ended March 31, 2021</t>
  </si>
  <si>
    <t>Totals</t>
  </si>
  <si>
    <t xml:space="preserve">Allocated Taxes-Shared Services </t>
  </si>
  <si>
    <t xml:space="preserve">Allocated Taxes-Business Unit </t>
  </si>
  <si>
    <t>Unbilled Revenue</t>
  </si>
  <si>
    <t>Antle Operating Company Inc.</t>
  </si>
  <si>
    <t>Centerpoint Energy Services Inc</t>
  </si>
  <si>
    <t>Har Ken Agent OK</t>
  </si>
  <si>
    <t>Midwestern Gas Transmission</t>
  </si>
  <si>
    <t>Orbit Gas Transmission Inc</t>
  </si>
  <si>
    <t>Tennessee Gas Pipeline Co</t>
  </si>
  <si>
    <t>Texas Gas Transmission Corporation</t>
  </si>
  <si>
    <t>Trunkline Gas Company, LLC</t>
  </si>
  <si>
    <t>United Energy Trading, LLC</t>
  </si>
  <si>
    <t>Symmetry Energy Solutions, LLC</t>
  </si>
  <si>
    <t>6/10/20-6/14/20</t>
  </si>
  <si>
    <t>6/15/2020-6/21/20</t>
  </si>
  <si>
    <t>Period:  05/16/20 to 05/29/20 Paydate 06/5/2020</t>
  </si>
  <si>
    <t>MTN 1995-1</t>
  </si>
  <si>
    <t>12/31/2025</t>
  </si>
  <si>
    <t>SEMI ANNUAL</t>
  </si>
  <si>
    <t>6/15/2020</t>
  </si>
  <si>
    <t>12/15/2020</t>
  </si>
  <si>
    <t>Debentures</t>
  </si>
  <si>
    <t>7/15/2020</t>
  </si>
  <si>
    <t>1/15/2021</t>
  </si>
  <si>
    <t>SrNote 5.95%</t>
  </si>
  <si>
    <t>4/15/2020</t>
  </si>
  <si>
    <t>10/15/2020</t>
  </si>
  <si>
    <t>SrNote 3.00%</t>
  </si>
  <si>
    <t>06/15/2027</t>
  </si>
  <si>
    <t>Sr Note 5.50%</t>
  </si>
  <si>
    <t>06/15/2041</t>
  </si>
  <si>
    <t>SrNote 4.15%</t>
  </si>
  <si>
    <t>1/15/2043</t>
  </si>
  <si>
    <t>SrNote 4.125%</t>
  </si>
  <si>
    <t>10/15/2044</t>
  </si>
  <si>
    <t>SrNote 4.300%</t>
  </si>
  <si>
    <t>10/1/2048</t>
  </si>
  <si>
    <t>4/1/2020</t>
  </si>
  <si>
    <t>10/1/2020</t>
  </si>
  <si>
    <t>3/15/2049</t>
  </si>
  <si>
    <t>9/15/2020</t>
  </si>
  <si>
    <t>3/15/2021</t>
  </si>
  <si>
    <t>SrNote 2.625%</t>
  </si>
  <si>
    <t>9/15/2029</t>
  </si>
  <si>
    <t>SrNote 3.375%</t>
  </si>
  <si>
    <t>9/15/2049</t>
  </si>
  <si>
    <t>9/15'/2020</t>
  </si>
  <si>
    <t>SrNote 1.5%</t>
  </si>
  <si>
    <t>1/15/2031</t>
  </si>
  <si>
    <t>LTD Term Loan Varied</t>
  </si>
  <si>
    <t>4/9/2021</t>
  </si>
  <si>
    <t>QUARTERLY</t>
  </si>
  <si>
    <t>7/9/2020</t>
  </si>
  <si>
    <t>10/9/2020</t>
  </si>
  <si>
    <t>1/11/2021</t>
  </si>
  <si>
    <t>ACTION PEST CONTROL INC</t>
  </si>
  <si>
    <t>CHECK</t>
  </si>
  <si>
    <t>AIRGAS USA LLC</t>
  </si>
  <si>
    <t>ALLIANCE CONSULTING GROUP</t>
  </si>
  <si>
    <t>AMBERS FACILITY MAINTENANCE</t>
  </si>
  <si>
    <t>ARKEMA INC</t>
  </si>
  <si>
    <t>AT&amp;T</t>
  </si>
  <si>
    <t>AT&amp;T MOBILITY</t>
  </si>
  <si>
    <t>ATMOS ENERGY CORPORATION</t>
  </si>
  <si>
    <t>AUTOMOTIVE RESOURCES INTERNATIONAL</t>
  </si>
  <si>
    <t>B GREEN LAWN CARE</t>
  </si>
  <si>
    <t>BANK OF AMERICA</t>
  </si>
  <si>
    <t>EFT</t>
  </si>
  <si>
    <t>Basham, Jake W (Jake)</t>
  </si>
  <si>
    <t>Baumgardner, Steven M (Steven)</t>
  </si>
  <si>
    <t>BLUE GRASS ENERGY</t>
  </si>
  <si>
    <t>Bohlen, Silas A (Silas)</t>
  </si>
  <si>
    <t>BOWLING GREEN MUNICIPAL UTILITIES</t>
  </si>
  <si>
    <t>Brown, Bobby S (Bobby)</t>
  </si>
  <si>
    <t>Brown, Sean R (Sean)</t>
  </si>
  <si>
    <t>BRYANT CONSULTANTS INC</t>
  </si>
  <si>
    <t>BUCKMAN CHRIS</t>
  </si>
  <si>
    <t>CAMPBELLSVILLE WATER AND SEWER</t>
  </si>
  <si>
    <t>CARDINAL TRACKING INC</t>
  </si>
  <si>
    <t>CHAMBER OF COMMERCE</t>
  </si>
  <si>
    <t>CITY OF DANVILLE KY</t>
  </si>
  <si>
    <t>CITY OF FRANKLIN KY</t>
  </si>
  <si>
    <t>CLARK BEVERAGE GROUP INC</t>
  </si>
  <si>
    <t>CLEAN GREEN PORTA POTTIES LLC</t>
  </si>
  <si>
    <t>Coleman, Michael D (Mike)</t>
  </si>
  <si>
    <t>COMCAST CABLE</t>
  </si>
  <si>
    <t>Cox, Matthew T (Matthew)</t>
  </si>
  <si>
    <t>DAILY NEWS INC</t>
  </si>
  <si>
    <t>DITCH WITCH MID STATES</t>
  </si>
  <si>
    <t>DS GARAGE DOOR SERVICE LLC</t>
  </si>
  <si>
    <t>EGW UTILITIES INC</t>
  </si>
  <si>
    <t>ELIZABETHTON ELECTRIC SYSTEM</t>
  </si>
  <si>
    <t>ENGLISH LUCAS PRIEST AND OWSLEY</t>
  </si>
  <si>
    <t>EWAN NORMA</t>
  </si>
  <si>
    <t>FARMERS RURAL ELECTRIC COOPERATIVE CORPORATION</t>
  </si>
  <si>
    <t>FIRST-LINE FIRE EXTINGUISHER CO</t>
  </si>
  <si>
    <t>FRANCOTYP POSTALIA INC</t>
  </si>
  <si>
    <t>FRANKLIN ELECTRIC PLANT BOARD</t>
  </si>
  <si>
    <t>GAS AND SUPPLY</t>
  </si>
  <si>
    <t>GEORG FISCHER CENTRAL PLASTICS LLC</t>
  </si>
  <si>
    <t>GLASGOW ELECTRIC PLANT BOARD</t>
  </si>
  <si>
    <t>HAWKEYE HELICOPTER LLC</t>
  </si>
  <si>
    <t>HOPKINSVILLE ELECTRIC SYSTEM</t>
  </si>
  <si>
    <t>INTER COUNTY ENERGY</t>
  </si>
  <si>
    <t>JACKSON PURCHASE ENERGY CORPORATION</t>
  </si>
  <si>
    <t>JENKINS PLUMBING INC</t>
  </si>
  <si>
    <t>JENNINGS AND LITTLE EXCAVATING</t>
  </si>
  <si>
    <t>JEWELL LAWN AND LANDSCAPE</t>
  </si>
  <si>
    <t>KELLYS KLEENING</t>
  </si>
  <si>
    <t>KENERGY CORP</t>
  </si>
  <si>
    <t>KENTUCKY 811</t>
  </si>
  <si>
    <t>KENTUCKY COUNTY JUDGE EXECUTIVE ASSOCIATION</t>
  </si>
  <si>
    <t>KU ENERGY CORPORATION</t>
  </si>
  <si>
    <t>LASER BEAM STUDIO LLP</t>
  </si>
  <si>
    <t>LAWN WORX LLC</t>
  </si>
  <si>
    <t>LEBANON WATER WORKS INC</t>
  </si>
  <si>
    <t>LOGANS INC</t>
  </si>
  <si>
    <t>Lowe, Brett P (Brett)</t>
  </si>
  <si>
    <t>MADISONVILLE MUNICIPAL UTILITIES</t>
  </si>
  <si>
    <t>MARTIN MARIETTA MATERIALS</t>
  </si>
  <si>
    <t>MASTERCRAFT PRINTED PRODUCTS AND SERVICES INC</t>
  </si>
  <si>
    <t>Mattingly, Patrick T (Pat)</t>
  </si>
  <si>
    <t>Mayes, Larry A (Andy)</t>
  </si>
  <si>
    <t>MCGRIFF SEIBELS AND WILLIAMS INC</t>
  </si>
  <si>
    <t>MEADE COUNTY RURAL ELECTRIC</t>
  </si>
  <si>
    <t>MERIWETHER RANDY</t>
  </si>
  <si>
    <t>MGA SPECIAL EVENTS</t>
  </si>
  <si>
    <t>MODERN SUPPLY COMPANY INC</t>
  </si>
  <si>
    <t>MRC GLOBAL</t>
  </si>
  <si>
    <t>Nash, Kenneth W (Kenny)</t>
  </si>
  <si>
    <t>ONE HEALTH</t>
  </si>
  <si>
    <t>OPC PEST SERVICES</t>
  </si>
  <si>
    <t>ORKIN PEST CONTROL</t>
  </si>
  <si>
    <t>OWENS CONSTRUCTION</t>
  </si>
  <si>
    <t>OWENSBORO MUNICIPAL UTILITIES</t>
  </si>
  <si>
    <t>PADUCAH BOARD OF REALTORS INC</t>
  </si>
  <si>
    <t>PADUCAH POWER SYSTEM</t>
  </si>
  <si>
    <t>PADUCAH SUN INC</t>
  </si>
  <si>
    <t>PADUCAH WATER WORKS</t>
  </si>
  <si>
    <t>Patterson, Joshua T. (Josh)</t>
  </si>
  <si>
    <t>Payne, James M (James)</t>
  </si>
  <si>
    <t>PENNYRILE RURAL ELECTRIC COOP CORP</t>
  </si>
  <si>
    <t>QUALITY SERVICE PLUMBING</t>
  </si>
  <si>
    <t>QUINT UTILITIES AND EXCAVATION</t>
  </si>
  <si>
    <t>REPUBLIC SERVICES</t>
  </si>
  <si>
    <t>RICOH USA INC</t>
  </si>
  <si>
    <t>Sanderson, Jackson (Jackson)</t>
  </si>
  <si>
    <t>SCOTT WASTE SERVICES INC</t>
  </si>
  <si>
    <t>SELECT SECURITY</t>
  </si>
  <si>
    <t>SENSIT TECHNOLOGIES</t>
  </si>
  <si>
    <t>SENSONICS INC</t>
  </si>
  <si>
    <t>SHELBYVILLE MUNICIPAL WATER AND SEWER</t>
  </si>
  <si>
    <t>SHELLY TOLES PLUMBING INC</t>
  </si>
  <si>
    <t>SITEX CORPORATION</t>
  </si>
  <si>
    <t>Smith, Darrel R (Darrel)</t>
  </si>
  <si>
    <t>SOUTH HOPKINS WATER DISTRICT</t>
  </si>
  <si>
    <t>STYLES BY JOE - JOES CLEANING SERVICE LLC</t>
  </si>
  <si>
    <t>SUBLETT-BUNTON MYRA</t>
  </si>
  <si>
    <t>SUBMAR INC</t>
  </si>
  <si>
    <t>SUPERIOR LAWN CARE</t>
  </si>
  <si>
    <t>TAYLOR COUNTY RURAL ELECTRIC COOP CORP</t>
  </si>
  <si>
    <t>TIME WARNER CABLE</t>
  </si>
  <si>
    <t>Tolbert, Ryan K (Ryan)</t>
  </si>
  <si>
    <t>TRAILER AND TRACTOR SERVICE LLC</t>
  </si>
  <si>
    <t>TRI STATE METER AND REGULATOR SERVICE</t>
  </si>
  <si>
    <t>Tullis, Jimmie (Jimmie)</t>
  </si>
  <si>
    <t>VALOR LLC</t>
  </si>
  <si>
    <t>VF IMAGEWEAR INC</t>
  </si>
  <si>
    <t>VULCAN INC</t>
  </si>
  <si>
    <t>WALDROP JERRY</t>
  </si>
  <si>
    <t>WALKERS TOWING SERVICE</t>
  </si>
  <si>
    <t>WARREN RURAL ELECTRIC COOP</t>
  </si>
  <si>
    <t>WEST DAVIESS CO WATER DISTRICT</t>
  </si>
  <si>
    <t>WEST KENTUCKY RURAL ELECTRIC</t>
  </si>
  <si>
    <t>WILLIAMS PROFESSIONAL COATINGS</t>
  </si>
  <si>
    <t>WILSON HUTCHINSON POTEAT &amp; LITTLEPAGE</t>
  </si>
  <si>
    <t>WRIGHT IMPLEMENT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</si>
</sst>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mm/dd/yy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mm/dd/yy;@"/>
    <numFmt numFmtId="171" formatCode="m/d/yy;@"/>
    <numFmt numFmtId="172" formatCode="[$-409]mmmm\ d\,\ yyyy;@"/>
    <numFmt numFmtId="173" formatCode="[$-409]d\-mmm\-yy;@"/>
    <numFmt numFmtId="174" formatCode="m/d/yyyy;@"/>
    <numFmt numFmtId="175" formatCode="[$-F800]dddd\,\ mmmm\ dd\,\ yyyy"/>
    <numFmt numFmtId="176" formatCode="0;[Red]0"/>
    <numFmt numFmtId="177" formatCode="0.000%"/>
  </numFmts>
  <fonts count="42">
    <font>
      <sz val="12"/>
      <name val="Tms Rmn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ms Rmn"/>
    </font>
    <font>
      <b/>
      <sz val="12"/>
      <name val="Tms Rmn"/>
    </font>
    <font>
      <sz val="12"/>
      <color indexed="13"/>
      <name val="Tms Rmn"/>
    </font>
    <font>
      <sz val="10"/>
      <name val="Tms Rmn"/>
    </font>
    <font>
      <sz val="12"/>
      <name val="Times New Roman"/>
      <family val="1"/>
    </font>
    <font>
      <sz val="8"/>
      <name val="Tms Rmn"/>
    </font>
    <font>
      <sz val="10"/>
      <name val="Arial Narrow"/>
      <family val="2"/>
    </font>
    <font>
      <sz val="12"/>
      <name val="Arial MT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Arial MT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MT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rgb="FF00206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9">
    <xf numFmtId="37" fontId="0" fillId="0" borderId="0"/>
    <xf numFmtId="0" fontId="2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1"/>
    <xf numFmtId="0" fontId="5" fillId="2" borderId="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0" borderId="0"/>
    <xf numFmtId="0" fontId="4" fillId="0" borderId="0"/>
    <xf numFmtId="37" fontId="4" fillId="0" borderId="0"/>
    <xf numFmtId="0" fontId="4" fillId="0" borderId="0"/>
    <xf numFmtId="37" fontId="4" fillId="0" borderId="0"/>
    <xf numFmtId="40" fontId="12" fillId="3" borderId="0">
      <alignment horizontal="right"/>
    </xf>
    <xf numFmtId="0" fontId="13" fillId="4" borderId="0">
      <alignment horizontal="center"/>
    </xf>
    <xf numFmtId="0" fontId="14" fillId="5" borderId="2"/>
    <xf numFmtId="0" fontId="15" fillId="0" borderId="0" applyBorder="0">
      <alignment horizontal="centerContinuous"/>
    </xf>
    <xf numFmtId="0" fontId="16" fillId="0" borderId="0" applyBorder="0">
      <alignment horizontal="centerContinuous"/>
    </xf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1"/>
    <xf numFmtId="0" fontId="4" fillId="0" borderId="1"/>
    <xf numFmtId="0" fontId="6" fillId="6" borderId="0"/>
    <xf numFmtId="0" fontId="6" fillId="6" borderId="0"/>
    <xf numFmtId="0" fontId="5" fillId="0" borderId="3"/>
    <xf numFmtId="0" fontId="5" fillId="0" borderId="3"/>
    <xf numFmtId="0" fontId="5" fillId="0" borderId="1"/>
    <xf numFmtId="0" fontId="5" fillId="0" borderId="1"/>
    <xf numFmtId="0" fontId="21" fillId="0" borderId="0"/>
  </cellStyleXfs>
  <cellXfs count="375">
    <xf numFmtId="37" fontId="0" fillId="0" borderId="0" xfId="0"/>
    <xf numFmtId="0" fontId="8" fillId="0" borderId="0" xfId="16" applyFont="1" applyAlignment="1">
      <alignment horizontal="centerContinuous"/>
    </xf>
    <xf numFmtId="0" fontId="8" fillId="0" borderId="0" xfId="16" applyFont="1" applyBorder="1" applyAlignment="1">
      <alignment horizontal="centerContinuous"/>
    </xf>
    <xf numFmtId="0" fontId="8" fillId="0" borderId="0" xfId="16" applyFont="1"/>
    <xf numFmtId="0" fontId="11" fillId="0" borderId="0" xfId="16"/>
    <xf numFmtId="0" fontId="8" fillId="0" borderId="0" xfId="16" applyFont="1" applyBorder="1"/>
    <xf numFmtId="0" fontId="8" fillId="0" borderId="0" xfId="16" applyFont="1" applyBorder="1" applyAlignment="1">
      <alignment horizontal="left"/>
    </xf>
    <xf numFmtId="0" fontId="11" fillId="0" borderId="0" xfId="16" applyBorder="1"/>
    <xf numFmtId="0" fontId="19" fillId="0" borderId="0" xfId="16" applyFont="1" applyBorder="1" applyAlignment="1">
      <alignment horizontal="center"/>
    </xf>
    <xf numFmtId="0" fontId="18" fillId="0" borderId="0" xfId="16" applyFont="1" applyBorder="1" applyAlignment="1">
      <alignment horizontal="centerContinuous"/>
    </xf>
    <xf numFmtId="15" fontId="10" fillId="0" borderId="0" xfId="16" applyNumberFormat="1" applyFont="1" applyBorder="1"/>
    <xf numFmtId="37" fontId="21" fillId="0" borderId="0" xfId="0" applyFont="1"/>
    <xf numFmtId="14" fontId="11" fillId="0" borderId="0" xfId="16" applyNumberFormat="1" applyBorder="1"/>
    <xf numFmtId="14" fontId="8" fillId="0" borderId="0" xfId="16" applyNumberFormat="1" applyFont="1"/>
    <xf numFmtId="37" fontId="21" fillId="0" borderId="0" xfId="0" applyFont="1" applyFill="1" applyBorder="1"/>
    <xf numFmtId="39" fontId="21" fillId="0" borderId="0" xfId="0" applyNumberFormat="1" applyFont="1" applyFill="1" applyProtection="1"/>
    <xf numFmtId="37" fontId="8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8" fillId="0" borderId="0" xfId="0" applyNumberFormat="1" applyFont="1" applyFill="1" applyBorder="1" applyProtection="1"/>
    <xf numFmtId="37" fontId="18" fillId="0" borderId="0" xfId="0" applyNumberFormat="1" applyFont="1" applyFill="1" applyBorder="1" applyProtection="1"/>
    <xf numFmtId="37" fontId="18" fillId="0" borderId="0" xfId="0" applyNumberFormat="1" applyFont="1" applyFill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/>
    </xf>
    <xf numFmtId="37" fontId="21" fillId="0" borderId="0" xfId="0" applyFont="1" applyFill="1"/>
    <xf numFmtId="37" fontId="23" fillId="0" borderId="0" xfId="0" applyNumberFormat="1" applyFont="1" applyFill="1" applyBorder="1" applyProtection="1"/>
    <xf numFmtId="37" fontId="23" fillId="0" borderId="0" xfId="0" applyFont="1" applyFill="1" applyBorder="1"/>
    <xf numFmtId="37" fontId="24" fillId="0" borderId="0" xfId="0" applyNumberFormat="1" applyFont="1" applyFill="1" applyBorder="1" applyProtection="1"/>
    <xf numFmtId="39" fontId="18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37" fontId="0" fillId="0" borderId="0" xfId="0" applyFill="1" applyBorder="1"/>
    <xf numFmtId="37" fontId="0" fillId="0" borderId="0" xfId="0" applyBorder="1"/>
    <xf numFmtId="37" fontId="7" fillId="0" borderId="0" xfId="0" applyFont="1" applyFill="1"/>
    <xf numFmtId="166" fontId="21" fillId="0" borderId="0" xfId="0" applyNumberFormat="1" applyFont="1" applyFill="1"/>
    <xf numFmtId="39" fontId="21" fillId="0" borderId="0" xfId="0" applyNumberFormat="1" applyFont="1" applyFill="1"/>
    <xf numFmtId="10" fontId="8" fillId="0" borderId="0" xfId="16" applyNumberFormat="1" applyFont="1" applyBorder="1" applyProtection="1"/>
    <xf numFmtId="10" fontId="8" fillId="0" borderId="0" xfId="27" applyNumberFormat="1" applyFont="1" applyBorder="1"/>
    <xf numFmtId="39" fontId="21" fillId="0" borderId="0" xfId="0" applyNumberFormat="1" applyFont="1" applyFill="1" applyBorder="1"/>
    <xf numFmtId="37" fontId="21" fillId="0" borderId="0" xfId="0" applyNumberFormat="1" applyFont="1" applyFill="1" applyBorder="1"/>
    <xf numFmtId="37" fontId="27" fillId="0" borderId="0" xfId="0" applyFont="1"/>
    <xf numFmtId="37" fontId="28" fillId="0" borderId="0" xfId="0" applyFont="1"/>
    <xf numFmtId="39" fontId="27" fillId="0" borderId="0" xfId="0" applyNumberFormat="1" applyFont="1" applyFill="1" applyProtection="1"/>
    <xf numFmtId="39" fontId="27" fillId="0" borderId="5" xfId="0" applyNumberFormat="1" applyFont="1" applyFill="1" applyBorder="1" applyProtection="1"/>
    <xf numFmtId="166" fontId="27" fillId="0" borderId="0" xfId="0" applyNumberFormat="1" applyFont="1" applyFill="1"/>
    <xf numFmtId="10" fontId="21" fillId="0" borderId="0" xfId="0" applyNumberFormat="1" applyFont="1" applyFill="1" applyBorder="1"/>
    <xf numFmtId="43" fontId="21" fillId="0" borderId="0" xfId="2" applyFont="1" applyFill="1" applyBorder="1"/>
    <xf numFmtId="166" fontId="27" fillId="0" borderId="0" xfId="0" applyNumberFormat="1" applyFont="1" applyFill="1" applyBorder="1"/>
    <xf numFmtId="37" fontId="27" fillId="0" borderId="0" xfId="0" applyNumberFormat="1" applyFont="1" applyFill="1" applyBorder="1" applyProtection="1"/>
    <xf numFmtId="164" fontId="27" fillId="0" borderId="0" xfId="0" applyNumberFormat="1" applyFont="1" applyFill="1" applyBorder="1" applyProtection="1"/>
    <xf numFmtId="37" fontId="31" fillId="0" borderId="0" xfId="0" applyNumberFormat="1" applyFont="1" applyFill="1" applyAlignment="1" applyProtection="1">
      <alignment horizontal="centerContinuous"/>
    </xf>
    <xf numFmtId="166" fontId="31" fillId="0" borderId="0" xfId="0" applyNumberFormat="1" applyFont="1" applyFill="1" applyAlignment="1" applyProtection="1">
      <alignment horizontal="centerContinuous"/>
    </xf>
    <xf numFmtId="39" fontId="31" fillId="0" borderId="0" xfId="0" applyNumberFormat="1" applyFont="1" applyFill="1" applyAlignment="1" applyProtection="1">
      <alignment horizontal="centerContinuous"/>
    </xf>
    <xf numFmtId="37" fontId="31" fillId="0" borderId="0" xfId="0" applyFont="1" applyFill="1" applyAlignment="1">
      <alignment horizontal="centerContinuous"/>
    </xf>
    <xf numFmtId="37" fontId="31" fillId="0" borderId="0" xfId="0" quotePrefix="1" applyNumberFormat="1" applyFont="1" applyFill="1" applyAlignment="1" applyProtection="1">
      <alignment horizontal="centerContinuous"/>
    </xf>
    <xf numFmtId="39" fontId="31" fillId="0" borderId="0" xfId="0" quotePrefix="1" applyNumberFormat="1" applyFont="1" applyFill="1" applyAlignment="1" applyProtection="1">
      <alignment horizontal="centerContinuous"/>
    </xf>
    <xf numFmtId="37" fontId="2" fillId="0" borderId="0" xfId="0" applyFont="1" applyFill="1"/>
    <xf numFmtId="37" fontId="2" fillId="0" borderId="0" xfId="0" applyFont="1" applyFill="1" applyAlignment="1">
      <alignment horizontal="center"/>
    </xf>
    <xf numFmtId="37" fontId="2" fillId="0" borderId="0" xfId="0" applyFont="1" applyFill="1" applyBorder="1"/>
    <xf numFmtId="37" fontId="2" fillId="0" borderId="0" xfId="0" applyFont="1" applyFill="1" applyAlignment="1">
      <alignment horizontal="right"/>
    </xf>
    <xf numFmtId="39" fontId="2" fillId="0" borderId="0" xfId="0" applyNumberFormat="1" applyFont="1" applyFill="1" applyProtection="1"/>
    <xf numFmtId="37" fontId="27" fillId="0" borderId="0" xfId="0" applyNumberFormat="1" applyFont="1" applyFill="1" applyAlignment="1" applyProtection="1">
      <alignment horizontal="centerContinuous"/>
    </xf>
    <xf numFmtId="0" fontId="33" fillId="0" borderId="0" xfId="16" applyFont="1" applyAlignment="1">
      <alignment horizontal="centerContinuous"/>
    </xf>
    <xf numFmtId="0" fontId="32" fillId="0" borderId="0" xfId="16" applyFont="1" applyAlignment="1">
      <alignment horizontal="centerContinuous"/>
    </xf>
    <xf numFmtId="0" fontId="32" fillId="0" borderId="0" xfId="16" applyFont="1" applyBorder="1" applyAlignment="1">
      <alignment horizontal="centerContinuous"/>
    </xf>
    <xf numFmtId="0" fontId="32" fillId="0" borderId="0" xfId="16" applyFont="1" applyBorder="1"/>
    <xf numFmtId="0" fontId="32" fillId="0" borderId="0" xfId="16" applyFont="1"/>
    <xf numFmtId="0" fontId="34" fillId="0" borderId="0" xfId="16" applyFont="1"/>
    <xf numFmtId="0" fontId="32" fillId="0" borderId="0" xfId="16" applyFont="1" applyBorder="1" applyAlignment="1">
      <alignment horizontal="left"/>
    </xf>
    <xf numFmtId="0" fontId="32" fillId="0" borderId="0" xfId="16" applyFont="1" applyBorder="1" applyAlignment="1">
      <alignment horizontal="right"/>
    </xf>
    <xf numFmtId="37" fontId="32" fillId="0" borderId="0" xfId="0" applyFont="1" applyFill="1" applyBorder="1"/>
    <xf numFmtId="37" fontId="32" fillId="0" borderId="0" xfId="0" applyNumberFormat="1" applyFont="1" applyFill="1" applyBorder="1" applyAlignment="1" applyProtection="1">
      <alignment horizontal="centerContinuous"/>
    </xf>
    <xf numFmtId="37" fontId="32" fillId="0" borderId="0" xfId="0" applyNumberFormat="1" applyFont="1" applyFill="1" applyBorder="1" applyProtection="1"/>
    <xf numFmtId="37" fontId="33" fillId="0" borderId="0" xfId="0" applyNumberFormat="1" applyFont="1" applyFill="1" applyBorder="1" applyProtection="1"/>
    <xf numFmtId="37" fontId="33" fillId="0" borderId="0" xfId="0" applyNumberFormat="1" applyFont="1" applyFill="1" applyBorder="1" applyAlignment="1" applyProtection="1">
      <alignment horizontal="center"/>
    </xf>
    <xf numFmtId="37" fontId="32" fillId="0" borderId="0" xfId="0" applyNumberFormat="1" applyFont="1" applyFill="1" applyBorder="1" applyAlignment="1" applyProtection="1">
      <alignment horizontal="center"/>
    </xf>
    <xf numFmtId="37" fontId="33" fillId="0" borderId="0" xfId="0" applyFont="1" applyFill="1" applyBorder="1" applyAlignment="1">
      <alignment horizontal="center"/>
    </xf>
    <xf numFmtId="37" fontId="33" fillId="0" borderId="0" xfId="0" applyFont="1" applyFill="1" applyBorder="1"/>
    <xf numFmtId="37" fontId="32" fillId="0" borderId="5" xfId="0" applyNumberFormat="1" applyFont="1" applyFill="1" applyBorder="1" applyAlignment="1" applyProtection="1">
      <alignment horizontal="center"/>
    </xf>
    <xf numFmtId="37" fontId="33" fillId="0" borderId="5" xfId="0" applyNumberFormat="1" applyFont="1" applyFill="1" applyBorder="1" applyAlignment="1" applyProtection="1">
      <alignment horizontal="centerContinuous"/>
    </xf>
    <xf numFmtId="37" fontId="33" fillId="0" borderId="5" xfId="0" applyNumberFormat="1" applyFont="1" applyFill="1" applyBorder="1" applyAlignment="1" applyProtection="1">
      <alignment horizontal="center"/>
    </xf>
    <xf numFmtId="37" fontId="33" fillId="0" borderId="5" xfId="0" quotePrefix="1" applyNumberFormat="1" applyFont="1" applyFill="1" applyBorder="1" applyAlignment="1" applyProtection="1">
      <alignment horizontal="center"/>
    </xf>
    <xf numFmtId="39" fontId="32" fillId="0" borderId="0" xfId="0" applyNumberFormat="1" applyFont="1" applyFill="1" applyAlignment="1" applyProtection="1">
      <alignment horizontal="center"/>
    </xf>
    <xf numFmtId="39" fontId="32" fillId="0" borderId="0" xfId="0" applyNumberFormat="1" applyFont="1" applyFill="1" applyBorder="1" applyProtection="1"/>
    <xf numFmtId="39" fontId="32" fillId="0" borderId="0" xfId="0" applyNumberFormat="1" applyFont="1" applyFill="1" applyBorder="1" applyAlignment="1" applyProtection="1">
      <alignment horizontal="center"/>
    </xf>
    <xf numFmtId="37" fontId="32" fillId="0" borderId="7" xfId="0" applyNumberFormat="1" applyFont="1" applyFill="1" applyBorder="1" applyProtection="1"/>
    <xf numFmtId="37" fontId="32" fillId="0" borderId="0" xfId="0" applyNumberFormat="1" applyFont="1" applyFill="1" applyProtection="1"/>
    <xf numFmtId="37" fontId="36" fillId="0" borderId="0" xfId="0" applyFont="1" applyFill="1" applyBorder="1"/>
    <xf numFmtId="37" fontId="36" fillId="0" borderId="0" xfId="0" applyNumberFormat="1" applyFont="1" applyFill="1" applyBorder="1" applyAlignment="1" applyProtection="1">
      <alignment horizontal="centerContinuous"/>
    </xf>
    <xf numFmtId="37" fontId="36" fillId="0" borderId="0" xfId="0" applyNumberFormat="1" applyFont="1" applyFill="1" applyBorder="1" applyProtection="1"/>
    <xf numFmtId="37" fontId="37" fillId="0" borderId="0" xfId="0" applyNumberFormat="1" applyFont="1" applyFill="1" applyBorder="1" applyProtection="1"/>
    <xf numFmtId="37" fontId="37" fillId="0" borderId="0" xfId="0" applyNumberFormat="1" applyFont="1" applyFill="1" applyBorder="1" applyAlignment="1" applyProtection="1">
      <alignment horizontal="center"/>
    </xf>
    <xf numFmtId="37" fontId="37" fillId="0" borderId="5" xfId="0" applyNumberFormat="1" applyFont="1" applyFill="1" applyBorder="1" applyAlignment="1" applyProtection="1">
      <alignment horizontal="center"/>
    </xf>
    <xf numFmtId="37" fontId="36" fillId="0" borderId="0" xfId="0" applyNumberFormat="1" applyFont="1" applyFill="1" applyBorder="1" applyAlignment="1" applyProtection="1">
      <alignment horizontal="center"/>
    </xf>
    <xf numFmtId="39" fontId="2" fillId="0" borderId="8" xfId="0" applyNumberFormat="1" applyFont="1" applyFill="1" applyBorder="1"/>
    <xf numFmtId="37" fontId="2" fillId="0" borderId="0" xfId="0" applyNumberFormat="1" applyFont="1" applyFill="1" applyBorder="1" applyProtection="1"/>
    <xf numFmtId="37" fontId="7" fillId="0" borderId="0" xfId="0" applyFont="1" applyFill="1" applyAlignment="1">
      <alignment horizontal="center"/>
    </xf>
    <xf numFmtId="37" fontId="0" fillId="0" borderId="0" xfId="0" applyFill="1"/>
    <xf numFmtId="37" fontId="12" fillId="0" borderId="0" xfId="0" applyFont="1" applyFill="1" applyBorder="1"/>
    <xf numFmtId="171" fontId="2" fillId="0" borderId="0" xfId="0" applyNumberFormat="1" applyFont="1" applyFill="1" applyBorder="1"/>
    <xf numFmtId="14" fontId="2" fillId="0" borderId="0" xfId="0" applyNumberFormat="1" applyFont="1" applyFill="1" applyBorder="1"/>
    <xf numFmtId="169" fontId="2" fillId="0" borderId="0" xfId="2" applyNumberFormat="1" applyFont="1" applyFill="1" applyBorder="1" applyAlignment="1">
      <alignment horizontal="center"/>
    </xf>
    <xf numFmtId="171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2" fillId="0" borderId="0" xfId="0" applyNumberFormat="1" applyFont="1" applyFill="1" applyBorder="1"/>
    <xf numFmtId="167" fontId="2" fillId="0" borderId="0" xfId="2" applyNumberFormat="1" applyFont="1" applyFill="1"/>
    <xf numFmtId="39" fontId="2" fillId="0" borderId="0" xfId="0" applyNumberFormat="1" applyFont="1" applyFill="1" applyBorder="1" applyProtection="1"/>
    <xf numFmtId="37" fontId="32" fillId="0" borderId="0" xfId="0" applyFont="1" applyFill="1"/>
    <xf numFmtId="37" fontId="27" fillId="0" borderId="0" xfId="0" applyFont="1" applyFill="1"/>
    <xf numFmtId="37" fontId="31" fillId="0" borderId="0" xfId="21" applyFont="1" applyFill="1" applyAlignment="1">
      <alignment horizontal="left"/>
    </xf>
    <xf numFmtId="37" fontId="31" fillId="0" borderId="0" xfId="0" applyNumberFormat="1" applyFont="1" applyFill="1" applyAlignment="1" applyProtection="1">
      <alignment horizontal="left"/>
    </xf>
    <xf numFmtId="37" fontId="29" fillId="0" borderId="0" xfId="0" applyFont="1" applyFill="1"/>
    <xf numFmtId="0" fontId="29" fillId="0" borderId="0" xfId="20" quotePrefix="1" applyFont="1" applyFill="1"/>
    <xf numFmtId="0" fontId="29" fillId="0" borderId="0" xfId="20" applyFont="1" applyFill="1"/>
    <xf numFmtId="37" fontId="27" fillId="0" borderId="0" xfId="0" applyFont="1" applyFill="1" applyAlignment="1">
      <alignment horizontal="left"/>
    </xf>
    <xf numFmtId="39" fontId="27" fillId="0" borderId="0" xfId="0" applyNumberFormat="1" applyFont="1" applyFill="1" applyBorder="1"/>
    <xf numFmtId="37" fontId="27" fillId="0" borderId="0" xfId="0" applyFont="1" applyFill="1" applyBorder="1"/>
    <xf numFmtId="37" fontId="27" fillId="0" borderId="5" xfId="0" applyFont="1" applyFill="1" applyBorder="1"/>
    <xf numFmtId="39" fontId="27" fillId="0" borderId="0" xfId="0" applyNumberFormat="1" applyFont="1" applyFill="1"/>
    <xf numFmtId="164" fontId="27" fillId="0" borderId="0" xfId="0" applyNumberFormat="1" applyFont="1" applyFill="1" applyProtection="1"/>
    <xf numFmtId="39" fontId="27" fillId="0" borderId="0" xfId="0" applyNumberFormat="1" applyFont="1" applyFill="1" applyBorder="1" applyProtection="1"/>
    <xf numFmtId="37" fontId="27" fillId="0" borderId="0" xfId="0" applyNumberFormat="1" applyFont="1" applyFill="1" applyProtection="1"/>
    <xf numFmtId="37" fontId="26" fillId="0" borderId="0" xfId="21" applyFont="1" applyFill="1" applyAlignment="1">
      <alignment horizontal="centerContinuous"/>
    </xf>
    <xf numFmtId="37" fontId="26" fillId="0" borderId="0" xfId="0" applyNumberFormat="1" applyFont="1" applyFill="1" applyAlignment="1" applyProtection="1">
      <alignment horizontal="centerContinuous"/>
    </xf>
    <xf numFmtId="166" fontId="26" fillId="0" borderId="0" xfId="0" applyNumberFormat="1" applyFont="1" applyFill="1" applyAlignment="1" applyProtection="1">
      <alignment horizontal="centerContinuous"/>
    </xf>
    <xf numFmtId="39" fontId="26" fillId="0" borderId="0" xfId="0" applyNumberFormat="1" applyFont="1" applyFill="1" applyAlignment="1" applyProtection="1">
      <alignment horizontal="centerContinuous"/>
    </xf>
    <xf numFmtId="37" fontId="26" fillId="0" borderId="0" xfId="0" applyFont="1" applyFill="1" applyAlignment="1">
      <alignment horizontal="centerContinuous"/>
    </xf>
    <xf numFmtId="166" fontId="26" fillId="0" borderId="0" xfId="0" applyNumberFormat="1" applyFont="1" applyFill="1" applyAlignment="1">
      <alignment horizontal="centerContinuous"/>
    </xf>
    <xf numFmtId="39" fontId="26" fillId="0" borderId="0" xfId="0" applyNumberFormat="1" applyFont="1" applyFill="1" applyAlignment="1">
      <alignment horizontal="centerContinuous"/>
    </xf>
    <xf numFmtId="39" fontId="27" fillId="0" borderId="0" xfId="0" applyNumberFormat="1" applyFont="1" applyFill="1" applyAlignment="1">
      <alignment horizontal="center"/>
    </xf>
    <xf numFmtId="37" fontId="27" fillId="0" borderId="0" xfId="0" applyFont="1" applyFill="1" applyAlignment="1">
      <alignment horizontal="center"/>
    </xf>
    <xf numFmtId="39" fontId="27" fillId="0" borderId="5" xfId="0" applyNumberFormat="1" applyFont="1" applyFill="1" applyBorder="1" applyAlignment="1">
      <alignment horizontal="center"/>
    </xf>
    <xf numFmtId="37" fontId="27" fillId="0" borderId="5" xfId="0" applyFont="1" applyFill="1" applyBorder="1" applyAlignment="1">
      <alignment horizontal="center"/>
    </xf>
    <xf numFmtId="39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166" fontId="27" fillId="0" borderId="0" xfId="0" applyNumberFormat="1" applyFont="1" applyFill="1" applyAlignment="1">
      <alignment horizontal="left"/>
    </xf>
    <xf numFmtId="39" fontId="27" fillId="0" borderId="8" xfId="0" applyNumberFormat="1" applyFont="1" applyFill="1" applyBorder="1"/>
    <xf numFmtId="37" fontId="32" fillId="0" borderId="0" xfId="0" applyNumberFormat="1" applyFont="1" applyFill="1" applyAlignment="1" applyProtection="1">
      <alignment horizontal="right"/>
    </xf>
    <xf numFmtId="37" fontId="32" fillId="0" borderId="8" xfId="0" applyNumberFormat="1" applyFont="1" applyFill="1" applyBorder="1" applyProtection="1"/>
    <xf numFmtId="37" fontId="3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Alignment="1" applyProtection="1">
      <alignment horizontal="center"/>
    </xf>
    <xf numFmtId="37" fontId="2" fillId="0" borderId="0" xfId="19" applyNumberFormat="1" applyFont="1" applyFill="1" applyProtection="1"/>
    <xf numFmtId="37" fontId="2" fillId="0" borderId="0" xfId="19" applyFont="1" applyFill="1"/>
    <xf numFmtId="164" fontId="2" fillId="0" borderId="0" xfId="0" applyNumberFormat="1" applyFont="1" applyFill="1" applyBorder="1" applyProtection="1"/>
    <xf numFmtId="37" fontId="27" fillId="0" borderId="0" xfId="0" applyNumberFormat="1" applyFont="1" applyFill="1" applyAlignment="1" applyProtection="1">
      <alignment horizontal="right"/>
    </xf>
    <xf numFmtId="37" fontId="27" fillId="0" borderId="0" xfId="0" applyFont="1" applyFill="1" applyAlignment="1">
      <alignment horizontal="centerContinuous"/>
    </xf>
    <xf numFmtId="37" fontId="27" fillId="0" borderId="0" xfId="0" applyNumberFormat="1" applyFont="1" applyFill="1" applyAlignment="1" applyProtection="1">
      <alignment horizontal="center"/>
    </xf>
    <xf numFmtId="37" fontId="27" fillId="0" borderId="4" xfId="0" applyNumberFormat="1" applyFont="1" applyFill="1" applyBorder="1" applyAlignment="1" applyProtection="1">
      <alignment horizontal="center"/>
    </xf>
    <xf numFmtId="37" fontId="27" fillId="0" borderId="0" xfId="0" applyNumberFormat="1" applyFont="1" applyFill="1" applyBorder="1" applyAlignment="1" applyProtection="1">
      <alignment horizontal="center"/>
    </xf>
    <xf numFmtId="37" fontId="27" fillId="0" borderId="0" xfId="0" quotePrefix="1" applyFont="1" applyFill="1" applyAlignment="1">
      <alignment horizontal="center"/>
    </xf>
    <xf numFmtId="37" fontId="27" fillId="0" borderId="0" xfId="0" quotePrefix="1" applyNumberFormat="1" applyFont="1" applyFill="1" applyAlignment="1" applyProtection="1">
      <alignment horizontal="center"/>
    </xf>
    <xf numFmtId="37" fontId="27" fillId="0" borderId="0" xfId="0" applyNumberFormat="1" applyFont="1" applyFill="1" applyAlignment="1" applyProtection="1">
      <alignment vertical="center"/>
    </xf>
    <xf numFmtId="37" fontId="26" fillId="0" borderId="0" xfId="0" applyFont="1" applyFill="1"/>
    <xf numFmtId="43" fontId="27" fillId="0" borderId="0" xfId="2" applyFont="1" applyFill="1" applyProtection="1"/>
    <xf numFmtId="43" fontId="27" fillId="0" borderId="5" xfId="2" applyFont="1" applyFill="1" applyBorder="1" applyProtection="1"/>
    <xf numFmtId="37" fontId="26" fillId="0" borderId="0" xfId="0" applyNumberFormat="1" applyFont="1" applyFill="1" applyProtection="1"/>
    <xf numFmtId="37" fontId="26" fillId="0" borderId="0" xfId="0" applyNumberFormat="1" applyFont="1" applyFill="1" applyAlignment="1" applyProtection="1"/>
    <xf numFmtId="164" fontId="26" fillId="0" borderId="0" xfId="0" applyNumberFormat="1" applyFont="1" applyFill="1" applyProtection="1"/>
    <xf numFmtId="172" fontId="27" fillId="0" borderId="0" xfId="0" applyNumberFormat="1" applyFont="1" applyFill="1" applyAlignment="1">
      <alignment horizontal="left"/>
    </xf>
    <xf numFmtId="37" fontId="27" fillId="0" borderId="4" xfId="0" applyNumberFormat="1" applyFont="1" applyFill="1" applyBorder="1" applyProtection="1"/>
    <xf numFmtId="37" fontId="27" fillId="0" borderId="0" xfId="0" quotePrefix="1" applyNumberFormat="1" applyFont="1" applyFill="1" applyBorder="1" applyAlignment="1" applyProtection="1">
      <alignment horizontal="center"/>
    </xf>
    <xf numFmtId="174" fontId="27" fillId="0" borderId="0" xfId="0" applyNumberFormat="1" applyFont="1" applyFill="1"/>
    <xf numFmtId="10" fontId="27" fillId="0" borderId="0" xfId="27" applyNumberFormat="1" applyFont="1" applyFill="1" applyProtection="1"/>
    <xf numFmtId="10" fontId="27" fillId="0" borderId="5" xfId="27" applyNumberFormat="1" applyFont="1" applyFill="1" applyBorder="1" applyProtection="1"/>
    <xf numFmtId="172" fontId="27" fillId="0" borderId="0" xfId="0" applyNumberFormat="1" applyFont="1" applyFill="1"/>
    <xf numFmtId="39" fontId="27" fillId="0" borderId="6" xfId="0" applyNumberFormat="1" applyFont="1" applyFill="1" applyBorder="1" applyProtection="1"/>
    <xf numFmtId="0" fontId="27" fillId="0" borderId="0" xfId="20" applyFont="1" applyFill="1"/>
    <xf numFmtId="0" fontId="27" fillId="0" borderId="0" xfId="20" applyFont="1" applyFill="1" applyAlignment="1">
      <alignment horizontal="centerContinuous"/>
    </xf>
    <xf numFmtId="168" fontId="27" fillId="0" borderId="0" xfId="3" applyNumberFormat="1" applyFont="1" applyFill="1" applyAlignment="1">
      <alignment horizontal="centerContinuous"/>
    </xf>
    <xf numFmtId="37" fontId="8" fillId="0" borderId="0" xfId="0" applyNumberFormat="1" applyFont="1" applyFill="1" applyProtection="1"/>
    <xf numFmtId="37" fontId="8" fillId="0" borderId="0" xfId="0" applyFont="1" applyFill="1"/>
    <xf numFmtId="9" fontId="32" fillId="0" borderId="0" xfId="0" applyNumberFormat="1" applyFont="1" applyFill="1"/>
    <xf numFmtId="10" fontId="32" fillId="0" borderId="0" xfId="27" applyNumberFormat="1" applyFont="1" applyFill="1"/>
    <xf numFmtId="10" fontId="32" fillId="0" borderId="0" xfId="27" applyNumberFormat="1" applyFont="1" applyFill="1" applyProtection="1"/>
    <xf numFmtId="9" fontId="32" fillId="0" borderId="0" xfId="0" applyNumberFormat="1" applyFont="1" applyFill="1" applyProtection="1"/>
    <xf numFmtId="165" fontId="32" fillId="0" borderId="0" xfId="27" applyNumberFormat="1" applyFont="1" applyFill="1" applyProtection="1"/>
    <xf numFmtId="37" fontId="36" fillId="0" borderId="0" xfId="0" applyNumberFormat="1" applyFont="1" applyFill="1" applyProtection="1"/>
    <xf numFmtId="0" fontId="2" fillId="0" borderId="5" xfId="17" applyFont="1" applyFill="1" applyBorder="1" applyAlignment="1">
      <alignment horizontal="center"/>
    </xf>
    <xf numFmtId="37" fontId="2" fillId="0" borderId="0" xfId="0" applyNumberFormat="1" applyFont="1" applyFill="1" applyAlignment="1" applyProtection="1">
      <alignment horizontal="left"/>
    </xf>
    <xf numFmtId="37" fontId="2" fillId="0" borderId="0" xfId="0" applyFont="1" applyFill="1" applyBorder="1" applyAlignment="1">
      <alignment horizontal="right"/>
    </xf>
    <xf numFmtId="165" fontId="2" fillId="0" borderId="0" xfId="27" applyNumberFormat="1" applyFont="1" applyFill="1" applyBorder="1" applyProtection="1"/>
    <xf numFmtId="37" fontId="2" fillId="0" borderId="0" xfId="0" applyNumberFormat="1" applyFont="1" applyFill="1" applyBorder="1" applyAlignment="1" applyProtection="1">
      <alignment horizontal="right"/>
    </xf>
    <xf numFmtId="39" fontId="2" fillId="0" borderId="5" xfId="0" applyNumberFormat="1" applyFont="1" applyFill="1" applyBorder="1" applyProtection="1"/>
    <xf numFmtId="39" fontId="2" fillId="0" borderId="8" xfId="0" applyNumberFormat="1" applyFont="1" applyFill="1" applyBorder="1" applyProtection="1"/>
    <xf numFmtId="166" fontId="2" fillId="0" borderId="0" xfId="0" applyNumberFormat="1" applyFont="1" applyFill="1"/>
    <xf numFmtId="39" fontId="2" fillId="0" borderId="0" xfId="0" applyNumberFormat="1" applyFont="1" applyFill="1"/>
    <xf numFmtId="166" fontId="2" fillId="0" borderId="0" xfId="0" applyNumberFormat="1" applyFont="1" applyFill="1" applyAlignment="1">
      <alignment horizontal="centerContinuous"/>
    </xf>
    <xf numFmtId="39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 applyProtection="1">
      <alignment horizontal="center"/>
    </xf>
    <xf numFmtId="37" fontId="2" fillId="0" borderId="5" xfId="0" applyFont="1" applyFill="1" applyBorder="1"/>
    <xf numFmtId="39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37" fontId="2" fillId="0" borderId="5" xfId="0" applyFont="1" applyFill="1" applyBorder="1" applyAlignment="1">
      <alignment horizontal="center"/>
    </xf>
    <xf numFmtId="171" fontId="2" fillId="0" borderId="5" xfId="0" applyNumberFormat="1" applyFont="1" applyFill="1" applyBorder="1" applyAlignment="1" applyProtection="1">
      <alignment horizontal="center"/>
    </xf>
    <xf numFmtId="37" fontId="2" fillId="0" borderId="5" xfId="0" applyNumberFormat="1" applyFont="1" applyFill="1" applyBorder="1" applyAlignment="1" applyProtection="1">
      <alignment horizontal="center"/>
    </xf>
    <xf numFmtId="39" fontId="41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37" fontId="41" fillId="0" borderId="0" xfId="0" applyFont="1" applyFill="1" applyBorder="1" applyAlignment="1">
      <alignment horizontal="center"/>
    </xf>
    <xf numFmtId="37" fontId="2" fillId="0" borderId="0" xfId="0" applyFont="1" applyFill="1" applyBorder="1" applyAlignment="1">
      <alignment horizontal="center"/>
    </xf>
    <xf numFmtId="15" fontId="2" fillId="0" borderId="0" xfId="0" applyNumberFormat="1" applyFont="1" applyFill="1"/>
    <xf numFmtId="167" fontId="2" fillId="0" borderId="0" xfId="0" applyNumberFormat="1" applyFont="1" applyFill="1" applyBorder="1"/>
    <xf numFmtId="10" fontId="2" fillId="0" borderId="0" xfId="27" applyNumberFormat="1" applyFont="1" applyFill="1"/>
    <xf numFmtId="0" fontId="31" fillId="0" borderId="0" xfId="20" applyFont="1" applyFill="1" applyAlignment="1">
      <alignment horizontal="centerContinuous"/>
    </xf>
    <xf numFmtId="0" fontId="2" fillId="0" borderId="0" xfId="20" applyFont="1" applyFill="1" applyAlignment="1">
      <alignment horizontal="centerContinuous"/>
    </xf>
    <xf numFmtId="168" fontId="2" fillId="0" borderId="0" xfId="3" applyNumberFormat="1" applyFont="1" applyFill="1" applyAlignment="1">
      <alignment horizontal="centerContinuous"/>
    </xf>
    <xf numFmtId="0" fontId="2" fillId="0" borderId="0" xfId="20" applyFont="1" applyFill="1" applyAlignment="1"/>
    <xf numFmtId="168" fontId="2" fillId="0" borderId="0" xfId="3" applyNumberFormat="1" applyFont="1" applyFill="1"/>
    <xf numFmtId="0" fontId="40" fillId="0" borderId="0" xfId="18" applyFont="1" applyFill="1" applyAlignment="1">
      <alignment horizontal="left"/>
    </xf>
    <xf numFmtId="0" fontId="2" fillId="0" borderId="0" xfId="20" applyFont="1" applyFill="1"/>
    <xf numFmtId="0" fontId="40" fillId="0" borderId="0" xfId="18" applyFont="1" applyFill="1" applyAlignment="1">
      <alignment horizontal="centerContinuous"/>
    </xf>
    <xf numFmtId="0" fontId="2" fillId="0" borderId="0" xfId="20" applyFont="1" applyFill="1" applyAlignment="1">
      <alignment horizontal="center"/>
    </xf>
    <xf numFmtId="14" fontId="2" fillId="0" borderId="0" xfId="20" applyNumberFormat="1" applyFont="1" applyFill="1" applyAlignment="1">
      <alignment horizontal="center"/>
    </xf>
    <xf numFmtId="14" fontId="2" fillId="0" borderId="0" xfId="18" applyNumberFormat="1" applyFont="1" applyFill="1" applyAlignment="1">
      <alignment horizontal="center"/>
    </xf>
    <xf numFmtId="0" fontId="2" fillId="0" borderId="0" xfId="18" applyFont="1" applyFill="1" applyAlignment="1">
      <alignment horizontal="center"/>
    </xf>
    <xf numFmtId="168" fontId="2" fillId="0" borderId="0" xfId="3" applyNumberFormat="1" applyFont="1" applyFill="1" applyAlignment="1">
      <alignment horizontal="center"/>
    </xf>
    <xf numFmtId="0" fontId="2" fillId="0" borderId="4" xfId="20" applyFont="1" applyFill="1" applyBorder="1"/>
    <xf numFmtId="0" fontId="2" fillId="0" borderId="4" xfId="20" applyFont="1" applyFill="1" applyBorder="1" applyAlignment="1">
      <alignment horizontal="center"/>
    </xf>
    <xf numFmtId="14" fontId="2" fillId="0" borderId="4" xfId="20" applyNumberFormat="1" applyFont="1" applyFill="1" applyBorder="1" applyAlignment="1">
      <alignment horizontal="center"/>
    </xf>
    <xf numFmtId="0" fontId="2" fillId="0" borderId="5" xfId="20" applyFont="1" applyFill="1" applyBorder="1" applyAlignment="1">
      <alignment horizontal="center"/>
    </xf>
    <xf numFmtId="168" fontId="2" fillId="0" borderId="5" xfId="3" applyNumberFormat="1" applyFont="1" applyFill="1" applyBorder="1" applyAlignment="1">
      <alignment horizontal="center"/>
    </xf>
    <xf numFmtId="0" fontId="2" fillId="0" borderId="0" xfId="20" quotePrefix="1" applyFont="1" applyFill="1" applyAlignment="1">
      <alignment horizontal="center"/>
    </xf>
    <xf numFmtId="14" fontId="2" fillId="0" borderId="0" xfId="20" applyNumberFormat="1" applyFont="1" applyFill="1"/>
    <xf numFmtId="14" fontId="2" fillId="0" borderId="0" xfId="2" applyNumberFormat="1" applyFont="1" applyFill="1" applyBorder="1"/>
    <xf numFmtId="14" fontId="2" fillId="0" borderId="0" xfId="18" applyNumberFormat="1" applyFont="1" applyFill="1"/>
    <xf numFmtId="0" fontId="2" fillId="0" borderId="0" xfId="18" applyFont="1" applyFill="1"/>
    <xf numFmtId="0" fontId="2" fillId="0" borderId="0" xfId="20" applyFont="1" applyFill="1" applyBorder="1"/>
    <xf numFmtId="14" fontId="2" fillId="0" borderId="0" xfId="0" applyNumberFormat="1" applyFont="1" applyFill="1" applyAlignment="1">
      <alignment horizontal="left"/>
    </xf>
    <xf numFmtId="37" fontId="2" fillId="0" borderId="0" xfId="0" applyFont="1" applyFill="1" applyAlignment="1">
      <alignment horizontal="left"/>
    </xf>
    <xf numFmtId="43" fontId="2" fillId="0" borderId="0" xfId="2" applyNumberFormat="1" applyFont="1" applyFill="1"/>
    <xf numFmtId="14" fontId="2" fillId="0" borderId="0" xfId="0" applyNumberFormat="1" applyFont="1" applyFill="1"/>
    <xf numFmtId="14" fontId="2" fillId="0" borderId="0" xfId="2" applyNumberFormat="1" applyFont="1" applyFill="1"/>
    <xf numFmtId="0" fontId="2" fillId="0" borderId="0" xfId="20" applyFont="1" applyFill="1" applyAlignment="1">
      <alignment horizontal="left"/>
    </xf>
    <xf numFmtId="10" fontId="2" fillId="0" borderId="0" xfId="20" applyNumberFormat="1" applyFont="1" applyFill="1"/>
    <xf numFmtId="39" fontId="2" fillId="0" borderId="8" xfId="20" applyNumberFormat="1" applyFont="1" applyFill="1" applyBorder="1" applyAlignment="1">
      <alignment horizontal="right"/>
    </xf>
    <xf numFmtId="37" fontId="21" fillId="0" borderId="0" xfId="0" applyFont="1" applyFill="1" applyAlignment="1">
      <alignment horizontal="center"/>
    </xf>
    <xf numFmtId="167" fontId="2" fillId="0" borderId="9" xfId="2" applyNumberFormat="1" applyFont="1" applyFill="1" applyBorder="1"/>
    <xf numFmtId="167" fontId="31" fillId="0" borderId="0" xfId="2" applyNumberFormat="1" applyFont="1" applyFill="1" applyBorder="1"/>
    <xf numFmtId="37" fontId="2" fillId="0" borderId="0" xfId="0" applyNumberFormat="1" applyFont="1" applyFill="1"/>
    <xf numFmtId="43" fontId="2" fillId="0" borderId="0" xfId="2" applyNumberFormat="1" applyFont="1" applyFill="1" applyBorder="1" applyAlignment="1">
      <alignment horizontal="center"/>
    </xf>
    <xf numFmtId="37" fontId="28" fillId="0" borderId="0" xfId="0" applyFont="1" applyFill="1"/>
    <xf numFmtId="37" fontId="26" fillId="0" borderId="0" xfId="0" quotePrefix="1" applyNumberFormat="1" applyFont="1" applyFill="1" applyAlignment="1" applyProtection="1">
      <alignment wrapText="1"/>
    </xf>
    <xf numFmtId="37" fontId="8" fillId="0" borderId="0" xfId="0" quotePrefix="1" applyFont="1" applyFill="1"/>
    <xf numFmtId="167" fontId="2" fillId="0" borderId="0" xfId="2" applyNumberFormat="1" applyFont="1" applyFill="1" applyBorder="1"/>
    <xf numFmtId="37" fontId="32" fillId="0" borderId="5" xfId="0" applyNumberFormat="1" applyFont="1" applyFill="1" applyBorder="1" applyProtection="1"/>
    <xf numFmtId="37" fontId="32" fillId="0" borderId="0" xfId="0" applyFont="1" applyFill="1" applyAlignment="1">
      <alignment horizontal="center"/>
    </xf>
    <xf numFmtId="37" fontId="33" fillId="0" borderId="0" xfId="21" applyFont="1" applyFill="1" applyAlignment="1">
      <alignment horizontal="centerContinuous"/>
    </xf>
    <xf numFmtId="37" fontId="32" fillId="0" borderId="0" xfId="0" applyNumberFormat="1" applyFont="1" applyFill="1" applyAlignment="1" applyProtection="1">
      <alignment horizontal="centerContinuous"/>
    </xf>
    <xf numFmtId="37" fontId="32" fillId="0" borderId="0" xfId="0" applyFont="1" applyFill="1" applyAlignment="1">
      <alignment horizontal="centerContinuous"/>
    </xf>
    <xf numFmtId="37" fontId="33" fillId="0" borderId="0" xfId="0" applyNumberFormat="1" applyFont="1" applyFill="1" applyAlignment="1" applyProtection="1">
      <alignment horizontal="centerContinuous"/>
    </xf>
    <xf numFmtId="37" fontId="33" fillId="0" borderId="0" xfId="0" applyFont="1" applyFill="1" applyAlignment="1">
      <alignment horizontal="centerContinuous"/>
    </xf>
    <xf numFmtId="37" fontId="32" fillId="0" borderId="0" xfId="0" quotePrefix="1" applyFont="1" applyFill="1" applyAlignment="1">
      <alignment horizontal="center"/>
    </xf>
    <xf numFmtId="37" fontId="32" fillId="0" borderId="0" xfId="0" quotePrefix="1" applyNumberFormat="1" applyFont="1" applyFill="1" applyAlignment="1" applyProtection="1">
      <alignment horizontal="center"/>
    </xf>
    <xf numFmtId="39" fontId="32" fillId="0" borderId="0" xfId="0" applyNumberFormat="1" applyFont="1" applyFill="1" applyAlignment="1">
      <alignment horizontal="center"/>
    </xf>
    <xf numFmtId="9" fontId="32" fillId="0" borderId="0" xfId="27" applyNumberFormat="1" applyFont="1" applyFill="1" applyProtection="1"/>
    <xf numFmtId="39" fontId="8" fillId="0" borderId="0" xfId="0" applyNumberFormat="1" applyFont="1" applyFill="1" applyAlignment="1">
      <alignment horizontal="center"/>
    </xf>
    <xf numFmtId="37" fontId="8" fillId="0" borderId="0" xfId="0" applyFont="1" applyFill="1" applyAlignment="1">
      <alignment horizontal="center"/>
    </xf>
    <xf numFmtId="37" fontId="38" fillId="0" borderId="0" xfId="0" applyFont="1" applyFill="1"/>
    <xf numFmtId="37" fontId="27" fillId="0" borderId="5" xfId="0" applyNumberFormat="1" applyFont="1" applyFill="1" applyBorder="1" applyAlignment="1" applyProtection="1">
      <alignment horizontal="center"/>
    </xf>
    <xf numFmtId="37" fontId="21" fillId="0" borderId="0" xfId="0" applyNumberFormat="1" applyFont="1" applyFill="1" applyProtection="1"/>
    <xf numFmtId="2" fontId="26" fillId="0" borderId="0" xfId="0" applyNumberFormat="1" applyFont="1" applyFill="1" applyProtection="1"/>
    <xf numFmtId="2" fontId="27" fillId="0" borderId="0" xfId="0" quotePrefix="1" applyNumberFormat="1" applyFont="1" applyFill="1" applyProtection="1"/>
    <xf numFmtId="39" fontId="27" fillId="0" borderId="5" xfId="0" applyNumberFormat="1" applyFont="1" applyFill="1" applyBorder="1"/>
    <xf numFmtId="43" fontId="27" fillId="0" borderId="8" xfId="0" applyNumberFormat="1" applyFont="1" applyFill="1" applyBorder="1"/>
    <xf numFmtId="39" fontId="31" fillId="0" borderId="0" xfId="0" applyNumberFormat="1" applyFont="1" applyFill="1" applyAlignment="1" applyProtection="1">
      <alignment horizontal="left"/>
    </xf>
    <xf numFmtId="37" fontId="2" fillId="0" borderId="0" xfId="0" applyNumberFormat="1" applyFont="1" applyFill="1" applyAlignment="1" applyProtection="1">
      <alignment horizontal="right"/>
    </xf>
    <xf numFmtId="37" fontId="31" fillId="0" borderId="0" xfId="0" applyNumberFormat="1" applyFont="1" applyFill="1" applyAlignment="1" applyProtection="1"/>
    <xf numFmtId="37" fontId="20" fillId="0" borderId="0" xfId="0" applyNumberFormat="1" applyFont="1" applyFill="1" applyAlignment="1" applyProtection="1">
      <alignment horizontal="center"/>
    </xf>
    <xf numFmtId="37" fontId="31" fillId="0" borderId="0" xfId="0" applyFont="1" applyFill="1" applyAlignment="1">
      <alignment horizontal="left"/>
    </xf>
    <xf numFmtId="37" fontId="20" fillId="0" borderId="0" xfId="0" applyFont="1" applyFill="1" applyAlignment="1">
      <alignment horizontal="centerContinuous"/>
    </xf>
    <xf numFmtId="39" fontId="2" fillId="0" borderId="5" xfId="0" applyNumberFormat="1" applyFont="1" applyFill="1" applyBorder="1" applyAlignment="1" applyProtection="1">
      <alignment horizontal="center"/>
    </xf>
    <xf numFmtId="37" fontId="2" fillId="0" borderId="0" xfId="0" applyNumberFormat="1" applyFont="1" applyFill="1" applyProtection="1"/>
    <xf numFmtId="39" fontId="2" fillId="0" borderId="4" xfId="0" applyNumberFormat="1" applyFont="1" applyFill="1" applyBorder="1" applyAlignment="1" applyProtection="1">
      <alignment horizontal="center"/>
    </xf>
    <xf numFmtId="37" fontId="21" fillId="0" borderId="0" xfId="0" applyNumberFormat="1" applyFont="1" applyFill="1" applyBorder="1" applyAlignment="1" applyProtection="1">
      <alignment horizontal="center"/>
    </xf>
    <xf numFmtId="37" fontId="21" fillId="0" borderId="0" xfId="19" applyNumberFormat="1" applyFont="1" applyFill="1" applyProtection="1"/>
    <xf numFmtId="37" fontId="21" fillId="0" borderId="0" xfId="19" applyFont="1" applyFill="1"/>
    <xf numFmtId="37" fontId="26" fillId="0" borderId="0" xfId="17" applyNumberFormat="1" applyFont="1" applyFill="1" applyAlignment="1" applyProtection="1">
      <alignment horizontal="centerContinuous"/>
    </xf>
    <xf numFmtId="39" fontId="26" fillId="0" borderId="0" xfId="17" applyNumberFormat="1" applyFont="1" applyFill="1" applyAlignment="1" applyProtection="1"/>
    <xf numFmtId="0" fontId="26" fillId="0" borderId="0" xfId="17" applyFont="1" applyFill="1" applyAlignment="1">
      <alignment horizontal="centerContinuous"/>
    </xf>
    <xf numFmtId="0" fontId="27" fillId="0" borderId="0" xfId="17" applyFont="1" applyFill="1" applyAlignment="1">
      <alignment horizontal="centerContinuous"/>
    </xf>
    <xf numFmtId="0" fontId="27" fillId="0" borderId="0" xfId="17" applyFont="1" applyFill="1"/>
    <xf numFmtId="0" fontId="7" fillId="0" borderId="0" xfId="17" applyFont="1" applyFill="1"/>
    <xf numFmtId="37" fontId="26" fillId="0" borderId="0" xfId="17" applyNumberFormat="1" applyFont="1" applyFill="1" applyAlignment="1" applyProtection="1">
      <alignment horizontal="left"/>
    </xf>
    <xf numFmtId="0" fontId="2" fillId="0" borderId="5" xfId="17" applyFont="1" applyFill="1" applyBorder="1"/>
    <xf numFmtId="176" fontId="2" fillId="0" borderId="0" xfId="0" applyNumberFormat="1" applyFont="1" applyFill="1"/>
    <xf numFmtId="0" fontId="2" fillId="0" borderId="0" xfId="17" applyFill="1"/>
    <xf numFmtId="176" fontId="31" fillId="0" borderId="0" xfId="0" applyNumberFormat="1" applyFont="1" applyFill="1"/>
    <xf numFmtId="37" fontId="30" fillId="0" borderId="0" xfId="0" applyNumberFormat="1" applyFont="1" applyFill="1" applyBorder="1"/>
    <xf numFmtId="37" fontId="31" fillId="0" borderId="0" xfId="0" applyFont="1" applyFill="1"/>
    <xf numFmtId="37" fontId="7" fillId="0" borderId="0" xfId="0" applyNumberFormat="1" applyFont="1" applyFill="1" applyProtection="1"/>
    <xf numFmtId="37" fontId="2" fillId="0" borderId="0" xfId="0" applyNumberFormat="1" applyFont="1" applyFill="1" applyAlignment="1" applyProtection="1">
      <alignment horizontal="centerContinuous"/>
    </xf>
    <xf numFmtId="37" fontId="2" fillId="0" borderId="4" xfId="0" applyNumberFormat="1" applyFont="1" applyFill="1" applyBorder="1" applyAlignment="1" applyProtection="1">
      <alignment horizontal="center"/>
    </xf>
    <xf numFmtId="37" fontId="2" fillId="0" borderId="4" xfId="0" quotePrefix="1" applyNumberFormat="1" applyFont="1" applyFill="1" applyBorder="1" applyAlignment="1" applyProtection="1">
      <alignment horizontal="center"/>
    </xf>
    <xf numFmtId="37" fontId="2" fillId="0" borderId="0" xfId="0" quotePrefix="1" applyNumberFormat="1" applyFont="1" applyFill="1" applyAlignment="1" applyProtection="1">
      <alignment horizontal="center"/>
    </xf>
    <xf numFmtId="37" fontId="2" fillId="0" borderId="0" xfId="0" quotePrefix="1" applyNumberFormat="1" applyFont="1" applyFill="1" applyBorder="1" applyAlignment="1" applyProtection="1">
      <alignment horizontal="center"/>
    </xf>
    <xf numFmtId="37" fontId="20" fillId="0" borderId="0" xfId="21" applyFont="1" applyFill="1" applyAlignment="1"/>
    <xf numFmtId="37" fontId="20" fillId="0" borderId="0" xfId="0" applyNumberFormat="1" applyFont="1" applyFill="1" applyAlignment="1" applyProtection="1"/>
    <xf numFmtId="37" fontId="31" fillId="0" borderId="0" xfId="0" applyFont="1" applyFill="1" applyAlignment="1"/>
    <xf numFmtId="37" fontId="20" fillId="0" borderId="0" xfId="0" applyFont="1" applyFill="1" applyAlignment="1"/>
    <xf numFmtId="37" fontId="2" fillId="0" borderId="0" xfId="0" applyFont="1" applyFill="1" applyAlignment="1">
      <alignment horizontal="centerContinuous"/>
    </xf>
    <xf numFmtId="37" fontId="21" fillId="0" borderId="0" xfId="0" quotePrefix="1" applyFont="1" applyFill="1" applyAlignment="1">
      <alignment horizontal="center"/>
    </xf>
    <xf numFmtId="37" fontId="21" fillId="0" borderId="0" xfId="0" applyNumberFormat="1" applyFont="1" applyFill="1" applyAlignment="1" applyProtection="1">
      <alignment horizontal="center"/>
    </xf>
    <xf numFmtId="37" fontId="21" fillId="0" borderId="0" xfId="0" applyFont="1" applyFill="1" applyBorder="1" applyAlignment="1">
      <alignment horizontal="center"/>
    </xf>
    <xf numFmtId="37" fontId="21" fillId="0" borderId="0" xfId="0" quotePrefix="1" applyFont="1" applyFill="1" applyBorder="1" applyAlignment="1">
      <alignment horizontal="center"/>
    </xf>
    <xf numFmtId="170" fontId="0" fillId="0" borderId="0" xfId="0" applyNumberFormat="1" applyFill="1"/>
    <xf numFmtId="164" fontId="2" fillId="0" borderId="0" xfId="0" applyNumberFormat="1" applyFont="1" applyFill="1" applyProtection="1"/>
    <xf numFmtId="10" fontId="21" fillId="0" borderId="0" xfId="27" applyNumberFormat="1" applyFont="1" applyFill="1" applyBorder="1" applyProtection="1"/>
    <xf numFmtId="43" fontId="21" fillId="0" borderId="0" xfId="2" applyFont="1" applyFill="1" applyBorder="1" applyProtection="1"/>
    <xf numFmtId="37" fontId="40" fillId="0" borderId="0" xfId="0" applyFont="1" applyFill="1" applyBorder="1"/>
    <xf numFmtId="37" fontId="2" fillId="0" borderId="5" xfId="0" quotePrefix="1" applyNumberFormat="1" applyFont="1" applyFill="1" applyBorder="1" applyAlignment="1" applyProtection="1">
      <alignment horizontal="center"/>
    </xf>
    <xf numFmtId="177" fontId="21" fillId="0" borderId="0" xfId="27" applyNumberFormat="1" applyFont="1" applyFill="1" applyBorder="1" applyProtection="1"/>
    <xf numFmtId="10" fontId="2" fillId="0" borderId="0" xfId="27" applyNumberFormat="1" applyFont="1" applyFill="1" applyBorder="1" applyProtection="1"/>
    <xf numFmtId="37" fontId="2" fillId="0" borderId="0" xfId="0" quotePrefix="1" applyNumberFormat="1" applyFont="1" applyFill="1" applyBorder="1" applyAlignment="1" applyProtection="1">
      <alignment horizontal="right"/>
    </xf>
    <xf numFmtId="10" fontId="21" fillId="0" borderId="0" xfId="27" applyNumberFormat="1" applyFont="1" applyFill="1" applyBorder="1" applyAlignment="1">
      <alignment horizontal="center"/>
    </xf>
    <xf numFmtId="39" fontId="2" fillId="0" borderId="5" xfId="0" applyNumberFormat="1" applyFont="1" applyFill="1" applyBorder="1"/>
    <xf numFmtId="10" fontId="2" fillId="0" borderId="5" xfId="27" applyNumberFormat="1" applyFont="1" applyFill="1" applyBorder="1" applyAlignment="1">
      <alignment horizontal="right"/>
    </xf>
    <xf numFmtId="39" fontId="21" fillId="0" borderId="0" xfId="0" applyNumberFormat="1" applyFont="1" applyFill="1" applyBorder="1" applyProtection="1"/>
    <xf numFmtId="43" fontId="21" fillId="0" borderId="0" xfId="2" applyNumberFormat="1" applyFont="1" applyFill="1" applyBorder="1" applyProtection="1"/>
    <xf numFmtId="37" fontId="2" fillId="0" borderId="0" xfId="0" applyNumberFormat="1" applyFont="1" applyFill="1" applyBorder="1" applyAlignment="1" applyProtection="1">
      <alignment horizontal="center"/>
    </xf>
    <xf numFmtId="10" fontId="21" fillId="0" borderId="0" xfId="0" applyNumberFormat="1" applyFont="1" applyFill="1" applyProtection="1"/>
    <xf numFmtId="37" fontId="27" fillId="0" borderId="5" xfId="0" applyNumberFormat="1" applyFont="1" applyFill="1" applyBorder="1" applyProtection="1"/>
    <xf numFmtId="164" fontId="21" fillId="0" borderId="0" xfId="0" applyNumberFormat="1" applyFont="1" applyFill="1" applyProtection="1"/>
    <xf numFmtId="171" fontId="21" fillId="0" borderId="0" xfId="0" applyNumberFormat="1" applyFont="1" applyFill="1" applyProtection="1"/>
    <xf numFmtId="43" fontId="21" fillId="0" borderId="0" xfId="2" applyFont="1" applyFill="1" applyProtection="1"/>
    <xf numFmtId="43" fontId="21" fillId="0" borderId="0" xfId="2" applyNumberFormat="1" applyFont="1" applyFill="1" applyProtection="1"/>
    <xf numFmtId="14" fontId="7" fillId="0" borderId="0" xfId="0" applyNumberFormat="1" applyFont="1" applyFill="1"/>
    <xf numFmtId="43" fontId="7" fillId="0" borderId="0" xfId="0" applyNumberFormat="1" applyFont="1" applyFill="1"/>
    <xf numFmtId="9" fontId="7" fillId="0" borderId="0" xfId="27" applyFont="1" applyFill="1"/>
    <xf numFmtId="37" fontId="2" fillId="0" borderId="0" xfId="0" applyNumberFormat="1" applyFont="1" applyFill="1" applyAlignment="1" applyProtection="1">
      <alignment vertical="center"/>
    </xf>
    <xf numFmtId="37" fontId="21" fillId="0" borderId="0" xfId="0" applyNumberFormat="1" applyFont="1" applyFill="1" applyAlignment="1" applyProtection="1">
      <alignment vertical="center"/>
    </xf>
    <xf numFmtId="14" fontId="21" fillId="0" borderId="0" xfId="0" applyNumberFormat="1" applyFont="1" applyFill="1" applyProtection="1"/>
    <xf numFmtId="10" fontId="21" fillId="0" borderId="0" xfId="0" applyNumberFormat="1" applyFont="1" applyFill="1" applyBorder="1" applyProtection="1"/>
    <xf numFmtId="37" fontId="21" fillId="0" borderId="0" xfId="0" applyNumberFormat="1" applyFont="1" applyFill="1" applyBorder="1" applyProtection="1"/>
    <xf numFmtId="174" fontId="27" fillId="0" borderId="0" xfId="0" applyNumberFormat="1" applyFont="1" applyFill="1" applyAlignment="1">
      <alignment horizontal="right"/>
    </xf>
    <xf numFmtId="172" fontId="21" fillId="0" borderId="0" xfId="0" applyNumberFormat="1" applyFont="1" applyFill="1" applyAlignment="1">
      <alignment horizontal="left"/>
    </xf>
    <xf numFmtId="172" fontId="21" fillId="0" borderId="0" xfId="0" applyNumberFormat="1" applyFont="1" applyFill="1"/>
    <xf numFmtId="0" fontId="21" fillId="0" borderId="0" xfId="20" applyFont="1" applyFill="1"/>
    <xf numFmtId="14" fontId="29" fillId="0" borderId="0" xfId="2" applyNumberFormat="1" applyFont="1" applyFill="1"/>
    <xf numFmtId="14" fontId="29" fillId="0" borderId="0" xfId="20" applyNumberFormat="1" applyFont="1" applyFill="1"/>
    <xf numFmtId="168" fontId="29" fillId="0" borderId="0" xfId="3" applyNumberFormat="1" applyFont="1" applyFill="1"/>
    <xf numFmtId="43" fontId="29" fillId="0" borderId="0" xfId="2" applyFont="1" applyFill="1"/>
    <xf numFmtId="43" fontId="21" fillId="0" borderId="0" xfId="2" applyFont="1" applyFill="1"/>
    <xf numFmtId="168" fontId="21" fillId="0" borderId="0" xfId="3" applyNumberFormat="1" applyFont="1" applyFill="1"/>
    <xf numFmtId="39" fontId="8" fillId="0" borderId="0" xfId="0" applyNumberFormat="1" applyFont="1" applyFill="1" applyAlignment="1" applyProtection="1">
      <alignment horizontal="center"/>
    </xf>
    <xf numFmtId="39" fontId="8" fillId="0" borderId="0" xfId="0" applyNumberFormat="1" applyFont="1" applyFill="1" applyProtection="1"/>
    <xf numFmtId="39" fontId="8" fillId="0" borderId="0" xfId="0" applyNumberFormat="1" applyFont="1" applyFill="1" applyAlignment="1" applyProtection="1">
      <alignment horizontal="left"/>
    </xf>
    <xf numFmtId="10" fontId="8" fillId="0" borderId="0" xfId="27" applyNumberFormat="1" applyFont="1" applyFill="1" applyProtection="1"/>
    <xf numFmtId="37" fontId="8" fillId="0" borderId="0" xfId="0" applyNumberFormat="1" applyFont="1" applyFill="1" applyAlignment="1" applyProtection="1">
      <alignment horizontal="center"/>
    </xf>
    <xf numFmtId="15" fontId="32" fillId="7" borderId="0" xfId="16" applyNumberFormat="1" applyFont="1" applyFill="1" applyBorder="1" applyAlignment="1">
      <alignment horizontal="left"/>
    </xf>
    <xf numFmtId="173" fontId="32" fillId="7" borderId="0" xfId="16" applyNumberFormat="1" applyFont="1" applyFill="1" applyBorder="1" applyAlignment="1">
      <alignment horizontal="left"/>
    </xf>
    <xf numFmtId="0" fontId="31" fillId="0" borderId="0" xfId="17" applyFont="1" applyFill="1"/>
    <xf numFmtId="14" fontId="21" fillId="0" borderId="0" xfId="0" applyNumberFormat="1" applyFont="1" applyFill="1"/>
    <xf numFmtId="37" fontId="36" fillId="0" borderId="0" xfId="0" quotePrefix="1" applyNumberFormat="1" applyFont="1" applyFill="1" applyBorder="1" applyAlignment="1" applyProtection="1">
      <alignment horizontal="center"/>
    </xf>
    <xf numFmtId="37" fontId="32" fillId="0" borderId="0" xfId="0" quotePrefix="1" applyFont="1" applyFill="1"/>
    <xf numFmtId="37" fontId="36" fillId="0" borderId="0" xfId="0" applyFont="1" applyFill="1"/>
    <xf numFmtId="37" fontId="35" fillId="0" borderId="0" xfId="0" applyNumberFormat="1" applyFont="1" applyFill="1" applyBorder="1" applyProtection="1"/>
    <xf numFmtId="175" fontId="2" fillId="0" borderId="0" xfId="0" applyNumberFormat="1" applyFont="1" applyFill="1"/>
    <xf numFmtId="39" fontId="2" fillId="0" borderId="0" xfId="19" applyNumberFormat="1" applyFont="1" applyFill="1" applyProtection="1"/>
    <xf numFmtId="17" fontId="2" fillId="0" borderId="5" xfId="17" applyNumberFormat="1" applyFont="1" applyFill="1" applyBorder="1" applyAlignment="1">
      <alignment horizontal="center"/>
    </xf>
    <xf numFmtId="167" fontId="31" fillId="0" borderId="9" xfId="2" applyNumberFormat="1" applyFont="1" applyFill="1" applyBorder="1"/>
    <xf numFmtId="167" fontId="31" fillId="0" borderId="10" xfId="17" applyNumberFormat="1" applyFont="1" applyFill="1" applyBorder="1"/>
    <xf numFmtId="170" fontId="2" fillId="0" borderId="0" xfId="0" applyNumberFormat="1" applyFont="1" applyFill="1" applyBorder="1"/>
    <xf numFmtId="170" fontId="2" fillId="0" borderId="0" xfId="2" applyNumberFormat="1" applyFont="1" applyFill="1" applyBorder="1" applyAlignment="1">
      <alignment horizontal="right"/>
    </xf>
    <xf numFmtId="44" fontId="2" fillId="0" borderId="0" xfId="3" applyFont="1" applyFill="1" applyBorder="1"/>
    <xf numFmtId="44" fontId="2" fillId="0" borderId="8" xfId="3" applyFont="1" applyFill="1" applyBorder="1" applyProtection="1"/>
    <xf numFmtId="170" fontId="2" fillId="0" borderId="0" xfId="38" applyNumberFormat="1" applyFont="1" applyFill="1" applyAlignment="1">
      <alignment horizontal="right"/>
    </xf>
    <xf numFmtId="170" fontId="1" fillId="0" borderId="0" xfId="0" applyNumberFormat="1" applyFont="1" applyFill="1"/>
    <xf numFmtId="170" fontId="2" fillId="0" borderId="0" xfId="0" applyNumberFormat="1" applyFont="1" applyFill="1"/>
    <xf numFmtId="10" fontId="2" fillId="0" borderId="0" xfId="0" applyNumberFormat="1" applyFont="1" applyFill="1" applyBorder="1"/>
    <xf numFmtId="170" fontId="2" fillId="0" borderId="0" xfId="0" applyNumberFormat="1" applyFont="1" applyFill="1" applyAlignment="1">
      <alignment horizontal="right"/>
    </xf>
    <xf numFmtId="17" fontId="2" fillId="0" borderId="0" xfId="18" applyNumberFormat="1" applyFont="1" applyFill="1" applyBorder="1"/>
    <xf numFmtId="37" fontId="8" fillId="0" borderId="0" xfId="0" quotePrefix="1" applyFont="1" applyFill="1" applyBorder="1" applyAlignment="1">
      <alignment horizontal="center"/>
    </xf>
    <xf numFmtId="37" fontId="31" fillId="0" borderId="0" xfId="21" applyFont="1" applyFill="1" applyAlignment="1">
      <alignment horizontal="center"/>
    </xf>
    <xf numFmtId="37" fontId="31" fillId="0" borderId="0" xfId="0" applyFont="1" applyFill="1" applyAlignment="1">
      <alignment horizontal="center"/>
    </xf>
    <xf numFmtId="37" fontId="31" fillId="0" borderId="0" xfId="0" applyNumberFormat="1" applyFont="1" applyFill="1" applyAlignment="1" applyProtection="1">
      <alignment horizontal="center"/>
    </xf>
    <xf numFmtId="37" fontId="26" fillId="0" borderId="0" xfId="0" applyFont="1" applyFill="1" applyAlignment="1">
      <alignment horizontal="center"/>
    </xf>
    <xf numFmtId="37" fontId="26" fillId="0" borderId="0" xfId="0" applyNumberFormat="1" applyFont="1" applyFill="1" applyAlignment="1" applyProtection="1">
      <alignment horizontal="center"/>
    </xf>
    <xf numFmtId="37" fontId="26" fillId="0" borderId="0" xfId="0" applyFont="1" applyAlignment="1">
      <alignment horizontal="center"/>
    </xf>
  </cellXfs>
  <cellStyles count="39">
    <cellStyle name="7" xfId="1" xr:uid="{00000000-0005-0000-0000-000000000000}"/>
    <cellStyle name="Comma" xfId="2" builtinId="3"/>
    <cellStyle name="Currency" xfId="3" builtinId="4"/>
    <cellStyle name="Custom - Style1" xfId="4" xr:uid="{00000000-0005-0000-0000-000003000000}"/>
    <cellStyle name="Custom - Style8" xfId="5" xr:uid="{00000000-0005-0000-0000-000004000000}"/>
    <cellStyle name="Data   - Style2" xfId="6" xr:uid="{00000000-0005-0000-0000-000005000000}"/>
    <cellStyle name="Labels - Style3" xfId="7" xr:uid="{00000000-0005-0000-0000-000006000000}"/>
    <cellStyle name="Normal" xfId="0" builtinId="0"/>
    <cellStyle name="Normal - Style1" xfId="8" xr:uid="{00000000-0005-0000-0000-000008000000}"/>
    <cellStyle name="Normal - Style2" xfId="9" xr:uid="{00000000-0005-0000-0000-000009000000}"/>
    <cellStyle name="Normal - Style3" xfId="10" xr:uid="{00000000-0005-0000-0000-00000A000000}"/>
    <cellStyle name="Normal - Style4" xfId="11" xr:uid="{00000000-0005-0000-0000-00000B000000}"/>
    <cellStyle name="Normal - Style5" xfId="12" xr:uid="{00000000-0005-0000-0000-00000C000000}"/>
    <cellStyle name="Normal - Style6" xfId="13" xr:uid="{00000000-0005-0000-0000-00000D000000}"/>
    <cellStyle name="Normal - Style7" xfId="14" xr:uid="{00000000-0005-0000-0000-00000E000000}"/>
    <cellStyle name="Normal - Style8" xfId="15" xr:uid="{00000000-0005-0000-0000-00000F000000}"/>
    <cellStyle name="Normal_2005 09 AIF  WORKING COPY" xfId="16" xr:uid="{00000000-0005-0000-0000-000010000000}"/>
    <cellStyle name="Normal_2006 DEC TY TN LEAD LAG" xfId="17" xr:uid="{00000000-0005-0000-0000-000011000000}"/>
    <cellStyle name="Normal_Cost of Capital" xfId="18" xr:uid="{00000000-0005-0000-0000-000012000000}"/>
    <cellStyle name="Normal_LL_Cotten" xfId="19" xr:uid="{00000000-0005-0000-0000-000013000000}"/>
    <cellStyle name="Normal_Missouri Study ending 9-30-05" xfId="20" xr:uid="{00000000-0005-0000-0000-000014000000}"/>
    <cellStyle name="Normal_pr schedule" xfId="38" xr:uid="{00000000-0005-0000-0000-000015000000}"/>
    <cellStyle name="Normal_'Weather Adj FY96 Kansas" xfId="21" xr:uid="{00000000-0005-0000-0000-000016000000}"/>
    <cellStyle name="Output Amounts" xfId="22" xr:uid="{00000000-0005-0000-0000-000017000000}"/>
    <cellStyle name="Output Column Headings" xfId="23" xr:uid="{00000000-0005-0000-0000-000018000000}"/>
    <cellStyle name="Output Line Items" xfId="24" xr:uid="{00000000-0005-0000-0000-000019000000}"/>
    <cellStyle name="Output Report Heading" xfId="25" xr:uid="{00000000-0005-0000-0000-00001A000000}"/>
    <cellStyle name="Output Report Title" xfId="26" xr:uid="{00000000-0005-0000-0000-00001B000000}"/>
    <cellStyle name="Percent" xfId="27" builtinId="5"/>
    <cellStyle name="Reset  - Style4" xfId="28" xr:uid="{00000000-0005-0000-0000-00001D000000}"/>
    <cellStyle name="Reset  - Style7" xfId="29" xr:uid="{00000000-0005-0000-0000-00001E000000}"/>
    <cellStyle name="Table  - Style5" xfId="30" xr:uid="{00000000-0005-0000-0000-00001F000000}"/>
    <cellStyle name="Table  - Style6" xfId="31" xr:uid="{00000000-0005-0000-0000-000020000000}"/>
    <cellStyle name="Title  - Style1" xfId="32" xr:uid="{00000000-0005-0000-0000-000021000000}"/>
    <cellStyle name="Title  - Style6" xfId="33" xr:uid="{00000000-0005-0000-0000-000022000000}"/>
    <cellStyle name="TotCol - Style5" xfId="34" xr:uid="{00000000-0005-0000-0000-000023000000}"/>
    <cellStyle name="TotCol - Style7" xfId="35" xr:uid="{00000000-0005-0000-0000-000024000000}"/>
    <cellStyle name="TotRow - Style4" xfId="36" xr:uid="{00000000-0005-0000-0000-000025000000}"/>
    <cellStyle name="TotRow - Style8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evenue%20Requirements\Mid-States\TENNESSEE\2007%20Rate%20Case\RATE%20BASE\CWC\2006%20DEC%20TY%20TN%20LEAD%20L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CH 1"/>
      <sheetName val="SCH 2"/>
      <sheetName val="WP 2-1"/>
      <sheetName val="WP 2-2"/>
      <sheetName val="WP 2-3"/>
      <sheetName val="SCH 3"/>
      <sheetName val="SCH 4"/>
      <sheetName val="SCH 5"/>
      <sheetName val="WP 5-1"/>
      <sheetName val="WP 5-2"/>
      <sheetName val="WP 5-3"/>
      <sheetName val="SCH 6"/>
    </sheetNames>
    <sheetDataSet>
      <sheetData sheetId="0" refreshError="1">
        <row r="7">
          <cell r="C7" t="str">
            <v>Atmos Energy Corporation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tabColor theme="6" tint="0.39997558519241921"/>
    <pageSetUpPr fitToPage="1"/>
  </sheetPr>
  <dimension ref="A1:E17"/>
  <sheetViews>
    <sheetView tabSelected="1" zoomScale="75" workbookViewId="0"/>
  </sheetViews>
  <sheetFormatPr defaultColWidth="9.625" defaultRowHeight="15"/>
  <cols>
    <col min="1" max="1" width="3.25" style="4" customWidth="1"/>
    <col min="2" max="2" width="34.25" style="4" bestFit="1" customWidth="1"/>
    <col min="3" max="3" width="26" style="4" bestFit="1" customWidth="1"/>
    <col min="4" max="4" width="21.25" style="4" customWidth="1"/>
    <col min="5" max="5" width="2.5" style="4" customWidth="1"/>
    <col min="6" max="16384" width="9.625" style="4"/>
  </cols>
  <sheetData>
    <row r="1" spans="1:5" ht="15.75">
      <c r="A1" s="59" t="s">
        <v>38</v>
      </c>
      <c r="B1" s="60"/>
      <c r="C1" s="61" t="s">
        <v>2</v>
      </c>
      <c r="D1" s="2" t="s">
        <v>2</v>
      </c>
      <c r="E1" s="1"/>
    </row>
    <row r="2" spans="1:5" ht="15.75">
      <c r="A2" s="59" t="s">
        <v>41</v>
      </c>
      <c r="B2" s="60"/>
      <c r="C2" s="61" t="s">
        <v>2</v>
      </c>
      <c r="D2" s="2" t="s">
        <v>2</v>
      </c>
      <c r="E2" s="1"/>
    </row>
    <row r="3" spans="1:5" ht="15.75">
      <c r="A3" s="59"/>
      <c r="B3" s="60"/>
      <c r="C3" s="61" t="s">
        <v>2</v>
      </c>
      <c r="D3" s="2" t="s">
        <v>2</v>
      </c>
      <c r="E3" s="1"/>
    </row>
    <row r="4" spans="1:5" ht="15.75">
      <c r="A4" s="59"/>
      <c r="B4" s="60"/>
      <c r="C4" s="61" t="s">
        <v>2</v>
      </c>
      <c r="D4" s="2" t="s">
        <v>2</v>
      </c>
      <c r="E4" s="1"/>
    </row>
    <row r="5" spans="1:5" ht="15.75">
      <c r="A5" s="59"/>
      <c r="B5" s="60"/>
      <c r="C5" s="62" t="s">
        <v>2</v>
      </c>
      <c r="D5" s="5" t="s">
        <v>2</v>
      </c>
      <c r="E5" s="3"/>
    </row>
    <row r="6" spans="1:5" ht="15.75">
      <c r="A6" s="59"/>
      <c r="B6" s="60"/>
      <c r="C6" s="62" t="s">
        <v>2</v>
      </c>
      <c r="D6" s="5" t="s">
        <v>2</v>
      </c>
      <c r="E6" s="3"/>
    </row>
    <row r="7" spans="1:5" ht="15.75">
      <c r="A7" s="63"/>
      <c r="B7" s="64" t="s">
        <v>39</v>
      </c>
      <c r="C7" s="65" t="s">
        <v>38</v>
      </c>
      <c r="D7" s="5" t="s">
        <v>2</v>
      </c>
      <c r="E7" s="3"/>
    </row>
    <row r="8" spans="1:5" ht="15.75">
      <c r="A8" s="63"/>
      <c r="B8" s="64" t="s">
        <v>40</v>
      </c>
      <c r="C8" s="65" t="s">
        <v>216</v>
      </c>
      <c r="D8" s="5"/>
      <c r="E8" s="3"/>
    </row>
    <row r="9" spans="1:5" ht="15.75">
      <c r="A9" s="63"/>
      <c r="B9" s="64" t="s">
        <v>238</v>
      </c>
      <c r="C9" s="345">
        <v>44469</v>
      </c>
      <c r="D9" s="12"/>
      <c r="E9" s="13"/>
    </row>
    <row r="10" spans="1:5" s="7" customFormat="1" ht="15.75">
      <c r="A10" s="66"/>
      <c r="B10" s="64" t="s">
        <v>237</v>
      </c>
      <c r="C10" s="346">
        <v>44926</v>
      </c>
      <c r="D10" s="5"/>
      <c r="E10" s="5"/>
    </row>
    <row r="11" spans="1:5" s="7" customFormat="1" ht="15.75">
      <c r="A11" s="66"/>
      <c r="B11" s="63"/>
      <c r="C11" s="62"/>
      <c r="D11" s="5"/>
      <c r="E11" s="5"/>
    </row>
    <row r="12" spans="1:5" s="7" customFormat="1" ht="15.75">
      <c r="A12" s="5"/>
      <c r="B12" s="64" t="s">
        <v>217</v>
      </c>
      <c r="C12" s="346">
        <v>44286</v>
      </c>
      <c r="D12" s="8"/>
      <c r="E12" s="9"/>
    </row>
    <row r="13" spans="1:5" s="7" customFormat="1" ht="15.75">
      <c r="A13" s="5"/>
      <c r="B13" s="5"/>
      <c r="C13" s="33"/>
      <c r="D13" s="8"/>
      <c r="E13" s="5"/>
    </row>
    <row r="14" spans="1:5" s="7" customFormat="1" ht="15.75">
      <c r="A14" s="5"/>
      <c r="B14" s="6"/>
      <c r="C14" s="34"/>
      <c r="D14" s="10"/>
      <c r="E14" s="5"/>
    </row>
    <row r="15" spans="1:5" s="7" customFormat="1" ht="15.75">
      <c r="A15" s="5"/>
      <c r="B15" s="6"/>
      <c r="C15" s="34"/>
      <c r="D15" s="10"/>
      <c r="E15" s="5"/>
    </row>
    <row r="16" spans="1:5" s="7" customFormat="1" ht="15.75">
      <c r="A16" s="5"/>
      <c r="B16" s="6"/>
      <c r="C16" s="10"/>
      <c r="D16" s="10"/>
      <c r="E16" s="5"/>
    </row>
    <row r="17" spans="1:5" s="7" customFormat="1" ht="15.75">
      <c r="A17" s="5"/>
      <c r="B17" s="29"/>
      <c r="C17" s="29"/>
      <c r="D17" s="29"/>
      <c r="E17"/>
    </row>
  </sheetData>
  <phoneticPr fontId="17" type="noConversion"/>
  <printOptions horizontalCentered="1"/>
  <pageMargins left="0.6" right="0.6" top="0.75" bottom="0.5" header="0.25" footer="0.24"/>
  <pageSetup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Q401"/>
  <sheetViews>
    <sheetView zoomScaleNormal="100" zoomScaleSheetLayoutView="10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9" defaultRowHeight="12.75"/>
  <cols>
    <col min="1" max="1" width="5.125" style="22" bestFit="1" customWidth="1"/>
    <col min="2" max="2" width="31.5" style="22" customWidth="1"/>
    <col min="3" max="3" width="9.75" style="31" bestFit="1" customWidth="1"/>
    <col min="4" max="4" width="10" style="32" bestFit="1" customWidth="1"/>
    <col min="5" max="5" width="10.5" style="32" customWidth="1"/>
    <col min="6" max="6" width="11.125" style="31" bestFit="1" customWidth="1"/>
    <col min="7" max="7" width="10.75" style="31" bestFit="1" customWidth="1"/>
    <col min="8" max="9" width="9.75" style="31" bestFit="1" customWidth="1"/>
    <col min="10" max="10" width="10.5" style="31" bestFit="1" customWidth="1"/>
    <col min="11" max="11" width="8.25" style="22" bestFit="1" customWidth="1"/>
    <col min="12" max="12" width="12" style="22" bestFit="1" customWidth="1"/>
    <col min="13" max="13" width="9.875" style="22" bestFit="1" customWidth="1"/>
    <col min="14" max="14" width="7.25" style="22" bestFit="1" customWidth="1"/>
    <col min="15" max="15" width="11.5" style="22" bestFit="1" customWidth="1"/>
    <col min="16" max="16384" width="9" style="22"/>
  </cols>
  <sheetData>
    <row r="1" spans="1:16">
      <c r="A1" s="106" t="str">
        <f>CONCATENATE(COMPANY,"-",JURISDICTION)</f>
        <v>Atmos Energy Corporation-Kentucky</v>
      </c>
      <c r="B1" s="47"/>
      <c r="C1" s="48"/>
      <c r="D1" s="49"/>
      <c r="E1" s="49"/>
      <c r="F1" s="47"/>
      <c r="G1" s="48"/>
      <c r="H1" s="48"/>
      <c r="I1" s="48"/>
      <c r="J1" s="48"/>
      <c r="K1" s="48"/>
      <c r="L1" s="47"/>
      <c r="M1" s="53"/>
      <c r="N1" s="53"/>
      <c r="O1" s="262" t="s">
        <v>106</v>
      </c>
      <c r="P1" s="53"/>
    </row>
    <row r="2" spans="1:16">
      <c r="A2" s="107" t="s">
        <v>178</v>
      </c>
      <c r="B2" s="47"/>
      <c r="C2" s="48"/>
      <c r="D2" s="49"/>
      <c r="E2" s="49"/>
      <c r="F2" s="47"/>
      <c r="G2" s="48"/>
      <c r="H2" s="48"/>
      <c r="I2" s="48"/>
      <c r="J2" s="48"/>
      <c r="K2" s="48"/>
      <c r="L2" s="47"/>
      <c r="M2" s="47" t="s">
        <v>2</v>
      </c>
      <c r="N2" s="53"/>
      <c r="O2" s="53"/>
      <c r="P2" s="53"/>
    </row>
    <row r="3" spans="1:16">
      <c r="A3" s="265" t="str">
        <f>+'ATO-CWC2'!A4</f>
        <v>For the CWC Study Test Year Ended March 31, 2021</v>
      </c>
      <c r="B3" s="51"/>
      <c r="C3" s="48"/>
      <c r="D3" s="52"/>
      <c r="E3" s="52"/>
      <c r="F3" s="51"/>
      <c r="G3" s="48"/>
      <c r="H3" s="48"/>
      <c r="I3" s="48"/>
      <c r="J3" s="48"/>
      <c r="K3" s="48"/>
      <c r="L3" s="47"/>
      <c r="M3" s="47" t="s">
        <v>2</v>
      </c>
      <c r="N3" s="53"/>
      <c r="O3" s="53"/>
      <c r="P3" s="53"/>
    </row>
    <row r="4" spans="1:16">
      <c r="A4" s="50"/>
      <c r="P4" s="53"/>
    </row>
    <row r="5" spans="1:16">
      <c r="A5" s="53"/>
      <c r="B5" s="53"/>
      <c r="C5" s="181"/>
      <c r="D5" s="182"/>
      <c r="E5" s="182"/>
      <c r="F5" s="53"/>
      <c r="G5" s="181"/>
      <c r="H5" s="181"/>
      <c r="I5" s="183" t="s">
        <v>33</v>
      </c>
      <c r="J5" s="181"/>
      <c r="K5" s="181"/>
      <c r="L5" s="54" t="s">
        <v>150</v>
      </c>
      <c r="M5" s="53" t="s">
        <v>2</v>
      </c>
      <c r="N5" s="53"/>
      <c r="O5" s="137" t="s">
        <v>155</v>
      </c>
      <c r="P5" s="53"/>
    </row>
    <row r="6" spans="1:16">
      <c r="A6" s="53" t="s">
        <v>121</v>
      </c>
      <c r="B6" s="53"/>
      <c r="C6" s="184" t="s">
        <v>102</v>
      </c>
      <c r="D6" s="184" t="s">
        <v>102</v>
      </c>
      <c r="E6" s="184" t="s">
        <v>224</v>
      </c>
      <c r="F6" s="185" t="s">
        <v>120</v>
      </c>
      <c r="G6" s="183" t="s">
        <v>6</v>
      </c>
      <c r="H6" s="183"/>
      <c r="I6" s="183" t="s">
        <v>145</v>
      </c>
      <c r="J6" s="185" t="s">
        <v>146</v>
      </c>
      <c r="K6" s="54" t="s">
        <v>120</v>
      </c>
      <c r="L6" s="54" t="s">
        <v>120</v>
      </c>
      <c r="M6" s="186" t="s">
        <v>146</v>
      </c>
      <c r="N6" s="137" t="s">
        <v>72</v>
      </c>
      <c r="O6" s="137" t="s">
        <v>72</v>
      </c>
      <c r="P6" s="53"/>
    </row>
    <row r="7" spans="1:16">
      <c r="A7" s="187" t="s">
        <v>123</v>
      </c>
      <c r="B7" s="187" t="s">
        <v>5</v>
      </c>
      <c r="C7" s="188" t="s">
        <v>146</v>
      </c>
      <c r="D7" s="188" t="s">
        <v>125</v>
      </c>
      <c r="E7" s="188" t="s">
        <v>125</v>
      </c>
      <c r="F7" s="189" t="s">
        <v>83</v>
      </c>
      <c r="G7" s="189" t="s">
        <v>7</v>
      </c>
      <c r="H7" s="189" t="s">
        <v>8</v>
      </c>
      <c r="I7" s="189" t="s">
        <v>145</v>
      </c>
      <c r="J7" s="189" t="s">
        <v>148</v>
      </c>
      <c r="K7" s="190" t="s">
        <v>179</v>
      </c>
      <c r="L7" s="190" t="s">
        <v>136</v>
      </c>
      <c r="M7" s="191" t="s">
        <v>156</v>
      </c>
      <c r="N7" s="192" t="s">
        <v>136</v>
      </c>
      <c r="O7" s="190" t="s">
        <v>136</v>
      </c>
      <c r="P7" s="53"/>
    </row>
    <row r="8" spans="1:16">
      <c r="A8" s="55"/>
      <c r="B8" s="193" t="s">
        <v>13</v>
      </c>
      <c r="C8" s="194" t="s">
        <v>10</v>
      </c>
      <c r="D8" s="194" t="s">
        <v>11</v>
      </c>
      <c r="E8" s="194" t="s">
        <v>34</v>
      </c>
      <c r="F8" s="194" t="s">
        <v>12</v>
      </c>
      <c r="G8" s="194" t="s">
        <v>14</v>
      </c>
      <c r="H8" s="194" t="s">
        <v>180</v>
      </c>
      <c r="I8" s="194" t="s">
        <v>98</v>
      </c>
      <c r="J8" s="195" t="s">
        <v>103</v>
      </c>
      <c r="K8" s="196" t="s">
        <v>181</v>
      </c>
      <c r="L8" s="195" t="s">
        <v>182</v>
      </c>
      <c r="M8" s="195" t="s">
        <v>183</v>
      </c>
      <c r="N8" s="195" t="s">
        <v>185</v>
      </c>
      <c r="O8" s="195" t="s">
        <v>184</v>
      </c>
      <c r="P8" s="53"/>
    </row>
    <row r="9" spans="1:16">
      <c r="A9" s="54">
        <v>1</v>
      </c>
      <c r="B9" s="53" t="s">
        <v>335</v>
      </c>
      <c r="C9" s="197">
        <v>44109</v>
      </c>
      <c r="D9" s="53">
        <v>74</v>
      </c>
      <c r="E9" s="53">
        <v>74</v>
      </c>
      <c r="F9" s="197" t="s">
        <v>336</v>
      </c>
      <c r="G9" s="197">
        <v>44109</v>
      </c>
      <c r="H9" s="197">
        <v>44109</v>
      </c>
      <c r="I9" s="197">
        <f t="shared" ref="I9" si="0">IF(H9&lt;1," ",(((H9-G9)/2)+G9))</f>
        <v>44109</v>
      </c>
      <c r="J9" s="197">
        <v>44137</v>
      </c>
      <c r="K9" s="102">
        <f t="shared" ref="K9" si="1">(ROUND(IF(H9&lt;1,J9-C9,J9-I9),0))</f>
        <v>28</v>
      </c>
      <c r="L9" s="53">
        <f t="shared" ref="L9" si="2">ROUND(K9*E9,0)</f>
        <v>2072</v>
      </c>
      <c r="M9" s="197">
        <v>44144</v>
      </c>
      <c r="N9" s="55">
        <f t="shared" ref="N9" si="3">IF(M9="",0,M9-J9)</f>
        <v>7</v>
      </c>
      <c r="O9" s="198">
        <f t="shared" ref="O9" si="4">ROUND(+N9*E9,0)</f>
        <v>518</v>
      </c>
      <c r="P9" s="53"/>
    </row>
    <row r="10" spans="1:16">
      <c r="A10" s="54">
        <f t="shared" ref="A10:A73" si="5">1+A9</f>
        <v>2</v>
      </c>
      <c r="B10" s="53" t="s">
        <v>337</v>
      </c>
      <c r="C10" s="197">
        <v>43614</v>
      </c>
      <c r="D10" s="53">
        <v>44.77</v>
      </c>
      <c r="E10" s="53">
        <v>44.77</v>
      </c>
      <c r="F10" s="197" t="s">
        <v>336</v>
      </c>
      <c r="G10" s="197">
        <v>43980</v>
      </c>
      <c r="H10" s="197">
        <v>43980</v>
      </c>
      <c r="I10" s="197">
        <f t="shared" ref="I10:I73" si="6">IF(H10&lt;1," ",(((H10-G10)/2)+G10))</f>
        <v>43980</v>
      </c>
      <c r="J10" s="197">
        <v>43969</v>
      </c>
      <c r="K10" s="102">
        <f t="shared" ref="K10:K73" si="7">(ROUND(IF(H10&lt;1,J10-C10,J10-I10),0))</f>
        <v>-11</v>
      </c>
      <c r="L10" s="53">
        <f t="shared" ref="L10:L73" si="8">ROUND(K10*E10,0)</f>
        <v>-492</v>
      </c>
      <c r="M10" s="197">
        <v>43977</v>
      </c>
      <c r="N10" s="55">
        <f t="shared" ref="N10:N73" si="9">IF(M10="",0,M10-J10)</f>
        <v>8</v>
      </c>
      <c r="O10" s="198">
        <f t="shared" ref="O10:O73" si="10">ROUND(+N10*E10,0)</f>
        <v>358</v>
      </c>
      <c r="P10" s="53"/>
    </row>
    <row r="11" spans="1:16">
      <c r="A11" s="54">
        <f t="shared" si="5"/>
        <v>3</v>
      </c>
      <c r="B11" s="53" t="s">
        <v>337</v>
      </c>
      <c r="C11" s="197">
        <v>43965</v>
      </c>
      <c r="D11" s="53">
        <v>511.98</v>
      </c>
      <c r="E11" s="53">
        <v>511.98</v>
      </c>
      <c r="F11" s="197" t="s">
        <v>276</v>
      </c>
      <c r="G11" s="197">
        <v>43965</v>
      </c>
      <c r="H11" s="197">
        <v>43965</v>
      </c>
      <c r="I11" s="197">
        <f t="shared" si="6"/>
        <v>43965</v>
      </c>
      <c r="J11" s="197">
        <v>43990</v>
      </c>
      <c r="K11" s="102">
        <f t="shared" si="7"/>
        <v>25</v>
      </c>
      <c r="L11" s="53">
        <f t="shared" si="8"/>
        <v>12800</v>
      </c>
      <c r="M11" s="197">
        <v>43990</v>
      </c>
      <c r="N11" s="55">
        <f t="shared" si="9"/>
        <v>0</v>
      </c>
      <c r="O11" s="198">
        <f t="shared" si="10"/>
        <v>0</v>
      </c>
      <c r="P11" s="53"/>
    </row>
    <row r="12" spans="1:16">
      <c r="A12" s="54">
        <f t="shared" si="5"/>
        <v>4</v>
      </c>
      <c r="B12" s="53" t="s">
        <v>337</v>
      </c>
      <c r="C12" s="197">
        <v>43982</v>
      </c>
      <c r="D12" s="53">
        <v>27.6</v>
      </c>
      <c r="E12" s="53">
        <v>27.6</v>
      </c>
      <c r="F12" s="197" t="s">
        <v>276</v>
      </c>
      <c r="G12" s="197">
        <v>43952</v>
      </c>
      <c r="H12" s="197">
        <v>43982</v>
      </c>
      <c r="I12" s="197">
        <f t="shared" si="6"/>
        <v>43967</v>
      </c>
      <c r="J12" s="197">
        <v>44007</v>
      </c>
      <c r="K12" s="102">
        <f t="shared" si="7"/>
        <v>40</v>
      </c>
      <c r="L12" s="53">
        <f t="shared" si="8"/>
        <v>1104</v>
      </c>
      <c r="M12" s="197">
        <v>44007</v>
      </c>
      <c r="N12" s="55">
        <f t="shared" si="9"/>
        <v>0</v>
      </c>
      <c r="O12" s="198">
        <f t="shared" si="10"/>
        <v>0</v>
      </c>
      <c r="P12" s="53"/>
    </row>
    <row r="13" spans="1:16">
      <c r="A13" s="54">
        <f t="shared" si="5"/>
        <v>5</v>
      </c>
      <c r="B13" s="53" t="s">
        <v>337</v>
      </c>
      <c r="C13" s="197">
        <v>44011</v>
      </c>
      <c r="D13" s="53">
        <v>2024.6</v>
      </c>
      <c r="E13" s="53">
        <v>2024.6</v>
      </c>
      <c r="F13" s="197" t="s">
        <v>336</v>
      </c>
      <c r="G13" s="197">
        <v>44011</v>
      </c>
      <c r="H13" s="197">
        <v>44011</v>
      </c>
      <c r="I13" s="197">
        <f t="shared" si="6"/>
        <v>44011</v>
      </c>
      <c r="J13" s="197">
        <v>44039</v>
      </c>
      <c r="K13" s="102">
        <f t="shared" si="7"/>
        <v>28</v>
      </c>
      <c r="L13" s="53">
        <f t="shared" si="8"/>
        <v>56689</v>
      </c>
      <c r="M13" s="197">
        <v>44046</v>
      </c>
      <c r="N13" s="55">
        <f t="shared" si="9"/>
        <v>7</v>
      </c>
      <c r="O13" s="198">
        <f t="shared" si="10"/>
        <v>14172</v>
      </c>
      <c r="P13" s="53"/>
    </row>
    <row r="14" spans="1:16">
      <c r="A14" s="54">
        <f t="shared" si="5"/>
        <v>6</v>
      </c>
      <c r="B14" s="53" t="s">
        <v>337</v>
      </c>
      <c r="C14" s="197">
        <v>44165</v>
      </c>
      <c r="D14" s="53">
        <v>50.8</v>
      </c>
      <c r="E14" s="53">
        <v>50.8</v>
      </c>
      <c r="F14" s="197" t="s">
        <v>276</v>
      </c>
      <c r="G14" s="197">
        <v>44136</v>
      </c>
      <c r="H14" s="197">
        <v>44165</v>
      </c>
      <c r="I14" s="197">
        <f t="shared" si="6"/>
        <v>44150.5</v>
      </c>
      <c r="J14" s="197">
        <v>44193</v>
      </c>
      <c r="K14" s="102">
        <f t="shared" si="7"/>
        <v>43</v>
      </c>
      <c r="L14" s="53">
        <f t="shared" si="8"/>
        <v>2184</v>
      </c>
      <c r="M14" s="197">
        <v>44193</v>
      </c>
      <c r="N14" s="55">
        <f t="shared" si="9"/>
        <v>0</v>
      </c>
      <c r="O14" s="198">
        <f t="shared" si="10"/>
        <v>0</v>
      </c>
      <c r="P14" s="53"/>
    </row>
    <row r="15" spans="1:16">
      <c r="A15" s="54">
        <f t="shared" si="5"/>
        <v>7</v>
      </c>
      <c r="B15" s="53" t="s">
        <v>337</v>
      </c>
      <c r="C15" s="197">
        <v>44168</v>
      </c>
      <c r="D15" s="53">
        <v>103.55</v>
      </c>
      <c r="E15" s="53">
        <v>103.55</v>
      </c>
      <c r="F15" s="197" t="s">
        <v>276</v>
      </c>
      <c r="G15" s="197">
        <v>44168</v>
      </c>
      <c r="H15" s="197">
        <v>44168</v>
      </c>
      <c r="I15" s="197">
        <f t="shared" si="6"/>
        <v>44168</v>
      </c>
      <c r="J15" s="197">
        <v>44193</v>
      </c>
      <c r="K15" s="102">
        <f t="shared" si="7"/>
        <v>25</v>
      </c>
      <c r="L15" s="53">
        <f t="shared" si="8"/>
        <v>2589</v>
      </c>
      <c r="M15" s="197">
        <v>44193</v>
      </c>
      <c r="N15" s="55">
        <f t="shared" si="9"/>
        <v>0</v>
      </c>
      <c r="O15" s="198">
        <f t="shared" si="10"/>
        <v>0</v>
      </c>
      <c r="P15" s="53"/>
    </row>
    <row r="16" spans="1:16">
      <c r="A16" s="54">
        <f t="shared" si="5"/>
        <v>8</v>
      </c>
      <c r="B16" s="53" t="s">
        <v>338</v>
      </c>
      <c r="C16" s="197">
        <v>43921</v>
      </c>
      <c r="D16" s="53">
        <v>795.6</v>
      </c>
      <c r="E16" s="53">
        <v>795.6</v>
      </c>
      <c r="F16" s="197" t="s">
        <v>276</v>
      </c>
      <c r="G16" s="197">
        <v>43891</v>
      </c>
      <c r="H16" s="197">
        <v>43921</v>
      </c>
      <c r="I16" s="197">
        <f t="shared" si="6"/>
        <v>43906</v>
      </c>
      <c r="J16" s="197">
        <v>43950</v>
      </c>
      <c r="K16" s="102">
        <f t="shared" si="7"/>
        <v>44</v>
      </c>
      <c r="L16" s="53">
        <f t="shared" si="8"/>
        <v>35006</v>
      </c>
      <c r="M16" s="197">
        <v>43950</v>
      </c>
      <c r="N16" s="55">
        <f t="shared" si="9"/>
        <v>0</v>
      </c>
      <c r="O16" s="198">
        <f t="shared" si="10"/>
        <v>0</v>
      </c>
      <c r="P16" s="53"/>
    </row>
    <row r="17" spans="1:16">
      <c r="A17" s="54">
        <f t="shared" si="5"/>
        <v>9</v>
      </c>
      <c r="B17" s="53" t="s">
        <v>339</v>
      </c>
      <c r="C17" s="197">
        <v>43913</v>
      </c>
      <c r="D17" s="53">
        <v>83.48</v>
      </c>
      <c r="E17" s="53">
        <v>83.48</v>
      </c>
      <c r="F17" s="197" t="s">
        <v>336</v>
      </c>
      <c r="G17" s="197">
        <v>43913</v>
      </c>
      <c r="H17" s="197">
        <v>43913</v>
      </c>
      <c r="I17" s="197">
        <f t="shared" si="6"/>
        <v>43913</v>
      </c>
      <c r="J17" s="197">
        <v>43941</v>
      </c>
      <c r="K17" s="102">
        <f t="shared" si="7"/>
        <v>28</v>
      </c>
      <c r="L17" s="53">
        <f t="shared" si="8"/>
        <v>2337</v>
      </c>
      <c r="M17" s="197">
        <v>43952</v>
      </c>
      <c r="N17" s="55">
        <f t="shared" si="9"/>
        <v>11</v>
      </c>
      <c r="O17" s="198">
        <f t="shared" si="10"/>
        <v>918</v>
      </c>
      <c r="P17" s="53"/>
    </row>
    <row r="18" spans="1:16">
      <c r="A18" s="54">
        <f t="shared" si="5"/>
        <v>10</v>
      </c>
      <c r="B18" s="53" t="s">
        <v>339</v>
      </c>
      <c r="C18" s="197">
        <v>43952</v>
      </c>
      <c r="D18" s="53">
        <v>318</v>
      </c>
      <c r="E18" s="53">
        <v>318</v>
      </c>
      <c r="F18" s="197" t="s">
        <v>336</v>
      </c>
      <c r="G18" s="197">
        <v>43922</v>
      </c>
      <c r="H18" s="197">
        <v>43951</v>
      </c>
      <c r="I18" s="197">
        <f t="shared" si="6"/>
        <v>43936.5</v>
      </c>
      <c r="J18" s="197">
        <v>43978</v>
      </c>
      <c r="K18" s="102">
        <f t="shared" si="7"/>
        <v>42</v>
      </c>
      <c r="L18" s="53">
        <f t="shared" si="8"/>
        <v>13356</v>
      </c>
      <c r="M18" s="197">
        <v>43990</v>
      </c>
      <c r="N18" s="55">
        <f t="shared" si="9"/>
        <v>12</v>
      </c>
      <c r="O18" s="198">
        <f t="shared" si="10"/>
        <v>3816</v>
      </c>
      <c r="P18" s="53"/>
    </row>
    <row r="19" spans="1:16">
      <c r="A19" s="54">
        <f t="shared" si="5"/>
        <v>11</v>
      </c>
      <c r="B19" s="53" t="s">
        <v>339</v>
      </c>
      <c r="C19" s="197">
        <v>43981</v>
      </c>
      <c r="D19" s="53">
        <v>68.900000000000006</v>
      </c>
      <c r="E19" s="53">
        <v>68.900000000000006</v>
      </c>
      <c r="F19" s="197" t="s">
        <v>336</v>
      </c>
      <c r="G19" s="197">
        <v>43981</v>
      </c>
      <c r="H19" s="197">
        <v>43981</v>
      </c>
      <c r="I19" s="197">
        <f t="shared" si="6"/>
        <v>43981</v>
      </c>
      <c r="J19" s="197">
        <v>44006</v>
      </c>
      <c r="K19" s="102">
        <f t="shared" si="7"/>
        <v>25</v>
      </c>
      <c r="L19" s="53">
        <f t="shared" si="8"/>
        <v>1723</v>
      </c>
      <c r="M19" s="197">
        <v>44020</v>
      </c>
      <c r="N19" s="55">
        <f t="shared" si="9"/>
        <v>14</v>
      </c>
      <c r="O19" s="198">
        <f t="shared" si="10"/>
        <v>965</v>
      </c>
      <c r="P19" s="53"/>
    </row>
    <row r="20" spans="1:16">
      <c r="A20" s="54">
        <f t="shared" si="5"/>
        <v>12</v>
      </c>
      <c r="B20" s="53" t="s">
        <v>339</v>
      </c>
      <c r="C20" s="197">
        <v>43992</v>
      </c>
      <c r="D20" s="53">
        <v>121.9</v>
      </c>
      <c r="E20" s="53">
        <v>121.9</v>
      </c>
      <c r="F20" s="197" t="s">
        <v>336</v>
      </c>
      <c r="G20" s="197">
        <v>43992</v>
      </c>
      <c r="H20" s="197">
        <v>43992</v>
      </c>
      <c r="I20" s="197">
        <f t="shared" si="6"/>
        <v>43992</v>
      </c>
      <c r="J20" s="197">
        <v>44018</v>
      </c>
      <c r="K20" s="102">
        <f t="shared" si="7"/>
        <v>26</v>
      </c>
      <c r="L20" s="53">
        <f t="shared" si="8"/>
        <v>3169</v>
      </c>
      <c r="M20" s="197">
        <v>44029</v>
      </c>
      <c r="N20" s="55">
        <f t="shared" si="9"/>
        <v>11</v>
      </c>
      <c r="O20" s="198">
        <f t="shared" si="10"/>
        <v>1341</v>
      </c>
      <c r="P20" s="53"/>
    </row>
    <row r="21" spans="1:16">
      <c r="A21" s="54">
        <f t="shared" si="5"/>
        <v>13</v>
      </c>
      <c r="B21" s="53" t="s">
        <v>339</v>
      </c>
      <c r="C21" s="197">
        <v>43994</v>
      </c>
      <c r="D21" s="53">
        <v>100.93</v>
      </c>
      <c r="E21" s="53">
        <v>100.93</v>
      </c>
      <c r="F21" s="197" t="s">
        <v>336</v>
      </c>
      <c r="G21" s="197">
        <v>43994</v>
      </c>
      <c r="H21" s="197">
        <v>43994</v>
      </c>
      <c r="I21" s="197">
        <f t="shared" si="6"/>
        <v>43994</v>
      </c>
      <c r="J21" s="197">
        <v>44020</v>
      </c>
      <c r="K21" s="102">
        <f t="shared" si="7"/>
        <v>26</v>
      </c>
      <c r="L21" s="53">
        <f t="shared" si="8"/>
        <v>2624</v>
      </c>
      <c r="M21" s="197">
        <v>44047</v>
      </c>
      <c r="N21" s="55">
        <f t="shared" si="9"/>
        <v>27</v>
      </c>
      <c r="O21" s="198">
        <f t="shared" si="10"/>
        <v>2725</v>
      </c>
      <c r="P21" s="53"/>
    </row>
    <row r="22" spans="1:16">
      <c r="A22" s="54">
        <f t="shared" si="5"/>
        <v>14</v>
      </c>
      <c r="B22" s="53" t="s">
        <v>339</v>
      </c>
      <c r="C22" s="197">
        <v>44006</v>
      </c>
      <c r="D22" s="53">
        <v>121.9</v>
      </c>
      <c r="E22" s="53">
        <v>121.9</v>
      </c>
      <c r="F22" s="197" t="s">
        <v>336</v>
      </c>
      <c r="G22" s="197">
        <v>44006</v>
      </c>
      <c r="H22" s="197">
        <v>44006</v>
      </c>
      <c r="I22" s="197">
        <f t="shared" si="6"/>
        <v>44006</v>
      </c>
      <c r="J22" s="197">
        <v>44032</v>
      </c>
      <c r="K22" s="102">
        <f t="shared" si="7"/>
        <v>26</v>
      </c>
      <c r="L22" s="53">
        <f t="shared" si="8"/>
        <v>3169</v>
      </c>
      <c r="M22" s="197">
        <v>44046</v>
      </c>
      <c r="N22" s="55">
        <f t="shared" si="9"/>
        <v>14</v>
      </c>
      <c r="O22" s="198">
        <f t="shared" si="10"/>
        <v>1707</v>
      </c>
      <c r="P22" s="53"/>
    </row>
    <row r="23" spans="1:16">
      <c r="A23" s="54">
        <f t="shared" si="5"/>
        <v>15</v>
      </c>
      <c r="B23" s="53" t="s">
        <v>339</v>
      </c>
      <c r="C23" s="197">
        <v>44013</v>
      </c>
      <c r="D23" s="53">
        <v>919.02</v>
      </c>
      <c r="E23" s="53">
        <v>919.02</v>
      </c>
      <c r="F23" s="197" t="s">
        <v>336</v>
      </c>
      <c r="G23" s="197">
        <v>43983</v>
      </c>
      <c r="H23" s="197">
        <v>44012</v>
      </c>
      <c r="I23" s="197">
        <f t="shared" si="6"/>
        <v>43997.5</v>
      </c>
      <c r="J23" s="197">
        <v>44039</v>
      </c>
      <c r="K23" s="102">
        <f t="shared" si="7"/>
        <v>42</v>
      </c>
      <c r="L23" s="53">
        <f t="shared" si="8"/>
        <v>38599</v>
      </c>
      <c r="M23" s="197">
        <v>44071</v>
      </c>
      <c r="N23" s="55">
        <f t="shared" si="9"/>
        <v>32</v>
      </c>
      <c r="O23" s="198">
        <f t="shared" si="10"/>
        <v>29409</v>
      </c>
      <c r="P23" s="53"/>
    </row>
    <row r="24" spans="1:16">
      <c r="A24" s="54">
        <f t="shared" si="5"/>
        <v>16</v>
      </c>
      <c r="B24" s="53" t="s">
        <v>339</v>
      </c>
      <c r="C24" s="197">
        <v>44135</v>
      </c>
      <c r="D24" s="53">
        <v>34.340000000000003</v>
      </c>
      <c r="E24" s="53">
        <v>34.340000000000003</v>
      </c>
      <c r="F24" s="197" t="s">
        <v>336</v>
      </c>
      <c r="G24" s="197">
        <v>44135</v>
      </c>
      <c r="H24" s="197">
        <v>44135</v>
      </c>
      <c r="I24" s="197">
        <f t="shared" si="6"/>
        <v>44135</v>
      </c>
      <c r="J24" s="197">
        <v>44160</v>
      </c>
      <c r="K24" s="102">
        <f t="shared" si="7"/>
        <v>25</v>
      </c>
      <c r="L24" s="53">
        <f t="shared" si="8"/>
        <v>859</v>
      </c>
      <c r="M24" s="197">
        <v>44173</v>
      </c>
      <c r="N24" s="55">
        <f t="shared" si="9"/>
        <v>13</v>
      </c>
      <c r="O24" s="198">
        <f t="shared" si="10"/>
        <v>446</v>
      </c>
      <c r="P24" s="53"/>
    </row>
    <row r="25" spans="1:16">
      <c r="A25" s="54">
        <f t="shared" si="5"/>
        <v>17</v>
      </c>
      <c r="B25" s="53" t="s">
        <v>339</v>
      </c>
      <c r="C25" s="197">
        <v>44256</v>
      </c>
      <c r="D25" s="53">
        <v>919.02</v>
      </c>
      <c r="E25" s="53">
        <v>919.02</v>
      </c>
      <c r="F25" s="197" t="s">
        <v>336</v>
      </c>
      <c r="G25" s="197">
        <v>44228</v>
      </c>
      <c r="H25" s="197">
        <v>44255</v>
      </c>
      <c r="I25" s="197">
        <f t="shared" si="6"/>
        <v>44241.5</v>
      </c>
      <c r="J25" s="197">
        <v>44284</v>
      </c>
      <c r="K25" s="102">
        <f t="shared" si="7"/>
        <v>43</v>
      </c>
      <c r="L25" s="53">
        <f t="shared" si="8"/>
        <v>39518</v>
      </c>
      <c r="M25" s="197">
        <v>44299</v>
      </c>
      <c r="N25" s="55">
        <f t="shared" si="9"/>
        <v>15</v>
      </c>
      <c r="O25" s="198">
        <f t="shared" si="10"/>
        <v>13785</v>
      </c>
      <c r="P25" s="53"/>
    </row>
    <row r="26" spans="1:16">
      <c r="A26" s="54">
        <f t="shared" si="5"/>
        <v>18</v>
      </c>
      <c r="B26" s="53" t="s">
        <v>340</v>
      </c>
      <c r="C26" s="197">
        <v>43977</v>
      </c>
      <c r="D26" s="53">
        <v>3906.1</v>
      </c>
      <c r="E26" s="53">
        <v>4140.47</v>
      </c>
      <c r="F26" s="197" t="s">
        <v>276</v>
      </c>
      <c r="G26" s="197">
        <v>43977</v>
      </c>
      <c r="H26" s="197">
        <v>43977</v>
      </c>
      <c r="I26" s="197">
        <f t="shared" si="6"/>
        <v>43977</v>
      </c>
      <c r="J26" s="197">
        <v>44004</v>
      </c>
      <c r="K26" s="102">
        <f t="shared" si="7"/>
        <v>27</v>
      </c>
      <c r="L26" s="53">
        <f t="shared" si="8"/>
        <v>111793</v>
      </c>
      <c r="M26" s="197">
        <v>44004</v>
      </c>
      <c r="N26" s="55">
        <f t="shared" si="9"/>
        <v>0</v>
      </c>
      <c r="O26" s="198">
        <f t="shared" si="10"/>
        <v>0</v>
      </c>
      <c r="P26" s="53"/>
    </row>
    <row r="27" spans="1:16">
      <c r="A27" s="54">
        <f t="shared" si="5"/>
        <v>19</v>
      </c>
      <c r="B27" s="53" t="s">
        <v>340</v>
      </c>
      <c r="C27" s="197">
        <v>44207</v>
      </c>
      <c r="D27" s="53">
        <v>1844.7</v>
      </c>
      <c r="E27" s="53">
        <v>1955.38</v>
      </c>
      <c r="F27" s="197" t="s">
        <v>276</v>
      </c>
      <c r="G27" s="197">
        <v>44207</v>
      </c>
      <c r="H27" s="197">
        <v>44207</v>
      </c>
      <c r="I27" s="197">
        <f t="shared" si="6"/>
        <v>44207</v>
      </c>
      <c r="J27" s="197">
        <v>44232</v>
      </c>
      <c r="K27" s="102">
        <f t="shared" si="7"/>
        <v>25</v>
      </c>
      <c r="L27" s="53">
        <f t="shared" si="8"/>
        <v>48885</v>
      </c>
      <c r="M27" s="197">
        <v>44232</v>
      </c>
      <c r="N27" s="55">
        <f t="shared" si="9"/>
        <v>0</v>
      </c>
      <c r="O27" s="198">
        <f t="shared" si="10"/>
        <v>0</v>
      </c>
      <c r="P27" s="53"/>
    </row>
    <row r="28" spans="1:16">
      <c r="A28" s="54">
        <f t="shared" si="5"/>
        <v>20</v>
      </c>
      <c r="B28" s="53" t="s">
        <v>341</v>
      </c>
      <c r="C28" s="197">
        <v>43949</v>
      </c>
      <c r="D28" s="53">
        <v>383</v>
      </c>
      <c r="E28" s="53">
        <v>383</v>
      </c>
      <c r="F28" s="197" t="s">
        <v>336</v>
      </c>
      <c r="G28" s="197">
        <v>43915</v>
      </c>
      <c r="H28" s="197">
        <v>43915</v>
      </c>
      <c r="I28" s="197">
        <f t="shared" si="6"/>
        <v>43915</v>
      </c>
      <c r="J28" s="197">
        <v>43955</v>
      </c>
      <c r="K28" s="102">
        <f t="shared" si="7"/>
        <v>40</v>
      </c>
      <c r="L28" s="53">
        <f t="shared" si="8"/>
        <v>15320</v>
      </c>
      <c r="M28" s="197">
        <v>43964</v>
      </c>
      <c r="N28" s="55">
        <f t="shared" si="9"/>
        <v>9</v>
      </c>
      <c r="O28" s="198">
        <f t="shared" si="10"/>
        <v>3447</v>
      </c>
      <c r="P28" s="53"/>
    </row>
    <row r="29" spans="1:16">
      <c r="A29" s="54">
        <f t="shared" si="5"/>
        <v>21</v>
      </c>
      <c r="B29" s="53" t="s">
        <v>341</v>
      </c>
      <c r="C29" s="197">
        <v>44075</v>
      </c>
      <c r="D29" s="53">
        <v>156.05000000000001</v>
      </c>
      <c r="E29" s="53">
        <v>70</v>
      </c>
      <c r="F29" s="197" t="s">
        <v>336</v>
      </c>
      <c r="G29" s="197">
        <v>44044</v>
      </c>
      <c r="H29" s="197">
        <v>44075</v>
      </c>
      <c r="I29" s="197">
        <f t="shared" si="6"/>
        <v>44059.5</v>
      </c>
      <c r="J29" s="197">
        <v>44088</v>
      </c>
      <c r="K29" s="102">
        <f t="shared" si="7"/>
        <v>29</v>
      </c>
      <c r="L29" s="53">
        <f t="shared" si="8"/>
        <v>2030</v>
      </c>
      <c r="M29" s="197">
        <v>44097</v>
      </c>
      <c r="N29" s="55">
        <f t="shared" si="9"/>
        <v>9</v>
      </c>
      <c r="O29" s="198">
        <f t="shared" si="10"/>
        <v>630</v>
      </c>
      <c r="P29" s="53"/>
    </row>
    <row r="30" spans="1:16">
      <c r="A30" s="54">
        <f t="shared" si="5"/>
        <v>22</v>
      </c>
      <c r="B30" s="53" t="s">
        <v>341</v>
      </c>
      <c r="C30" s="197">
        <v>44166</v>
      </c>
      <c r="D30" s="53">
        <v>302.35000000000002</v>
      </c>
      <c r="E30" s="53">
        <v>302.35000000000002</v>
      </c>
      <c r="F30" s="197" t="s">
        <v>336</v>
      </c>
      <c r="G30" s="197">
        <v>44136</v>
      </c>
      <c r="H30" s="197">
        <v>44166</v>
      </c>
      <c r="I30" s="197">
        <f t="shared" si="6"/>
        <v>44151</v>
      </c>
      <c r="J30" s="197">
        <v>44181</v>
      </c>
      <c r="K30" s="102">
        <f t="shared" si="7"/>
        <v>30</v>
      </c>
      <c r="L30" s="53">
        <f t="shared" si="8"/>
        <v>9071</v>
      </c>
      <c r="M30" s="197">
        <v>44189</v>
      </c>
      <c r="N30" s="55">
        <f t="shared" si="9"/>
        <v>8</v>
      </c>
      <c r="O30" s="198">
        <f t="shared" si="10"/>
        <v>2419</v>
      </c>
      <c r="P30" s="53"/>
    </row>
    <row r="31" spans="1:16">
      <c r="A31" s="54">
        <f t="shared" si="5"/>
        <v>23</v>
      </c>
      <c r="B31" s="53" t="s">
        <v>341</v>
      </c>
      <c r="C31" s="197">
        <v>44197</v>
      </c>
      <c r="D31" s="53">
        <v>121519.96</v>
      </c>
      <c r="E31" s="53">
        <v>5724.66</v>
      </c>
      <c r="F31" s="197" t="s">
        <v>336</v>
      </c>
      <c r="G31" s="197">
        <v>44166</v>
      </c>
      <c r="H31" s="197">
        <v>44197</v>
      </c>
      <c r="I31" s="197">
        <f t="shared" si="6"/>
        <v>44181.5</v>
      </c>
      <c r="J31" s="197">
        <v>44214</v>
      </c>
      <c r="K31" s="102">
        <f t="shared" si="7"/>
        <v>33</v>
      </c>
      <c r="L31" s="53">
        <f t="shared" si="8"/>
        <v>188914</v>
      </c>
      <c r="M31" s="197">
        <v>44221</v>
      </c>
      <c r="N31" s="55">
        <f t="shared" si="9"/>
        <v>7</v>
      </c>
      <c r="O31" s="198">
        <f t="shared" si="10"/>
        <v>40073</v>
      </c>
      <c r="P31" s="53"/>
    </row>
    <row r="32" spans="1:16">
      <c r="A32" s="54">
        <f t="shared" si="5"/>
        <v>24</v>
      </c>
      <c r="B32" s="53" t="s">
        <v>341</v>
      </c>
      <c r="C32" s="197">
        <v>44256</v>
      </c>
      <c r="D32" s="53">
        <v>306.35000000000002</v>
      </c>
      <c r="E32" s="53">
        <v>306.35000000000002</v>
      </c>
      <c r="F32" s="197" t="s">
        <v>336</v>
      </c>
      <c r="G32" s="197">
        <v>44228</v>
      </c>
      <c r="H32" s="197">
        <v>44256</v>
      </c>
      <c r="I32" s="197">
        <f t="shared" si="6"/>
        <v>44242</v>
      </c>
      <c r="J32" s="197">
        <v>44272</v>
      </c>
      <c r="K32" s="102">
        <f t="shared" si="7"/>
        <v>30</v>
      </c>
      <c r="L32" s="53">
        <f t="shared" si="8"/>
        <v>9191</v>
      </c>
      <c r="M32" s="197">
        <v>44278</v>
      </c>
      <c r="N32" s="55">
        <f t="shared" si="9"/>
        <v>6</v>
      </c>
      <c r="O32" s="198">
        <f t="shared" si="10"/>
        <v>1838</v>
      </c>
      <c r="P32" s="53"/>
    </row>
    <row r="33" spans="1:16">
      <c r="A33" s="54">
        <f t="shared" si="5"/>
        <v>25</v>
      </c>
      <c r="B33" s="53" t="s">
        <v>342</v>
      </c>
      <c r="C33" s="197">
        <v>43933</v>
      </c>
      <c r="D33" s="53">
        <v>39491.06</v>
      </c>
      <c r="E33" s="53">
        <v>50.45</v>
      </c>
      <c r="F33" s="197" t="s">
        <v>336</v>
      </c>
      <c r="G33" s="197">
        <v>43902</v>
      </c>
      <c r="H33" s="197">
        <v>43933</v>
      </c>
      <c r="I33" s="197">
        <f t="shared" si="6"/>
        <v>43917.5</v>
      </c>
      <c r="J33" s="197">
        <v>43955</v>
      </c>
      <c r="K33" s="102">
        <f t="shared" si="7"/>
        <v>38</v>
      </c>
      <c r="L33" s="53">
        <f t="shared" si="8"/>
        <v>1917</v>
      </c>
      <c r="M33" s="197">
        <v>43966</v>
      </c>
      <c r="N33" s="55">
        <f t="shared" si="9"/>
        <v>11</v>
      </c>
      <c r="O33" s="198">
        <f t="shared" si="10"/>
        <v>555</v>
      </c>
      <c r="P33" s="53"/>
    </row>
    <row r="34" spans="1:16">
      <c r="A34" s="54">
        <f t="shared" si="5"/>
        <v>26</v>
      </c>
      <c r="B34" s="53" t="s">
        <v>342</v>
      </c>
      <c r="C34" s="197">
        <v>43963</v>
      </c>
      <c r="D34" s="53">
        <v>7680.11</v>
      </c>
      <c r="E34" s="53">
        <v>4509.57</v>
      </c>
      <c r="F34" s="197" t="s">
        <v>336</v>
      </c>
      <c r="G34" s="197">
        <v>43933</v>
      </c>
      <c r="H34" s="197">
        <v>43963</v>
      </c>
      <c r="I34" s="197">
        <f t="shared" si="6"/>
        <v>43948</v>
      </c>
      <c r="J34" s="197">
        <v>43983</v>
      </c>
      <c r="K34" s="102">
        <f t="shared" si="7"/>
        <v>35</v>
      </c>
      <c r="L34" s="53">
        <f t="shared" si="8"/>
        <v>157835</v>
      </c>
      <c r="M34" s="197">
        <v>43994</v>
      </c>
      <c r="N34" s="55">
        <f t="shared" si="9"/>
        <v>11</v>
      </c>
      <c r="O34" s="198">
        <f t="shared" si="10"/>
        <v>49605</v>
      </c>
      <c r="P34" s="53"/>
    </row>
    <row r="35" spans="1:16">
      <c r="A35" s="54">
        <f t="shared" si="5"/>
        <v>27</v>
      </c>
      <c r="B35" s="53" t="s">
        <v>342</v>
      </c>
      <c r="C35" s="197">
        <v>43994</v>
      </c>
      <c r="D35" s="53">
        <v>423.4</v>
      </c>
      <c r="E35" s="53">
        <v>5247.8</v>
      </c>
      <c r="F35" s="197" t="s">
        <v>336</v>
      </c>
      <c r="G35" s="197">
        <v>43963</v>
      </c>
      <c r="H35" s="197">
        <v>43994</v>
      </c>
      <c r="I35" s="197">
        <f t="shared" si="6"/>
        <v>43978.5</v>
      </c>
      <c r="J35" s="197">
        <v>44013</v>
      </c>
      <c r="K35" s="102">
        <f t="shared" si="7"/>
        <v>35</v>
      </c>
      <c r="L35" s="53">
        <f t="shared" si="8"/>
        <v>183673</v>
      </c>
      <c r="M35" s="197">
        <v>44026</v>
      </c>
      <c r="N35" s="55">
        <f t="shared" si="9"/>
        <v>13</v>
      </c>
      <c r="O35" s="198">
        <f t="shared" si="10"/>
        <v>68221</v>
      </c>
      <c r="P35" s="53"/>
    </row>
    <row r="36" spans="1:16">
      <c r="A36" s="54">
        <f t="shared" si="5"/>
        <v>28</v>
      </c>
      <c r="B36" s="53" t="s">
        <v>343</v>
      </c>
      <c r="C36" s="197">
        <v>43992</v>
      </c>
      <c r="D36" s="53">
        <v>56.21</v>
      </c>
      <c r="E36" s="53">
        <v>56.21</v>
      </c>
      <c r="F36" s="197" t="s">
        <v>276</v>
      </c>
      <c r="G36" s="197">
        <v>43961</v>
      </c>
      <c r="H36" s="197">
        <v>43991</v>
      </c>
      <c r="I36" s="197">
        <f t="shared" si="6"/>
        <v>43976</v>
      </c>
      <c r="J36" s="197">
        <v>44000</v>
      </c>
      <c r="K36" s="102">
        <f t="shared" si="7"/>
        <v>24</v>
      </c>
      <c r="L36" s="53">
        <f t="shared" si="8"/>
        <v>1349</v>
      </c>
      <c r="M36" s="197">
        <v>44000</v>
      </c>
      <c r="N36" s="55">
        <f t="shared" si="9"/>
        <v>0</v>
      </c>
      <c r="O36" s="198">
        <f t="shared" si="10"/>
        <v>0</v>
      </c>
      <c r="P36" s="53"/>
    </row>
    <row r="37" spans="1:16">
      <c r="A37" s="54">
        <f t="shared" si="5"/>
        <v>29</v>
      </c>
      <c r="B37" s="53" t="s">
        <v>343</v>
      </c>
      <c r="C37" s="197">
        <v>44053</v>
      </c>
      <c r="D37" s="53">
        <v>1.84</v>
      </c>
      <c r="E37" s="53">
        <v>1.84</v>
      </c>
      <c r="F37" s="197" t="s">
        <v>276</v>
      </c>
      <c r="G37" s="197">
        <v>44022</v>
      </c>
      <c r="H37" s="197">
        <v>44052</v>
      </c>
      <c r="I37" s="197">
        <f t="shared" si="6"/>
        <v>44037</v>
      </c>
      <c r="J37" s="197">
        <v>44055</v>
      </c>
      <c r="K37" s="102">
        <f t="shared" si="7"/>
        <v>18</v>
      </c>
      <c r="L37" s="53">
        <f t="shared" si="8"/>
        <v>33</v>
      </c>
      <c r="M37" s="197">
        <v>44055</v>
      </c>
      <c r="N37" s="55">
        <f t="shared" si="9"/>
        <v>0</v>
      </c>
      <c r="O37" s="198">
        <f t="shared" si="10"/>
        <v>0</v>
      </c>
      <c r="P37" s="53"/>
    </row>
    <row r="38" spans="1:16">
      <c r="A38" s="54">
        <f t="shared" si="5"/>
        <v>30</v>
      </c>
      <c r="B38" s="53" t="s">
        <v>343</v>
      </c>
      <c r="C38" s="197">
        <v>44113</v>
      </c>
      <c r="D38" s="53">
        <v>11.68</v>
      </c>
      <c r="E38" s="53">
        <v>11.68</v>
      </c>
      <c r="F38" s="197" t="s">
        <v>276</v>
      </c>
      <c r="G38" s="197">
        <v>44083</v>
      </c>
      <c r="H38" s="197">
        <v>44112</v>
      </c>
      <c r="I38" s="197">
        <f t="shared" si="6"/>
        <v>44097.5</v>
      </c>
      <c r="J38" s="197">
        <v>44119</v>
      </c>
      <c r="K38" s="102">
        <f t="shared" si="7"/>
        <v>22</v>
      </c>
      <c r="L38" s="53">
        <f t="shared" si="8"/>
        <v>257</v>
      </c>
      <c r="M38" s="197">
        <v>44119</v>
      </c>
      <c r="N38" s="55">
        <f t="shared" si="9"/>
        <v>0</v>
      </c>
      <c r="O38" s="198">
        <f t="shared" si="10"/>
        <v>0</v>
      </c>
      <c r="P38" s="53"/>
    </row>
    <row r="39" spans="1:16">
      <c r="A39" s="54">
        <f t="shared" si="5"/>
        <v>31</v>
      </c>
      <c r="B39" s="53" t="s">
        <v>343</v>
      </c>
      <c r="C39" s="197">
        <v>44175</v>
      </c>
      <c r="D39" s="53">
        <v>7.26</v>
      </c>
      <c r="E39" s="53">
        <v>7.26</v>
      </c>
      <c r="F39" s="197" t="s">
        <v>276</v>
      </c>
      <c r="G39" s="197">
        <v>44145</v>
      </c>
      <c r="H39" s="197">
        <v>44174</v>
      </c>
      <c r="I39" s="197">
        <f t="shared" si="6"/>
        <v>44159.5</v>
      </c>
      <c r="J39" s="197">
        <v>44182</v>
      </c>
      <c r="K39" s="102">
        <f t="shared" si="7"/>
        <v>23</v>
      </c>
      <c r="L39" s="53">
        <f t="shared" si="8"/>
        <v>167</v>
      </c>
      <c r="M39" s="197">
        <v>44182</v>
      </c>
      <c r="N39" s="55">
        <f t="shared" si="9"/>
        <v>0</v>
      </c>
      <c r="O39" s="198">
        <f t="shared" si="10"/>
        <v>0</v>
      </c>
      <c r="P39" s="53"/>
    </row>
    <row r="40" spans="1:16">
      <c r="A40" s="54">
        <f t="shared" si="5"/>
        <v>32</v>
      </c>
      <c r="B40" s="53" t="s">
        <v>343</v>
      </c>
      <c r="C40" s="197">
        <v>44204</v>
      </c>
      <c r="D40" s="53">
        <v>40.99</v>
      </c>
      <c r="E40" s="53">
        <v>40.99</v>
      </c>
      <c r="F40" s="197" t="s">
        <v>276</v>
      </c>
      <c r="G40" s="197">
        <v>44173</v>
      </c>
      <c r="H40" s="197">
        <v>44203</v>
      </c>
      <c r="I40" s="197">
        <f t="shared" si="6"/>
        <v>44188</v>
      </c>
      <c r="J40" s="197">
        <v>44210</v>
      </c>
      <c r="K40" s="102">
        <f t="shared" si="7"/>
        <v>22</v>
      </c>
      <c r="L40" s="53">
        <f t="shared" si="8"/>
        <v>902</v>
      </c>
      <c r="M40" s="197">
        <v>44210</v>
      </c>
      <c r="N40" s="55">
        <f t="shared" si="9"/>
        <v>0</v>
      </c>
      <c r="O40" s="198">
        <f t="shared" si="10"/>
        <v>0</v>
      </c>
      <c r="P40" s="53"/>
    </row>
    <row r="41" spans="1:16">
      <c r="A41" s="54">
        <f t="shared" si="5"/>
        <v>33</v>
      </c>
      <c r="B41" s="53" t="s">
        <v>343</v>
      </c>
      <c r="C41" s="197">
        <v>44204</v>
      </c>
      <c r="D41" s="53">
        <v>126.38</v>
      </c>
      <c r="E41" s="53">
        <v>126.38</v>
      </c>
      <c r="F41" s="197" t="s">
        <v>276</v>
      </c>
      <c r="G41" s="197">
        <v>44173</v>
      </c>
      <c r="H41" s="197">
        <v>44203</v>
      </c>
      <c r="I41" s="197">
        <f t="shared" si="6"/>
        <v>44188</v>
      </c>
      <c r="J41" s="197">
        <v>44210</v>
      </c>
      <c r="K41" s="102">
        <f t="shared" si="7"/>
        <v>22</v>
      </c>
      <c r="L41" s="53">
        <f t="shared" si="8"/>
        <v>2780</v>
      </c>
      <c r="M41" s="197">
        <v>44210</v>
      </c>
      <c r="N41" s="55">
        <f t="shared" si="9"/>
        <v>0</v>
      </c>
      <c r="O41" s="198">
        <f t="shared" si="10"/>
        <v>0</v>
      </c>
      <c r="P41" s="53"/>
    </row>
    <row r="42" spans="1:16">
      <c r="A42" s="54">
        <f t="shared" si="5"/>
        <v>34</v>
      </c>
      <c r="B42" s="53" t="s">
        <v>343</v>
      </c>
      <c r="C42" s="197">
        <v>44237</v>
      </c>
      <c r="D42" s="53">
        <v>130.22999999999999</v>
      </c>
      <c r="E42" s="53">
        <v>130.22999999999999</v>
      </c>
      <c r="F42" s="197" t="s">
        <v>276</v>
      </c>
      <c r="G42" s="197">
        <v>44206</v>
      </c>
      <c r="H42" s="197">
        <v>44236</v>
      </c>
      <c r="I42" s="197">
        <f t="shared" si="6"/>
        <v>44221</v>
      </c>
      <c r="J42" s="197">
        <v>44249</v>
      </c>
      <c r="K42" s="102">
        <f t="shared" si="7"/>
        <v>28</v>
      </c>
      <c r="L42" s="53">
        <f t="shared" si="8"/>
        <v>3646</v>
      </c>
      <c r="M42" s="197">
        <v>44249</v>
      </c>
      <c r="N42" s="55">
        <f t="shared" si="9"/>
        <v>0</v>
      </c>
      <c r="O42" s="198">
        <f t="shared" si="10"/>
        <v>0</v>
      </c>
      <c r="P42" s="53"/>
    </row>
    <row r="43" spans="1:16">
      <c r="A43" s="54">
        <f t="shared" si="5"/>
        <v>35</v>
      </c>
      <c r="B43" s="53" t="s">
        <v>343</v>
      </c>
      <c r="C43" s="197">
        <v>44265</v>
      </c>
      <c r="D43" s="53">
        <v>218.06</v>
      </c>
      <c r="E43" s="53">
        <v>218.06</v>
      </c>
      <c r="F43" s="197" t="s">
        <v>276</v>
      </c>
      <c r="G43" s="197">
        <v>44237</v>
      </c>
      <c r="H43" s="197">
        <v>44264</v>
      </c>
      <c r="I43" s="197">
        <f t="shared" si="6"/>
        <v>44250.5</v>
      </c>
      <c r="J43" s="197">
        <v>44270</v>
      </c>
      <c r="K43" s="102">
        <f t="shared" si="7"/>
        <v>20</v>
      </c>
      <c r="L43" s="53">
        <f t="shared" si="8"/>
        <v>4361</v>
      </c>
      <c r="M43" s="197">
        <v>44270</v>
      </c>
      <c r="N43" s="55">
        <f t="shared" si="9"/>
        <v>0</v>
      </c>
      <c r="O43" s="198">
        <f t="shared" si="10"/>
        <v>0</v>
      </c>
      <c r="P43" s="53"/>
    </row>
    <row r="44" spans="1:16">
      <c r="A44" s="54">
        <f t="shared" si="5"/>
        <v>36</v>
      </c>
      <c r="B44" s="53" t="s">
        <v>344</v>
      </c>
      <c r="C44" s="197">
        <v>44082</v>
      </c>
      <c r="D44" s="53">
        <v>2059699.6</v>
      </c>
      <c r="E44" s="53">
        <v>108251.45</v>
      </c>
      <c r="F44" s="197" t="s">
        <v>276</v>
      </c>
      <c r="G44" s="197">
        <v>44044</v>
      </c>
      <c r="H44" s="197">
        <v>44074</v>
      </c>
      <c r="I44" s="197">
        <f t="shared" si="6"/>
        <v>44059</v>
      </c>
      <c r="J44" s="197">
        <v>44084</v>
      </c>
      <c r="K44" s="102">
        <f t="shared" si="7"/>
        <v>25</v>
      </c>
      <c r="L44" s="53">
        <f t="shared" si="8"/>
        <v>2706286</v>
      </c>
      <c r="M44" s="197">
        <v>44084</v>
      </c>
      <c r="N44" s="55">
        <f t="shared" si="9"/>
        <v>0</v>
      </c>
      <c r="O44" s="198">
        <f t="shared" si="10"/>
        <v>0</v>
      </c>
      <c r="P44" s="53"/>
    </row>
    <row r="45" spans="1:16">
      <c r="A45" s="54">
        <f t="shared" si="5"/>
        <v>37</v>
      </c>
      <c r="B45" s="53" t="s">
        <v>344</v>
      </c>
      <c r="C45" s="197">
        <v>44109</v>
      </c>
      <c r="D45" s="53">
        <v>2278632.38</v>
      </c>
      <c r="E45" s="53">
        <v>164214.93</v>
      </c>
      <c r="F45" s="197" t="s">
        <v>276</v>
      </c>
      <c r="G45" s="197">
        <v>44075</v>
      </c>
      <c r="H45" s="197">
        <v>44104</v>
      </c>
      <c r="I45" s="197">
        <f t="shared" si="6"/>
        <v>44089.5</v>
      </c>
      <c r="J45" s="197">
        <v>44110</v>
      </c>
      <c r="K45" s="102">
        <f t="shared" si="7"/>
        <v>21</v>
      </c>
      <c r="L45" s="53">
        <f t="shared" si="8"/>
        <v>3448514</v>
      </c>
      <c r="M45" s="197">
        <v>44110</v>
      </c>
      <c r="N45" s="55">
        <f t="shared" si="9"/>
        <v>0</v>
      </c>
      <c r="O45" s="198">
        <f t="shared" si="10"/>
        <v>0</v>
      </c>
      <c r="P45" s="53"/>
    </row>
    <row r="46" spans="1:16">
      <c r="A46" s="54">
        <f t="shared" si="5"/>
        <v>38</v>
      </c>
      <c r="B46" s="53" t="s">
        <v>345</v>
      </c>
      <c r="C46" s="197">
        <v>43997</v>
      </c>
      <c r="D46" s="53">
        <v>40.81</v>
      </c>
      <c r="E46" s="53">
        <v>40.81</v>
      </c>
      <c r="F46" s="197" t="s">
        <v>336</v>
      </c>
      <c r="G46" s="197">
        <v>43997</v>
      </c>
      <c r="H46" s="197">
        <v>43997</v>
      </c>
      <c r="I46" s="197">
        <f t="shared" si="6"/>
        <v>43997</v>
      </c>
      <c r="J46" s="197">
        <v>44011</v>
      </c>
      <c r="K46" s="102">
        <f t="shared" si="7"/>
        <v>14</v>
      </c>
      <c r="L46" s="53">
        <f t="shared" si="8"/>
        <v>571</v>
      </c>
      <c r="M46" s="197">
        <v>44026</v>
      </c>
      <c r="N46" s="55">
        <f t="shared" si="9"/>
        <v>15</v>
      </c>
      <c r="O46" s="198">
        <f t="shared" si="10"/>
        <v>612</v>
      </c>
      <c r="P46" s="53"/>
    </row>
    <row r="47" spans="1:16">
      <c r="A47" s="54">
        <f t="shared" si="5"/>
        <v>39</v>
      </c>
      <c r="B47" s="53" t="s">
        <v>346</v>
      </c>
      <c r="C47" s="197">
        <v>43937</v>
      </c>
      <c r="D47" s="53">
        <v>269.22000000000003</v>
      </c>
      <c r="E47" s="53">
        <v>269.22000000000003</v>
      </c>
      <c r="F47" s="197" t="s">
        <v>347</v>
      </c>
      <c r="G47" s="197">
        <v>43910</v>
      </c>
      <c r="H47" s="197">
        <v>43915</v>
      </c>
      <c r="I47" s="197">
        <f t="shared" si="6"/>
        <v>43912.5</v>
      </c>
      <c r="J47" s="197">
        <v>43951</v>
      </c>
      <c r="K47" s="102">
        <f t="shared" si="7"/>
        <v>39</v>
      </c>
      <c r="L47" s="53">
        <f t="shared" si="8"/>
        <v>10500</v>
      </c>
      <c r="M47" s="197">
        <v>43951</v>
      </c>
      <c r="N47" s="55">
        <f t="shared" si="9"/>
        <v>0</v>
      </c>
      <c r="O47" s="198">
        <f t="shared" si="10"/>
        <v>0</v>
      </c>
      <c r="P47" s="53"/>
    </row>
    <row r="48" spans="1:16">
      <c r="A48" s="54">
        <f t="shared" si="5"/>
        <v>40</v>
      </c>
      <c r="B48" s="53" t="s">
        <v>346</v>
      </c>
      <c r="C48" s="197">
        <v>43937</v>
      </c>
      <c r="D48" s="53">
        <v>10</v>
      </c>
      <c r="E48" s="53">
        <v>10</v>
      </c>
      <c r="F48" s="197" t="s">
        <v>347</v>
      </c>
      <c r="G48" s="197">
        <v>43914</v>
      </c>
      <c r="H48" s="197">
        <v>43914</v>
      </c>
      <c r="I48" s="197">
        <f t="shared" si="6"/>
        <v>43914</v>
      </c>
      <c r="J48" s="197">
        <v>43951</v>
      </c>
      <c r="K48" s="102">
        <f t="shared" si="7"/>
        <v>37</v>
      </c>
      <c r="L48" s="53">
        <f t="shared" si="8"/>
        <v>370</v>
      </c>
      <c r="M48" s="197">
        <v>43951</v>
      </c>
      <c r="N48" s="55">
        <f t="shared" si="9"/>
        <v>0</v>
      </c>
      <c r="O48" s="198">
        <f t="shared" si="10"/>
        <v>0</v>
      </c>
      <c r="P48" s="53"/>
    </row>
    <row r="49" spans="1:16">
      <c r="A49" s="54">
        <f t="shared" si="5"/>
        <v>41</v>
      </c>
      <c r="B49" s="53" t="s">
        <v>346</v>
      </c>
      <c r="C49" s="197">
        <v>43937</v>
      </c>
      <c r="D49" s="53">
        <v>131.13999999999999</v>
      </c>
      <c r="E49" s="53">
        <v>131.13999999999999</v>
      </c>
      <c r="F49" s="197" t="s">
        <v>347</v>
      </c>
      <c r="G49" s="197">
        <v>43921</v>
      </c>
      <c r="H49" s="197">
        <v>43921</v>
      </c>
      <c r="I49" s="197">
        <f t="shared" si="6"/>
        <v>43921</v>
      </c>
      <c r="J49" s="197">
        <v>43951</v>
      </c>
      <c r="K49" s="102">
        <f t="shared" si="7"/>
        <v>30</v>
      </c>
      <c r="L49" s="53">
        <f t="shared" si="8"/>
        <v>3934</v>
      </c>
      <c r="M49" s="197">
        <v>43951</v>
      </c>
      <c r="N49" s="55">
        <f t="shared" si="9"/>
        <v>0</v>
      </c>
      <c r="O49" s="198">
        <f t="shared" si="10"/>
        <v>0</v>
      </c>
      <c r="P49" s="53"/>
    </row>
    <row r="50" spans="1:16">
      <c r="A50" s="54">
        <f t="shared" si="5"/>
        <v>42</v>
      </c>
      <c r="B50" s="53" t="s">
        <v>346</v>
      </c>
      <c r="C50" s="197">
        <v>43937</v>
      </c>
      <c r="D50" s="53">
        <v>91.55</v>
      </c>
      <c r="E50" s="53">
        <v>91.55</v>
      </c>
      <c r="F50" s="197" t="s">
        <v>347</v>
      </c>
      <c r="G50" s="197">
        <v>43917</v>
      </c>
      <c r="H50" s="197">
        <v>43917</v>
      </c>
      <c r="I50" s="197">
        <f t="shared" si="6"/>
        <v>43917</v>
      </c>
      <c r="J50" s="197">
        <v>43951</v>
      </c>
      <c r="K50" s="102">
        <f t="shared" si="7"/>
        <v>34</v>
      </c>
      <c r="L50" s="53">
        <f t="shared" si="8"/>
        <v>3113</v>
      </c>
      <c r="M50" s="197">
        <v>43951</v>
      </c>
      <c r="N50" s="55">
        <f t="shared" si="9"/>
        <v>0</v>
      </c>
      <c r="O50" s="198">
        <f t="shared" si="10"/>
        <v>0</v>
      </c>
      <c r="P50" s="53"/>
    </row>
    <row r="51" spans="1:16">
      <c r="A51" s="54">
        <f t="shared" si="5"/>
        <v>43</v>
      </c>
      <c r="B51" s="53" t="s">
        <v>346</v>
      </c>
      <c r="C51" s="197">
        <v>43937</v>
      </c>
      <c r="D51" s="53">
        <v>2493.12</v>
      </c>
      <c r="E51" s="53">
        <v>2493.12</v>
      </c>
      <c r="F51" s="197" t="s">
        <v>347</v>
      </c>
      <c r="G51" s="197">
        <v>43922</v>
      </c>
      <c r="H51" s="197">
        <v>43923</v>
      </c>
      <c r="I51" s="197">
        <f t="shared" si="6"/>
        <v>43922.5</v>
      </c>
      <c r="J51" s="197">
        <v>43951</v>
      </c>
      <c r="K51" s="102">
        <f t="shared" si="7"/>
        <v>29</v>
      </c>
      <c r="L51" s="53">
        <f t="shared" si="8"/>
        <v>72300</v>
      </c>
      <c r="M51" s="197">
        <v>43951</v>
      </c>
      <c r="N51" s="55">
        <f t="shared" si="9"/>
        <v>0</v>
      </c>
      <c r="O51" s="198">
        <f t="shared" si="10"/>
        <v>0</v>
      </c>
      <c r="P51" s="53"/>
    </row>
    <row r="52" spans="1:16">
      <c r="A52" s="54">
        <f t="shared" si="5"/>
        <v>44</v>
      </c>
      <c r="B52" s="53" t="s">
        <v>346</v>
      </c>
      <c r="C52" s="197">
        <v>43937</v>
      </c>
      <c r="D52" s="53">
        <v>182.72</v>
      </c>
      <c r="E52" s="53">
        <v>182.72</v>
      </c>
      <c r="F52" s="197" t="s">
        <v>347</v>
      </c>
      <c r="G52" s="197">
        <v>43907</v>
      </c>
      <c r="H52" s="197">
        <v>43930</v>
      </c>
      <c r="I52" s="197">
        <f t="shared" si="6"/>
        <v>43918.5</v>
      </c>
      <c r="J52" s="197">
        <v>43951</v>
      </c>
      <c r="K52" s="102">
        <f t="shared" si="7"/>
        <v>33</v>
      </c>
      <c r="L52" s="53">
        <f t="shared" si="8"/>
        <v>6030</v>
      </c>
      <c r="M52" s="197">
        <v>43951</v>
      </c>
      <c r="N52" s="55">
        <f t="shared" si="9"/>
        <v>0</v>
      </c>
      <c r="O52" s="198">
        <f t="shared" si="10"/>
        <v>0</v>
      </c>
      <c r="P52" s="53"/>
    </row>
    <row r="53" spans="1:16">
      <c r="A53" s="54">
        <f t="shared" si="5"/>
        <v>45</v>
      </c>
      <c r="B53" s="53" t="s">
        <v>346</v>
      </c>
      <c r="C53" s="197">
        <v>43937</v>
      </c>
      <c r="D53" s="53">
        <v>656.35</v>
      </c>
      <c r="E53" s="53">
        <v>656.35</v>
      </c>
      <c r="F53" s="197" t="s">
        <v>347</v>
      </c>
      <c r="G53" s="197">
        <v>43908</v>
      </c>
      <c r="H53" s="197">
        <v>43936</v>
      </c>
      <c r="I53" s="197">
        <f t="shared" si="6"/>
        <v>43922</v>
      </c>
      <c r="J53" s="197">
        <v>43951</v>
      </c>
      <c r="K53" s="102">
        <f t="shared" si="7"/>
        <v>29</v>
      </c>
      <c r="L53" s="53">
        <f t="shared" si="8"/>
        <v>19034</v>
      </c>
      <c r="M53" s="197">
        <v>43951</v>
      </c>
      <c r="N53" s="55">
        <f t="shared" si="9"/>
        <v>0</v>
      </c>
      <c r="O53" s="198">
        <f t="shared" si="10"/>
        <v>0</v>
      </c>
      <c r="P53" s="53"/>
    </row>
    <row r="54" spans="1:16">
      <c r="A54" s="54">
        <f t="shared" si="5"/>
        <v>46</v>
      </c>
      <c r="B54" s="53" t="s">
        <v>346</v>
      </c>
      <c r="C54" s="197">
        <v>43967</v>
      </c>
      <c r="D54" s="53">
        <v>150</v>
      </c>
      <c r="E54" s="53">
        <v>150</v>
      </c>
      <c r="F54" s="197" t="s">
        <v>347</v>
      </c>
      <c r="G54" s="197">
        <v>43949</v>
      </c>
      <c r="H54" s="197">
        <v>43949</v>
      </c>
      <c r="I54" s="197">
        <f t="shared" si="6"/>
        <v>43949</v>
      </c>
      <c r="J54" s="197">
        <v>43980</v>
      </c>
      <c r="K54" s="102">
        <f t="shared" si="7"/>
        <v>31</v>
      </c>
      <c r="L54" s="53">
        <f t="shared" si="8"/>
        <v>4650</v>
      </c>
      <c r="M54" s="197">
        <v>43980</v>
      </c>
      <c r="N54" s="55">
        <f t="shared" si="9"/>
        <v>0</v>
      </c>
      <c r="O54" s="198">
        <f t="shared" si="10"/>
        <v>0</v>
      </c>
      <c r="P54" s="53"/>
    </row>
    <row r="55" spans="1:16">
      <c r="A55" s="54">
        <f t="shared" si="5"/>
        <v>47</v>
      </c>
      <c r="B55" s="53" t="s">
        <v>346</v>
      </c>
      <c r="C55" s="197">
        <v>43967</v>
      </c>
      <c r="D55" s="53">
        <v>29.66</v>
      </c>
      <c r="E55" s="53">
        <v>29.66</v>
      </c>
      <c r="F55" s="197" t="s">
        <v>347</v>
      </c>
      <c r="G55" s="197">
        <v>43949</v>
      </c>
      <c r="H55" s="197">
        <v>43965</v>
      </c>
      <c r="I55" s="197">
        <f t="shared" si="6"/>
        <v>43957</v>
      </c>
      <c r="J55" s="197">
        <v>43980</v>
      </c>
      <c r="K55" s="102">
        <f t="shared" si="7"/>
        <v>23</v>
      </c>
      <c r="L55" s="53">
        <f t="shared" si="8"/>
        <v>682</v>
      </c>
      <c r="M55" s="197">
        <v>43980</v>
      </c>
      <c r="N55" s="55">
        <f t="shared" si="9"/>
        <v>0</v>
      </c>
      <c r="O55" s="198">
        <f t="shared" si="10"/>
        <v>0</v>
      </c>
      <c r="P55" s="53"/>
    </row>
    <row r="56" spans="1:16">
      <c r="A56" s="54">
        <f t="shared" si="5"/>
        <v>48</v>
      </c>
      <c r="B56" s="53" t="s">
        <v>346</v>
      </c>
      <c r="C56" s="197">
        <v>43967</v>
      </c>
      <c r="D56" s="53">
        <v>251.99</v>
      </c>
      <c r="E56" s="53">
        <v>74.180000000000007</v>
      </c>
      <c r="F56" s="197" t="s">
        <v>347</v>
      </c>
      <c r="G56" s="197">
        <v>43938</v>
      </c>
      <c r="H56" s="197">
        <v>43958</v>
      </c>
      <c r="I56" s="197">
        <f t="shared" si="6"/>
        <v>43948</v>
      </c>
      <c r="J56" s="197">
        <v>43980</v>
      </c>
      <c r="K56" s="102">
        <f t="shared" si="7"/>
        <v>32</v>
      </c>
      <c r="L56" s="53">
        <f t="shared" si="8"/>
        <v>2374</v>
      </c>
      <c r="M56" s="197">
        <v>43980</v>
      </c>
      <c r="N56" s="55">
        <f t="shared" si="9"/>
        <v>0</v>
      </c>
      <c r="O56" s="198">
        <f t="shared" si="10"/>
        <v>0</v>
      </c>
      <c r="P56" s="53"/>
    </row>
    <row r="57" spans="1:16">
      <c r="A57" s="54">
        <f t="shared" si="5"/>
        <v>49</v>
      </c>
      <c r="B57" s="53" t="s">
        <v>346</v>
      </c>
      <c r="C57" s="197">
        <v>43967</v>
      </c>
      <c r="D57" s="53">
        <v>30.3</v>
      </c>
      <c r="E57" s="53">
        <v>30.3</v>
      </c>
      <c r="F57" s="197" t="s">
        <v>347</v>
      </c>
      <c r="G57" s="197">
        <v>43958</v>
      </c>
      <c r="H57" s="197">
        <v>43958</v>
      </c>
      <c r="I57" s="197">
        <f t="shared" si="6"/>
        <v>43958</v>
      </c>
      <c r="J57" s="197">
        <v>43980</v>
      </c>
      <c r="K57" s="102">
        <f t="shared" si="7"/>
        <v>22</v>
      </c>
      <c r="L57" s="53">
        <f t="shared" si="8"/>
        <v>667</v>
      </c>
      <c r="M57" s="197">
        <v>43980</v>
      </c>
      <c r="N57" s="55">
        <f t="shared" si="9"/>
        <v>0</v>
      </c>
      <c r="O57" s="198">
        <f t="shared" si="10"/>
        <v>0</v>
      </c>
      <c r="P57" s="53"/>
    </row>
    <row r="58" spans="1:16">
      <c r="A58" s="54">
        <f t="shared" si="5"/>
        <v>50</v>
      </c>
      <c r="B58" s="53" t="s">
        <v>346</v>
      </c>
      <c r="C58" s="197">
        <v>43967</v>
      </c>
      <c r="D58" s="53">
        <v>182.61</v>
      </c>
      <c r="E58" s="53">
        <v>182.61</v>
      </c>
      <c r="F58" s="197" t="s">
        <v>347</v>
      </c>
      <c r="G58" s="197">
        <v>43950</v>
      </c>
      <c r="H58" s="197">
        <v>43959</v>
      </c>
      <c r="I58" s="197">
        <f t="shared" si="6"/>
        <v>43954.5</v>
      </c>
      <c r="J58" s="197">
        <v>43980</v>
      </c>
      <c r="K58" s="102">
        <f t="shared" si="7"/>
        <v>26</v>
      </c>
      <c r="L58" s="53">
        <f t="shared" si="8"/>
        <v>4748</v>
      </c>
      <c r="M58" s="197">
        <v>43980</v>
      </c>
      <c r="N58" s="55">
        <f t="shared" si="9"/>
        <v>0</v>
      </c>
      <c r="O58" s="198">
        <f t="shared" si="10"/>
        <v>0</v>
      </c>
      <c r="P58" s="53"/>
    </row>
    <row r="59" spans="1:16">
      <c r="A59" s="54">
        <f t="shared" si="5"/>
        <v>51</v>
      </c>
      <c r="B59" s="53" t="s">
        <v>346</v>
      </c>
      <c r="C59" s="197">
        <v>43967</v>
      </c>
      <c r="D59" s="53">
        <v>91.34</v>
      </c>
      <c r="E59" s="53">
        <v>50.8</v>
      </c>
      <c r="F59" s="197" t="s">
        <v>347</v>
      </c>
      <c r="G59" s="197">
        <v>43936</v>
      </c>
      <c r="H59" s="197">
        <v>43955</v>
      </c>
      <c r="I59" s="197">
        <f t="shared" si="6"/>
        <v>43945.5</v>
      </c>
      <c r="J59" s="197">
        <v>43980</v>
      </c>
      <c r="K59" s="102">
        <f t="shared" si="7"/>
        <v>35</v>
      </c>
      <c r="L59" s="53">
        <f t="shared" si="8"/>
        <v>1778</v>
      </c>
      <c r="M59" s="197">
        <v>43980</v>
      </c>
      <c r="N59" s="55">
        <f t="shared" si="9"/>
        <v>0</v>
      </c>
      <c r="O59" s="198">
        <f t="shared" si="10"/>
        <v>0</v>
      </c>
      <c r="P59" s="53"/>
    </row>
    <row r="60" spans="1:16">
      <c r="A60" s="54">
        <f t="shared" si="5"/>
        <v>52</v>
      </c>
      <c r="B60" s="53" t="s">
        <v>346</v>
      </c>
      <c r="C60" s="197">
        <v>43967</v>
      </c>
      <c r="D60" s="53">
        <v>78.05</v>
      </c>
      <c r="E60" s="53">
        <v>78.05</v>
      </c>
      <c r="F60" s="197" t="s">
        <v>347</v>
      </c>
      <c r="G60" s="197">
        <v>43941</v>
      </c>
      <c r="H60" s="197">
        <v>43959</v>
      </c>
      <c r="I60" s="197">
        <f t="shared" si="6"/>
        <v>43950</v>
      </c>
      <c r="J60" s="197">
        <v>43980</v>
      </c>
      <c r="K60" s="102">
        <f t="shared" si="7"/>
        <v>30</v>
      </c>
      <c r="L60" s="53">
        <f t="shared" si="8"/>
        <v>2342</v>
      </c>
      <c r="M60" s="197">
        <v>43980</v>
      </c>
      <c r="N60" s="55">
        <f t="shared" si="9"/>
        <v>0</v>
      </c>
      <c r="O60" s="198">
        <f t="shared" si="10"/>
        <v>0</v>
      </c>
      <c r="P60" s="53"/>
    </row>
    <row r="61" spans="1:16">
      <c r="A61" s="54">
        <f t="shared" si="5"/>
        <v>53</v>
      </c>
      <c r="B61" s="53" t="s">
        <v>346</v>
      </c>
      <c r="C61" s="197">
        <v>43967</v>
      </c>
      <c r="D61" s="53">
        <v>274.13</v>
      </c>
      <c r="E61" s="53">
        <v>194.6</v>
      </c>
      <c r="F61" s="197" t="s">
        <v>347</v>
      </c>
      <c r="G61" s="197">
        <v>43938</v>
      </c>
      <c r="H61" s="197">
        <v>43964</v>
      </c>
      <c r="I61" s="197">
        <f t="shared" si="6"/>
        <v>43951</v>
      </c>
      <c r="J61" s="197">
        <v>43980</v>
      </c>
      <c r="K61" s="102">
        <f t="shared" si="7"/>
        <v>29</v>
      </c>
      <c r="L61" s="53">
        <f t="shared" si="8"/>
        <v>5643</v>
      </c>
      <c r="M61" s="197">
        <v>43980</v>
      </c>
      <c r="N61" s="55">
        <f t="shared" si="9"/>
        <v>0</v>
      </c>
      <c r="O61" s="198">
        <f t="shared" si="10"/>
        <v>0</v>
      </c>
      <c r="P61" s="53"/>
    </row>
    <row r="62" spans="1:16">
      <c r="A62" s="54">
        <f t="shared" si="5"/>
        <v>54</v>
      </c>
      <c r="B62" s="53" t="s">
        <v>346</v>
      </c>
      <c r="C62" s="197">
        <v>43967</v>
      </c>
      <c r="D62" s="53">
        <v>31.78</v>
      </c>
      <c r="E62" s="53">
        <v>31.78</v>
      </c>
      <c r="F62" s="197" t="s">
        <v>347</v>
      </c>
      <c r="G62" s="197">
        <v>43961</v>
      </c>
      <c r="H62" s="197">
        <v>43961</v>
      </c>
      <c r="I62" s="197">
        <f t="shared" si="6"/>
        <v>43961</v>
      </c>
      <c r="J62" s="197">
        <v>43980</v>
      </c>
      <c r="K62" s="102">
        <f t="shared" si="7"/>
        <v>19</v>
      </c>
      <c r="L62" s="53">
        <f t="shared" si="8"/>
        <v>604</v>
      </c>
      <c r="M62" s="197">
        <v>43980</v>
      </c>
      <c r="N62" s="55">
        <f t="shared" si="9"/>
        <v>0</v>
      </c>
      <c r="O62" s="198">
        <f t="shared" si="10"/>
        <v>0</v>
      </c>
      <c r="P62" s="53"/>
    </row>
    <row r="63" spans="1:16">
      <c r="A63" s="54">
        <f t="shared" si="5"/>
        <v>55</v>
      </c>
      <c r="B63" s="53" t="s">
        <v>346</v>
      </c>
      <c r="C63" s="197">
        <v>43967</v>
      </c>
      <c r="D63" s="53">
        <v>216.71</v>
      </c>
      <c r="E63" s="53">
        <v>74.19</v>
      </c>
      <c r="F63" s="197" t="s">
        <v>347</v>
      </c>
      <c r="G63" s="197">
        <v>43937</v>
      </c>
      <c r="H63" s="197">
        <v>43964</v>
      </c>
      <c r="I63" s="197">
        <f t="shared" si="6"/>
        <v>43950.5</v>
      </c>
      <c r="J63" s="197">
        <v>43980</v>
      </c>
      <c r="K63" s="102">
        <f t="shared" si="7"/>
        <v>30</v>
      </c>
      <c r="L63" s="53">
        <f t="shared" si="8"/>
        <v>2226</v>
      </c>
      <c r="M63" s="197">
        <v>43980</v>
      </c>
      <c r="N63" s="55">
        <f t="shared" si="9"/>
        <v>0</v>
      </c>
      <c r="O63" s="198">
        <f t="shared" si="10"/>
        <v>0</v>
      </c>
      <c r="P63" s="53"/>
    </row>
    <row r="64" spans="1:16">
      <c r="A64" s="54">
        <f t="shared" si="5"/>
        <v>56</v>
      </c>
      <c r="B64" s="53" t="s">
        <v>346</v>
      </c>
      <c r="C64" s="197">
        <v>43998</v>
      </c>
      <c r="D64" s="53">
        <v>60.38</v>
      </c>
      <c r="E64" s="53">
        <v>60.38</v>
      </c>
      <c r="F64" s="197" t="s">
        <v>347</v>
      </c>
      <c r="G64" s="197">
        <v>43984</v>
      </c>
      <c r="H64" s="197">
        <v>43987</v>
      </c>
      <c r="I64" s="197">
        <f t="shared" si="6"/>
        <v>43985.5</v>
      </c>
      <c r="J64" s="197">
        <v>44012</v>
      </c>
      <c r="K64" s="102">
        <f t="shared" si="7"/>
        <v>27</v>
      </c>
      <c r="L64" s="53">
        <f t="shared" si="8"/>
        <v>1630</v>
      </c>
      <c r="M64" s="197">
        <v>44012</v>
      </c>
      <c r="N64" s="55">
        <f t="shared" si="9"/>
        <v>0</v>
      </c>
      <c r="O64" s="198">
        <f t="shared" si="10"/>
        <v>0</v>
      </c>
      <c r="P64" s="53"/>
    </row>
    <row r="65" spans="1:16">
      <c r="A65" s="54">
        <f t="shared" si="5"/>
        <v>57</v>
      </c>
      <c r="B65" s="53" t="s">
        <v>346</v>
      </c>
      <c r="C65" s="197">
        <v>43998</v>
      </c>
      <c r="D65" s="53">
        <v>110.08</v>
      </c>
      <c r="E65" s="53">
        <v>110.08</v>
      </c>
      <c r="F65" s="197" t="s">
        <v>347</v>
      </c>
      <c r="G65" s="197">
        <v>43991</v>
      </c>
      <c r="H65" s="197">
        <v>43991</v>
      </c>
      <c r="I65" s="197">
        <f t="shared" si="6"/>
        <v>43991</v>
      </c>
      <c r="J65" s="197">
        <v>44012</v>
      </c>
      <c r="K65" s="102">
        <f t="shared" si="7"/>
        <v>21</v>
      </c>
      <c r="L65" s="53">
        <f t="shared" si="8"/>
        <v>2312</v>
      </c>
      <c r="M65" s="197">
        <v>44012</v>
      </c>
      <c r="N65" s="55">
        <f t="shared" si="9"/>
        <v>0</v>
      </c>
      <c r="O65" s="198">
        <f t="shared" si="10"/>
        <v>0</v>
      </c>
      <c r="P65" s="53"/>
    </row>
    <row r="66" spans="1:16">
      <c r="A66" s="54">
        <f t="shared" si="5"/>
        <v>58</v>
      </c>
      <c r="B66" s="53" t="s">
        <v>346</v>
      </c>
      <c r="C66" s="197">
        <v>43998</v>
      </c>
      <c r="D66" s="53">
        <v>190.25</v>
      </c>
      <c r="E66" s="53">
        <v>190.25</v>
      </c>
      <c r="F66" s="197" t="s">
        <v>347</v>
      </c>
      <c r="G66" s="197">
        <v>43970</v>
      </c>
      <c r="H66" s="197">
        <v>43988</v>
      </c>
      <c r="I66" s="197">
        <f t="shared" si="6"/>
        <v>43979</v>
      </c>
      <c r="J66" s="197">
        <v>44012</v>
      </c>
      <c r="K66" s="102">
        <f t="shared" si="7"/>
        <v>33</v>
      </c>
      <c r="L66" s="53">
        <f t="shared" si="8"/>
        <v>6278</v>
      </c>
      <c r="M66" s="197">
        <v>44012</v>
      </c>
      <c r="N66" s="55">
        <f t="shared" si="9"/>
        <v>0</v>
      </c>
      <c r="O66" s="198">
        <f t="shared" si="10"/>
        <v>0</v>
      </c>
      <c r="P66" s="53"/>
    </row>
    <row r="67" spans="1:16">
      <c r="A67" s="54">
        <f t="shared" si="5"/>
        <v>59</v>
      </c>
      <c r="B67" s="53" t="s">
        <v>346</v>
      </c>
      <c r="C67" s="197">
        <v>43998</v>
      </c>
      <c r="D67" s="53">
        <v>21.75</v>
      </c>
      <c r="E67" s="53">
        <v>21.75</v>
      </c>
      <c r="F67" s="197" t="s">
        <v>347</v>
      </c>
      <c r="G67" s="197">
        <v>43993</v>
      </c>
      <c r="H67" s="197">
        <v>43993</v>
      </c>
      <c r="I67" s="197">
        <f t="shared" si="6"/>
        <v>43993</v>
      </c>
      <c r="J67" s="197">
        <v>44012</v>
      </c>
      <c r="K67" s="102">
        <f t="shared" si="7"/>
        <v>19</v>
      </c>
      <c r="L67" s="53">
        <f t="shared" si="8"/>
        <v>413</v>
      </c>
      <c r="M67" s="197">
        <v>44012</v>
      </c>
      <c r="N67" s="55">
        <f t="shared" si="9"/>
        <v>0</v>
      </c>
      <c r="O67" s="198">
        <f t="shared" si="10"/>
        <v>0</v>
      </c>
      <c r="P67" s="53"/>
    </row>
    <row r="68" spans="1:16">
      <c r="A68" s="54">
        <f t="shared" si="5"/>
        <v>60</v>
      </c>
      <c r="B68" s="53" t="s">
        <v>346</v>
      </c>
      <c r="C68" s="197">
        <v>43998</v>
      </c>
      <c r="D68" s="53">
        <v>136.91</v>
      </c>
      <c r="E68" s="53">
        <v>136.91</v>
      </c>
      <c r="F68" s="197" t="s">
        <v>347</v>
      </c>
      <c r="G68" s="197">
        <v>43965</v>
      </c>
      <c r="H68" s="197">
        <v>43979</v>
      </c>
      <c r="I68" s="197">
        <f t="shared" si="6"/>
        <v>43972</v>
      </c>
      <c r="J68" s="197">
        <v>44012</v>
      </c>
      <c r="K68" s="102">
        <f t="shared" si="7"/>
        <v>40</v>
      </c>
      <c r="L68" s="53">
        <f t="shared" si="8"/>
        <v>5476</v>
      </c>
      <c r="M68" s="197">
        <v>44012</v>
      </c>
      <c r="N68" s="55">
        <f t="shared" si="9"/>
        <v>0</v>
      </c>
      <c r="O68" s="198">
        <f t="shared" si="10"/>
        <v>0</v>
      </c>
      <c r="P68" s="53"/>
    </row>
    <row r="69" spans="1:16">
      <c r="A69" s="54">
        <f t="shared" si="5"/>
        <v>61</v>
      </c>
      <c r="B69" s="53" t="s">
        <v>346</v>
      </c>
      <c r="C69" s="197">
        <v>43998</v>
      </c>
      <c r="D69" s="53">
        <v>155.88</v>
      </c>
      <c r="E69" s="53">
        <v>155.88</v>
      </c>
      <c r="F69" s="197" t="s">
        <v>347</v>
      </c>
      <c r="G69" s="197">
        <v>43965</v>
      </c>
      <c r="H69" s="197">
        <v>43991</v>
      </c>
      <c r="I69" s="197">
        <f t="shared" si="6"/>
        <v>43978</v>
      </c>
      <c r="J69" s="197">
        <v>44012</v>
      </c>
      <c r="K69" s="102">
        <f t="shared" si="7"/>
        <v>34</v>
      </c>
      <c r="L69" s="53">
        <f t="shared" si="8"/>
        <v>5300</v>
      </c>
      <c r="M69" s="197">
        <v>44012</v>
      </c>
      <c r="N69" s="55">
        <f t="shared" si="9"/>
        <v>0</v>
      </c>
      <c r="O69" s="198">
        <f t="shared" si="10"/>
        <v>0</v>
      </c>
      <c r="P69" s="53"/>
    </row>
    <row r="70" spans="1:16">
      <c r="A70" s="54">
        <f t="shared" si="5"/>
        <v>62</v>
      </c>
      <c r="B70" s="53" t="s">
        <v>346</v>
      </c>
      <c r="C70" s="197">
        <v>43998</v>
      </c>
      <c r="D70" s="53">
        <v>235.16</v>
      </c>
      <c r="E70" s="53">
        <v>235.16</v>
      </c>
      <c r="F70" s="197" t="s">
        <v>347</v>
      </c>
      <c r="G70" s="197">
        <v>43990</v>
      </c>
      <c r="H70" s="197">
        <v>43996</v>
      </c>
      <c r="I70" s="197">
        <f t="shared" si="6"/>
        <v>43993</v>
      </c>
      <c r="J70" s="197">
        <v>44012</v>
      </c>
      <c r="K70" s="102">
        <f t="shared" si="7"/>
        <v>19</v>
      </c>
      <c r="L70" s="53">
        <f t="shared" si="8"/>
        <v>4468</v>
      </c>
      <c r="M70" s="197">
        <v>44012</v>
      </c>
      <c r="N70" s="55">
        <f t="shared" si="9"/>
        <v>0</v>
      </c>
      <c r="O70" s="198">
        <f t="shared" si="10"/>
        <v>0</v>
      </c>
      <c r="P70" s="53"/>
    </row>
    <row r="71" spans="1:16">
      <c r="A71" s="54">
        <f t="shared" si="5"/>
        <v>63</v>
      </c>
      <c r="B71" s="53" t="s">
        <v>346</v>
      </c>
      <c r="C71" s="197">
        <v>43998</v>
      </c>
      <c r="D71" s="53">
        <v>59.39</v>
      </c>
      <c r="E71" s="53">
        <v>59.39</v>
      </c>
      <c r="F71" s="197" t="s">
        <v>347</v>
      </c>
      <c r="G71" s="197">
        <v>43992</v>
      </c>
      <c r="H71" s="197">
        <v>43992</v>
      </c>
      <c r="I71" s="197">
        <f t="shared" si="6"/>
        <v>43992</v>
      </c>
      <c r="J71" s="197">
        <v>44012</v>
      </c>
      <c r="K71" s="102">
        <f t="shared" si="7"/>
        <v>20</v>
      </c>
      <c r="L71" s="53">
        <f t="shared" si="8"/>
        <v>1188</v>
      </c>
      <c r="M71" s="197">
        <v>44012</v>
      </c>
      <c r="N71" s="55">
        <f t="shared" si="9"/>
        <v>0</v>
      </c>
      <c r="O71" s="198">
        <f t="shared" si="10"/>
        <v>0</v>
      </c>
      <c r="P71" s="53"/>
    </row>
    <row r="72" spans="1:16">
      <c r="A72" s="54">
        <f t="shared" si="5"/>
        <v>64</v>
      </c>
      <c r="B72" s="53" t="s">
        <v>346</v>
      </c>
      <c r="C72" s="197">
        <v>43998</v>
      </c>
      <c r="D72" s="53">
        <v>261.97000000000003</v>
      </c>
      <c r="E72" s="53">
        <v>261.97000000000003</v>
      </c>
      <c r="F72" s="197" t="s">
        <v>347</v>
      </c>
      <c r="G72" s="197">
        <v>43966</v>
      </c>
      <c r="H72" s="197">
        <v>43986</v>
      </c>
      <c r="I72" s="197">
        <f t="shared" si="6"/>
        <v>43976</v>
      </c>
      <c r="J72" s="197">
        <v>44012</v>
      </c>
      <c r="K72" s="102">
        <f t="shared" si="7"/>
        <v>36</v>
      </c>
      <c r="L72" s="53">
        <f t="shared" si="8"/>
        <v>9431</v>
      </c>
      <c r="M72" s="197">
        <v>44012</v>
      </c>
      <c r="N72" s="55">
        <f t="shared" si="9"/>
        <v>0</v>
      </c>
      <c r="O72" s="198">
        <f t="shared" si="10"/>
        <v>0</v>
      </c>
      <c r="P72" s="53"/>
    </row>
    <row r="73" spans="1:16">
      <c r="A73" s="54">
        <f t="shared" si="5"/>
        <v>65</v>
      </c>
      <c r="B73" s="53" t="s">
        <v>346</v>
      </c>
      <c r="C73" s="197">
        <v>43998</v>
      </c>
      <c r="D73" s="53">
        <v>87.85</v>
      </c>
      <c r="E73" s="53">
        <v>12.71</v>
      </c>
      <c r="F73" s="197" t="s">
        <v>347</v>
      </c>
      <c r="G73" s="197">
        <v>43969</v>
      </c>
      <c r="H73" s="197">
        <v>43977</v>
      </c>
      <c r="I73" s="197">
        <f t="shared" si="6"/>
        <v>43973</v>
      </c>
      <c r="J73" s="197">
        <v>44012</v>
      </c>
      <c r="K73" s="102">
        <f t="shared" si="7"/>
        <v>39</v>
      </c>
      <c r="L73" s="53">
        <f t="shared" si="8"/>
        <v>496</v>
      </c>
      <c r="M73" s="197">
        <v>44012</v>
      </c>
      <c r="N73" s="55">
        <f t="shared" si="9"/>
        <v>0</v>
      </c>
      <c r="O73" s="198">
        <f t="shared" si="10"/>
        <v>0</v>
      </c>
      <c r="P73" s="53"/>
    </row>
    <row r="74" spans="1:16">
      <c r="A74" s="54">
        <f t="shared" ref="A74:A137" si="11">1+A73</f>
        <v>66</v>
      </c>
      <c r="B74" s="53" t="s">
        <v>346</v>
      </c>
      <c r="C74" s="197">
        <v>44028</v>
      </c>
      <c r="D74" s="53">
        <v>21.2</v>
      </c>
      <c r="E74" s="53">
        <v>21.2</v>
      </c>
      <c r="F74" s="197" t="s">
        <v>347</v>
      </c>
      <c r="G74" s="197">
        <v>44021</v>
      </c>
      <c r="H74" s="197">
        <v>44021</v>
      </c>
      <c r="I74" s="197">
        <f t="shared" ref="I74:I137" si="12">IF(H74&lt;1," ",(((H74-G74)/2)+G74))</f>
        <v>44021</v>
      </c>
      <c r="J74" s="197">
        <v>44043</v>
      </c>
      <c r="K74" s="102">
        <f t="shared" ref="K74:K137" si="13">(ROUND(IF(H74&lt;1,J74-C74,J74-I74),0))</f>
        <v>22</v>
      </c>
      <c r="L74" s="53">
        <f t="shared" ref="L74:L137" si="14">ROUND(K74*E74,0)</f>
        <v>466</v>
      </c>
      <c r="M74" s="197">
        <v>44043</v>
      </c>
      <c r="N74" s="55">
        <f t="shared" ref="N74:N137" si="15">IF(M74="",0,M74-J74)</f>
        <v>0</v>
      </c>
      <c r="O74" s="198">
        <f t="shared" ref="O74:O137" si="16">ROUND(+N74*E74,0)</f>
        <v>0</v>
      </c>
      <c r="P74" s="53"/>
    </row>
    <row r="75" spans="1:16">
      <c r="A75" s="54">
        <f t="shared" si="11"/>
        <v>67</v>
      </c>
      <c r="B75" s="53" t="s">
        <v>346</v>
      </c>
      <c r="C75" s="197">
        <v>44028</v>
      </c>
      <c r="D75" s="53">
        <v>272.8</v>
      </c>
      <c r="E75" s="53">
        <v>272.8</v>
      </c>
      <c r="F75" s="197" t="s">
        <v>347</v>
      </c>
      <c r="G75" s="197">
        <v>44010</v>
      </c>
      <c r="H75" s="197">
        <v>44019</v>
      </c>
      <c r="I75" s="197">
        <f t="shared" si="12"/>
        <v>44014.5</v>
      </c>
      <c r="J75" s="197">
        <v>44043</v>
      </c>
      <c r="K75" s="102">
        <f t="shared" si="13"/>
        <v>29</v>
      </c>
      <c r="L75" s="53">
        <f t="shared" si="14"/>
        <v>7911</v>
      </c>
      <c r="M75" s="197">
        <v>44043</v>
      </c>
      <c r="N75" s="55">
        <f t="shared" si="15"/>
        <v>0</v>
      </c>
      <c r="O75" s="198">
        <f t="shared" si="16"/>
        <v>0</v>
      </c>
      <c r="P75" s="53"/>
    </row>
    <row r="76" spans="1:16">
      <c r="A76" s="54">
        <f t="shared" si="11"/>
        <v>68</v>
      </c>
      <c r="B76" s="53" t="s">
        <v>346</v>
      </c>
      <c r="C76" s="197">
        <v>44028</v>
      </c>
      <c r="D76" s="53">
        <v>830.26</v>
      </c>
      <c r="E76" s="53">
        <v>777.37</v>
      </c>
      <c r="F76" s="197" t="s">
        <v>347</v>
      </c>
      <c r="G76" s="197">
        <v>43997</v>
      </c>
      <c r="H76" s="197">
        <v>44028</v>
      </c>
      <c r="I76" s="197">
        <f t="shared" si="12"/>
        <v>44012.5</v>
      </c>
      <c r="J76" s="197">
        <v>44043</v>
      </c>
      <c r="K76" s="102">
        <f t="shared" si="13"/>
        <v>31</v>
      </c>
      <c r="L76" s="53">
        <f t="shared" si="14"/>
        <v>24098</v>
      </c>
      <c r="M76" s="197">
        <v>44043</v>
      </c>
      <c r="N76" s="55">
        <f t="shared" si="15"/>
        <v>0</v>
      </c>
      <c r="O76" s="198">
        <f t="shared" si="16"/>
        <v>0</v>
      </c>
      <c r="P76" s="53"/>
    </row>
    <row r="77" spans="1:16">
      <c r="A77" s="54">
        <f t="shared" si="11"/>
        <v>69</v>
      </c>
      <c r="B77" s="53" t="s">
        <v>346</v>
      </c>
      <c r="C77" s="197">
        <v>44028</v>
      </c>
      <c r="D77" s="53">
        <v>48.51</v>
      </c>
      <c r="E77" s="53">
        <v>27.49</v>
      </c>
      <c r="F77" s="197" t="s">
        <v>347</v>
      </c>
      <c r="G77" s="197">
        <v>44021</v>
      </c>
      <c r="H77" s="197">
        <v>44027</v>
      </c>
      <c r="I77" s="197">
        <f t="shared" si="12"/>
        <v>44024</v>
      </c>
      <c r="J77" s="197">
        <v>44043</v>
      </c>
      <c r="K77" s="102">
        <f t="shared" si="13"/>
        <v>19</v>
      </c>
      <c r="L77" s="53">
        <f t="shared" si="14"/>
        <v>522</v>
      </c>
      <c r="M77" s="197">
        <v>44043</v>
      </c>
      <c r="N77" s="55">
        <f t="shared" si="15"/>
        <v>0</v>
      </c>
      <c r="O77" s="198">
        <f t="shared" si="16"/>
        <v>0</v>
      </c>
      <c r="P77" s="53"/>
    </row>
    <row r="78" spans="1:16">
      <c r="A78" s="54">
        <f t="shared" si="11"/>
        <v>70</v>
      </c>
      <c r="B78" s="53" t="s">
        <v>346</v>
      </c>
      <c r="C78" s="197">
        <v>44028</v>
      </c>
      <c r="D78" s="53">
        <v>634.41</v>
      </c>
      <c r="E78" s="53">
        <v>634.41</v>
      </c>
      <c r="F78" s="197" t="s">
        <v>347</v>
      </c>
      <c r="G78" s="197">
        <v>44012</v>
      </c>
      <c r="H78" s="197">
        <v>44018</v>
      </c>
      <c r="I78" s="197">
        <f t="shared" si="12"/>
        <v>44015</v>
      </c>
      <c r="J78" s="197">
        <v>44043</v>
      </c>
      <c r="K78" s="102">
        <f t="shared" si="13"/>
        <v>28</v>
      </c>
      <c r="L78" s="53">
        <f t="shared" si="14"/>
        <v>17763</v>
      </c>
      <c r="M78" s="197">
        <v>44043</v>
      </c>
      <c r="N78" s="55">
        <f t="shared" si="15"/>
        <v>0</v>
      </c>
      <c r="O78" s="198">
        <f t="shared" si="16"/>
        <v>0</v>
      </c>
      <c r="P78" s="53"/>
    </row>
    <row r="79" spans="1:16">
      <c r="A79" s="54">
        <f t="shared" si="11"/>
        <v>71</v>
      </c>
      <c r="B79" s="53" t="s">
        <v>346</v>
      </c>
      <c r="C79" s="197">
        <v>44028</v>
      </c>
      <c r="D79" s="53">
        <v>15.77</v>
      </c>
      <c r="E79" s="53">
        <v>15.77</v>
      </c>
      <c r="F79" s="197" t="s">
        <v>347</v>
      </c>
      <c r="G79" s="197">
        <v>44007</v>
      </c>
      <c r="H79" s="197">
        <v>44007</v>
      </c>
      <c r="I79" s="197">
        <f t="shared" si="12"/>
        <v>44007</v>
      </c>
      <c r="J79" s="197">
        <v>44043</v>
      </c>
      <c r="K79" s="102">
        <f t="shared" si="13"/>
        <v>36</v>
      </c>
      <c r="L79" s="53">
        <f t="shared" si="14"/>
        <v>568</v>
      </c>
      <c r="M79" s="197">
        <v>44043</v>
      </c>
      <c r="N79" s="55">
        <f t="shared" si="15"/>
        <v>0</v>
      </c>
      <c r="O79" s="198">
        <f t="shared" si="16"/>
        <v>0</v>
      </c>
      <c r="P79" s="53"/>
    </row>
    <row r="80" spans="1:16">
      <c r="A80" s="54">
        <f t="shared" si="11"/>
        <v>72</v>
      </c>
      <c r="B80" s="53" t="s">
        <v>346</v>
      </c>
      <c r="C80" s="197">
        <v>44028</v>
      </c>
      <c r="D80" s="53">
        <v>538.62</v>
      </c>
      <c r="E80" s="53">
        <v>463.2</v>
      </c>
      <c r="F80" s="197" t="s">
        <v>347</v>
      </c>
      <c r="G80" s="197">
        <v>43943</v>
      </c>
      <c r="H80" s="197">
        <v>44019</v>
      </c>
      <c r="I80" s="197">
        <f t="shared" si="12"/>
        <v>43981</v>
      </c>
      <c r="J80" s="197">
        <v>44043</v>
      </c>
      <c r="K80" s="102">
        <f t="shared" si="13"/>
        <v>62</v>
      </c>
      <c r="L80" s="53">
        <f t="shared" si="14"/>
        <v>28718</v>
      </c>
      <c r="M80" s="197">
        <v>44043</v>
      </c>
      <c r="N80" s="55">
        <f t="shared" si="15"/>
        <v>0</v>
      </c>
      <c r="O80" s="198">
        <f t="shared" si="16"/>
        <v>0</v>
      </c>
      <c r="P80" s="53"/>
    </row>
    <row r="81" spans="1:17">
      <c r="A81" s="54">
        <f t="shared" si="11"/>
        <v>73</v>
      </c>
      <c r="B81" s="53" t="s">
        <v>346</v>
      </c>
      <c r="C81" s="197">
        <v>44028</v>
      </c>
      <c r="D81" s="53">
        <v>416.15</v>
      </c>
      <c r="E81" s="53">
        <v>326.14999999999998</v>
      </c>
      <c r="F81" s="197" t="s">
        <v>347</v>
      </c>
      <c r="G81" s="197">
        <v>43998</v>
      </c>
      <c r="H81" s="197">
        <v>44043</v>
      </c>
      <c r="I81" s="197">
        <f t="shared" si="12"/>
        <v>44020.5</v>
      </c>
      <c r="J81" s="197">
        <v>44043</v>
      </c>
      <c r="K81" s="102">
        <f t="shared" si="13"/>
        <v>23</v>
      </c>
      <c r="L81" s="53">
        <f t="shared" si="14"/>
        <v>7501</v>
      </c>
      <c r="M81" s="197">
        <v>44043</v>
      </c>
      <c r="N81" s="55">
        <f t="shared" si="15"/>
        <v>0</v>
      </c>
      <c r="O81" s="198">
        <f t="shared" si="16"/>
        <v>0</v>
      </c>
      <c r="P81" s="53"/>
    </row>
    <row r="82" spans="1:17">
      <c r="A82" s="54">
        <f t="shared" si="11"/>
        <v>74</v>
      </c>
      <c r="B82" s="53" t="s">
        <v>346</v>
      </c>
      <c r="C82" s="197">
        <v>44028</v>
      </c>
      <c r="D82" s="53">
        <v>433.65</v>
      </c>
      <c r="E82" s="53">
        <v>408.89</v>
      </c>
      <c r="F82" s="197" t="s">
        <v>347</v>
      </c>
      <c r="G82" s="197">
        <v>43998</v>
      </c>
      <c r="H82" s="197">
        <v>44025</v>
      </c>
      <c r="I82" s="197">
        <f t="shared" si="12"/>
        <v>44011.5</v>
      </c>
      <c r="J82" s="197">
        <v>44043</v>
      </c>
      <c r="K82" s="102">
        <f t="shared" si="13"/>
        <v>32</v>
      </c>
      <c r="L82" s="53">
        <f t="shared" si="14"/>
        <v>13084</v>
      </c>
      <c r="M82" s="197">
        <v>44043</v>
      </c>
      <c r="N82" s="55">
        <f t="shared" si="15"/>
        <v>0</v>
      </c>
      <c r="O82" s="198">
        <f t="shared" si="16"/>
        <v>0</v>
      </c>
      <c r="P82" s="53"/>
      <c r="Q82" s="22">
        <f>+H82-G82</f>
        <v>27</v>
      </c>
    </row>
    <row r="83" spans="1:17">
      <c r="A83" s="54">
        <f t="shared" si="11"/>
        <v>75</v>
      </c>
      <c r="B83" s="53" t="s">
        <v>346</v>
      </c>
      <c r="C83" s="197">
        <v>44028</v>
      </c>
      <c r="D83" s="53">
        <v>85.82</v>
      </c>
      <c r="E83" s="53">
        <v>85.82</v>
      </c>
      <c r="F83" s="197" t="s">
        <v>347</v>
      </c>
      <c r="G83" s="197">
        <v>44005</v>
      </c>
      <c r="H83" s="197">
        <v>44008</v>
      </c>
      <c r="I83" s="197">
        <f t="shared" si="12"/>
        <v>44006.5</v>
      </c>
      <c r="J83" s="197">
        <v>44043</v>
      </c>
      <c r="K83" s="102">
        <f t="shared" si="13"/>
        <v>37</v>
      </c>
      <c r="L83" s="53">
        <f t="shared" si="14"/>
        <v>3175</v>
      </c>
      <c r="M83" s="197">
        <v>44043</v>
      </c>
      <c r="N83" s="55">
        <f t="shared" si="15"/>
        <v>0</v>
      </c>
      <c r="O83" s="198">
        <f t="shared" si="16"/>
        <v>0</v>
      </c>
      <c r="P83" s="53"/>
      <c r="Q83" s="22">
        <f>+H83-G83</f>
        <v>3</v>
      </c>
    </row>
    <row r="84" spans="1:17">
      <c r="A84" s="54">
        <f t="shared" si="11"/>
        <v>76</v>
      </c>
      <c r="B84" s="53" t="s">
        <v>346</v>
      </c>
      <c r="C84" s="197">
        <v>44028</v>
      </c>
      <c r="D84" s="53">
        <v>195.87</v>
      </c>
      <c r="E84" s="53">
        <v>195.87</v>
      </c>
      <c r="F84" s="197" t="s">
        <v>347</v>
      </c>
      <c r="G84" s="197">
        <v>43998</v>
      </c>
      <c r="H84" s="197">
        <v>44007</v>
      </c>
      <c r="I84" s="197">
        <f t="shared" si="12"/>
        <v>44002.5</v>
      </c>
      <c r="J84" s="197">
        <v>44043</v>
      </c>
      <c r="K84" s="102">
        <f t="shared" si="13"/>
        <v>41</v>
      </c>
      <c r="L84" s="53">
        <f t="shared" si="14"/>
        <v>8031</v>
      </c>
      <c r="M84" s="197">
        <v>44043</v>
      </c>
      <c r="N84" s="55">
        <f t="shared" si="15"/>
        <v>0</v>
      </c>
      <c r="O84" s="198">
        <f t="shared" si="16"/>
        <v>0</v>
      </c>
      <c r="P84" s="53"/>
    </row>
    <row r="85" spans="1:17">
      <c r="A85" s="54">
        <f t="shared" si="11"/>
        <v>77</v>
      </c>
      <c r="B85" s="53" t="s">
        <v>346</v>
      </c>
      <c r="C85" s="197">
        <v>44028</v>
      </c>
      <c r="D85" s="53">
        <v>379.42</v>
      </c>
      <c r="E85" s="53">
        <v>379.42</v>
      </c>
      <c r="F85" s="197" t="s">
        <v>347</v>
      </c>
      <c r="G85" s="197">
        <v>44005</v>
      </c>
      <c r="H85" s="197">
        <v>44027</v>
      </c>
      <c r="I85" s="197">
        <f t="shared" si="12"/>
        <v>44016</v>
      </c>
      <c r="J85" s="197">
        <v>44043</v>
      </c>
      <c r="K85" s="102">
        <f t="shared" si="13"/>
        <v>27</v>
      </c>
      <c r="L85" s="53">
        <f t="shared" si="14"/>
        <v>10244</v>
      </c>
      <c r="M85" s="197">
        <v>44043</v>
      </c>
      <c r="N85" s="55">
        <f t="shared" si="15"/>
        <v>0</v>
      </c>
      <c r="O85" s="198">
        <f t="shared" si="16"/>
        <v>0</v>
      </c>
      <c r="P85" s="53"/>
    </row>
    <row r="86" spans="1:17">
      <c r="A86" s="54">
        <f t="shared" si="11"/>
        <v>78</v>
      </c>
      <c r="B86" s="53" t="s">
        <v>346</v>
      </c>
      <c r="C86" s="197">
        <v>44028</v>
      </c>
      <c r="D86" s="53">
        <v>413.68</v>
      </c>
      <c r="E86" s="53">
        <v>413.68</v>
      </c>
      <c r="F86" s="197" t="s">
        <v>347</v>
      </c>
      <c r="G86" s="197">
        <v>44019</v>
      </c>
      <c r="H86" s="197">
        <v>44026</v>
      </c>
      <c r="I86" s="197">
        <f t="shared" si="12"/>
        <v>44022.5</v>
      </c>
      <c r="J86" s="197">
        <v>44043</v>
      </c>
      <c r="K86" s="102">
        <f t="shared" si="13"/>
        <v>21</v>
      </c>
      <c r="L86" s="53">
        <f t="shared" si="14"/>
        <v>8687</v>
      </c>
      <c r="M86" s="197">
        <v>44043</v>
      </c>
      <c r="N86" s="55">
        <f t="shared" si="15"/>
        <v>0</v>
      </c>
      <c r="O86" s="198">
        <f t="shared" si="16"/>
        <v>0</v>
      </c>
      <c r="P86" s="53"/>
    </row>
    <row r="87" spans="1:17">
      <c r="A87" s="54">
        <f t="shared" si="11"/>
        <v>79</v>
      </c>
      <c r="B87" s="53" t="s">
        <v>346</v>
      </c>
      <c r="C87" s="197">
        <v>44059</v>
      </c>
      <c r="D87" s="53">
        <v>2232.4499999999998</v>
      </c>
      <c r="E87" s="53">
        <v>1829.92</v>
      </c>
      <c r="F87" s="197" t="s">
        <v>347</v>
      </c>
      <c r="G87" s="197">
        <v>44028</v>
      </c>
      <c r="H87" s="197">
        <v>44054</v>
      </c>
      <c r="I87" s="197">
        <f t="shared" si="12"/>
        <v>44041</v>
      </c>
      <c r="J87" s="197">
        <v>44074</v>
      </c>
      <c r="K87" s="102">
        <f t="shared" si="13"/>
        <v>33</v>
      </c>
      <c r="L87" s="53">
        <f t="shared" si="14"/>
        <v>60387</v>
      </c>
      <c r="M87" s="197">
        <v>44074</v>
      </c>
      <c r="N87" s="55">
        <f t="shared" si="15"/>
        <v>0</v>
      </c>
      <c r="O87" s="198">
        <f t="shared" si="16"/>
        <v>0</v>
      </c>
      <c r="P87" s="53"/>
    </row>
    <row r="88" spans="1:17">
      <c r="A88" s="54">
        <f t="shared" si="11"/>
        <v>80</v>
      </c>
      <c r="B88" s="53" t="s">
        <v>346</v>
      </c>
      <c r="C88" s="197">
        <v>44059</v>
      </c>
      <c r="D88" s="53">
        <v>23.07</v>
      </c>
      <c r="E88" s="53">
        <v>23.07</v>
      </c>
      <c r="F88" s="197" t="s">
        <v>347</v>
      </c>
      <c r="G88" s="197">
        <v>44035</v>
      </c>
      <c r="H88" s="197">
        <v>44048</v>
      </c>
      <c r="I88" s="197">
        <f t="shared" si="12"/>
        <v>44041.5</v>
      </c>
      <c r="J88" s="197">
        <v>44074</v>
      </c>
      <c r="K88" s="102">
        <f t="shared" si="13"/>
        <v>33</v>
      </c>
      <c r="L88" s="53">
        <f t="shared" si="14"/>
        <v>761</v>
      </c>
      <c r="M88" s="197">
        <v>44074</v>
      </c>
      <c r="N88" s="55">
        <f t="shared" si="15"/>
        <v>0</v>
      </c>
      <c r="O88" s="198">
        <f t="shared" si="16"/>
        <v>0</v>
      </c>
      <c r="P88" s="53"/>
    </row>
    <row r="89" spans="1:17">
      <c r="A89" s="54">
        <f t="shared" si="11"/>
        <v>81</v>
      </c>
      <c r="B89" s="53" t="s">
        <v>346</v>
      </c>
      <c r="C89" s="197">
        <v>44059</v>
      </c>
      <c r="D89" s="53">
        <v>430.49</v>
      </c>
      <c r="E89" s="53">
        <v>400.85</v>
      </c>
      <c r="F89" s="197" t="s">
        <v>347</v>
      </c>
      <c r="G89" s="197">
        <v>44034</v>
      </c>
      <c r="H89" s="197">
        <v>44061</v>
      </c>
      <c r="I89" s="197">
        <f t="shared" si="12"/>
        <v>44047.5</v>
      </c>
      <c r="J89" s="197">
        <v>44074</v>
      </c>
      <c r="K89" s="102">
        <f t="shared" si="13"/>
        <v>27</v>
      </c>
      <c r="L89" s="53">
        <f t="shared" si="14"/>
        <v>10823</v>
      </c>
      <c r="M89" s="197">
        <v>44074</v>
      </c>
      <c r="N89" s="55">
        <f t="shared" si="15"/>
        <v>0</v>
      </c>
      <c r="O89" s="198">
        <f t="shared" si="16"/>
        <v>0</v>
      </c>
      <c r="P89" s="53"/>
    </row>
    <row r="90" spans="1:17">
      <c r="A90" s="54">
        <f t="shared" si="11"/>
        <v>82</v>
      </c>
      <c r="B90" s="53" t="s">
        <v>346</v>
      </c>
      <c r="C90" s="197">
        <v>44059</v>
      </c>
      <c r="D90" s="53">
        <v>92.87</v>
      </c>
      <c r="E90" s="53">
        <v>92.87</v>
      </c>
      <c r="F90" s="197" t="s">
        <v>347</v>
      </c>
      <c r="G90" s="197">
        <v>44049</v>
      </c>
      <c r="H90" s="197">
        <v>44055</v>
      </c>
      <c r="I90" s="197">
        <f t="shared" si="12"/>
        <v>44052</v>
      </c>
      <c r="J90" s="197">
        <v>44074</v>
      </c>
      <c r="K90" s="102">
        <f t="shared" si="13"/>
        <v>22</v>
      </c>
      <c r="L90" s="53">
        <f t="shared" si="14"/>
        <v>2043</v>
      </c>
      <c r="M90" s="197">
        <v>44074</v>
      </c>
      <c r="N90" s="55">
        <f t="shared" si="15"/>
        <v>0</v>
      </c>
      <c r="O90" s="198">
        <f t="shared" si="16"/>
        <v>0</v>
      </c>
      <c r="P90" s="53"/>
    </row>
    <row r="91" spans="1:17">
      <c r="A91" s="54">
        <f t="shared" si="11"/>
        <v>83</v>
      </c>
      <c r="B91" s="53" t="s">
        <v>346</v>
      </c>
      <c r="C91" s="197">
        <v>44059</v>
      </c>
      <c r="D91" s="53">
        <v>37.25</v>
      </c>
      <c r="E91" s="53">
        <v>37.25</v>
      </c>
      <c r="F91" s="197" t="s">
        <v>347</v>
      </c>
      <c r="G91" s="197">
        <v>44030</v>
      </c>
      <c r="H91" s="197">
        <v>44048</v>
      </c>
      <c r="I91" s="197">
        <f t="shared" si="12"/>
        <v>44039</v>
      </c>
      <c r="J91" s="197">
        <v>44074</v>
      </c>
      <c r="K91" s="102">
        <f t="shared" si="13"/>
        <v>35</v>
      </c>
      <c r="L91" s="53">
        <f t="shared" si="14"/>
        <v>1304</v>
      </c>
      <c r="M91" s="197">
        <v>44074</v>
      </c>
      <c r="N91" s="55">
        <f t="shared" si="15"/>
        <v>0</v>
      </c>
      <c r="O91" s="198">
        <f t="shared" si="16"/>
        <v>0</v>
      </c>
      <c r="P91" s="53"/>
    </row>
    <row r="92" spans="1:17">
      <c r="A92" s="54">
        <f t="shared" si="11"/>
        <v>84</v>
      </c>
      <c r="B92" s="53" t="s">
        <v>346</v>
      </c>
      <c r="C92" s="197">
        <v>44090</v>
      </c>
      <c r="D92" s="53">
        <v>221.22</v>
      </c>
      <c r="E92" s="53">
        <v>221.22</v>
      </c>
      <c r="F92" s="197" t="s">
        <v>347</v>
      </c>
      <c r="G92" s="197">
        <v>44062</v>
      </c>
      <c r="H92" s="197">
        <v>44082</v>
      </c>
      <c r="I92" s="197">
        <f t="shared" si="12"/>
        <v>44072</v>
      </c>
      <c r="J92" s="197">
        <v>44104</v>
      </c>
      <c r="K92" s="102">
        <f t="shared" si="13"/>
        <v>32</v>
      </c>
      <c r="L92" s="53">
        <f t="shared" si="14"/>
        <v>7079</v>
      </c>
      <c r="M92" s="197">
        <v>44104</v>
      </c>
      <c r="N92" s="55">
        <f t="shared" si="15"/>
        <v>0</v>
      </c>
      <c r="O92" s="198">
        <f t="shared" si="16"/>
        <v>0</v>
      </c>
      <c r="P92" s="53"/>
    </row>
    <row r="93" spans="1:17">
      <c r="A93" s="54">
        <f t="shared" si="11"/>
        <v>85</v>
      </c>
      <c r="B93" s="53" t="s">
        <v>346</v>
      </c>
      <c r="C93" s="197">
        <v>44090</v>
      </c>
      <c r="D93" s="53">
        <v>15</v>
      </c>
      <c r="E93" s="53">
        <v>15</v>
      </c>
      <c r="F93" s="197" t="s">
        <v>347</v>
      </c>
      <c r="G93" s="197">
        <v>44076</v>
      </c>
      <c r="H93" s="197">
        <v>44076</v>
      </c>
      <c r="I93" s="197">
        <f t="shared" si="12"/>
        <v>44076</v>
      </c>
      <c r="J93" s="197">
        <v>44104</v>
      </c>
      <c r="K93" s="102">
        <f t="shared" si="13"/>
        <v>28</v>
      </c>
      <c r="L93" s="53">
        <f t="shared" si="14"/>
        <v>420</v>
      </c>
      <c r="M93" s="197">
        <v>44104</v>
      </c>
      <c r="N93" s="55">
        <f t="shared" si="15"/>
        <v>0</v>
      </c>
      <c r="O93" s="198">
        <f t="shared" si="16"/>
        <v>0</v>
      </c>
      <c r="P93" s="53"/>
    </row>
    <row r="94" spans="1:17">
      <c r="A94" s="54">
        <f t="shared" si="11"/>
        <v>86</v>
      </c>
      <c r="B94" s="53" t="s">
        <v>346</v>
      </c>
      <c r="C94" s="197">
        <v>44090</v>
      </c>
      <c r="D94" s="53">
        <v>185.97</v>
      </c>
      <c r="E94" s="53">
        <v>185.97</v>
      </c>
      <c r="F94" s="197" t="s">
        <v>347</v>
      </c>
      <c r="G94" s="197">
        <v>44061</v>
      </c>
      <c r="H94" s="197">
        <v>44071</v>
      </c>
      <c r="I94" s="197">
        <f t="shared" si="12"/>
        <v>44066</v>
      </c>
      <c r="J94" s="197">
        <v>44104</v>
      </c>
      <c r="K94" s="102">
        <f t="shared" si="13"/>
        <v>38</v>
      </c>
      <c r="L94" s="53">
        <f t="shared" si="14"/>
        <v>7067</v>
      </c>
      <c r="M94" s="197">
        <v>44104</v>
      </c>
      <c r="N94" s="55">
        <f t="shared" si="15"/>
        <v>0</v>
      </c>
      <c r="O94" s="198">
        <f t="shared" si="16"/>
        <v>0</v>
      </c>
      <c r="P94" s="53"/>
    </row>
    <row r="95" spans="1:17">
      <c r="A95" s="54">
        <f t="shared" si="11"/>
        <v>87</v>
      </c>
      <c r="B95" s="53" t="s">
        <v>346</v>
      </c>
      <c r="C95" s="197">
        <v>44090</v>
      </c>
      <c r="D95" s="53">
        <v>126.51</v>
      </c>
      <c r="E95" s="53">
        <v>91.08</v>
      </c>
      <c r="F95" s="197" t="s">
        <v>347</v>
      </c>
      <c r="G95" s="197">
        <v>44066</v>
      </c>
      <c r="H95" s="197">
        <v>44089</v>
      </c>
      <c r="I95" s="197">
        <f t="shared" si="12"/>
        <v>44077.5</v>
      </c>
      <c r="J95" s="197">
        <v>44104</v>
      </c>
      <c r="K95" s="102">
        <f t="shared" si="13"/>
        <v>27</v>
      </c>
      <c r="L95" s="53">
        <f t="shared" si="14"/>
        <v>2459</v>
      </c>
      <c r="M95" s="197">
        <v>44104</v>
      </c>
      <c r="N95" s="55">
        <f t="shared" si="15"/>
        <v>0</v>
      </c>
      <c r="O95" s="198">
        <f t="shared" si="16"/>
        <v>0</v>
      </c>
      <c r="P95" s="53"/>
    </row>
    <row r="96" spans="1:17">
      <c r="A96" s="54">
        <f t="shared" si="11"/>
        <v>88</v>
      </c>
      <c r="B96" s="53" t="s">
        <v>346</v>
      </c>
      <c r="C96" s="197">
        <v>44090</v>
      </c>
      <c r="D96" s="53">
        <v>31.79</v>
      </c>
      <c r="E96" s="53">
        <v>31.79</v>
      </c>
      <c r="F96" s="197" t="s">
        <v>347</v>
      </c>
      <c r="G96" s="197">
        <v>44058</v>
      </c>
      <c r="H96" s="197">
        <v>44090</v>
      </c>
      <c r="I96" s="197">
        <f t="shared" si="12"/>
        <v>44074</v>
      </c>
      <c r="J96" s="197">
        <v>44104</v>
      </c>
      <c r="K96" s="102">
        <f t="shared" si="13"/>
        <v>30</v>
      </c>
      <c r="L96" s="53">
        <f t="shared" si="14"/>
        <v>954</v>
      </c>
      <c r="M96" s="197">
        <v>44104</v>
      </c>
      <c r="N96" s="55">
        <f t="shared" si="15"/>
        <v>0</v>
      </c>
      <c r="O96" s="198">
        <f t="shared" si="16"/>
        <v>0</v>
      </c>
      <c r="P96" s="53"/>
    </row>
    <row r="97" spans="1:16">
      <c r="A97" s="54">
        <f t="shared" si="11"/>
        <v>89</v>
      </c>
      <c r="B97" s="53" t="s">
        <v>346</v>
      </c>
      <c r="C97" s="197">
        <v>44090</v>
      </c>
      <c r="D97" s="53">
        <v>264.51</v>
      </c>
      <c r="E97" s="53">
        <v>264.51</v>
      </c>
      <c r="F97" s="197" t="s">
        <v>347</v>
      </c>
      <c r="G97" s="197">
        <v>44083</v>
      </c>
      <c r="H97" s="197">
        <v>44083</v>
      </c>
      <c r="I97" s="197">
        <f t="shared" si="12"/>
        <v>44083</v>
      </c>
      <c r="J97" s="197">
        <v>44104</v>
      </c>
      <c r="K97" s="102">
        <f t="shared" si="13"/>
        <v>21</v>
      </c>
      <c r="L97" s="53">
        <f t="shared" si="14"/>
        <v>5555</v>
      </c>
      <c r="M97" s="197">
        <v>44104</v>
      </c>
      <c r="N97" s="55">
        <f t="shared" si="15"/>
        <v>0</v>
      </c>
      <c r="O97" s="198">
        <f t="shared" si="16"/>
        <v>0</v>
      </c>
      <c r="P97" s="53"/>
    </row>
    <row r="98" spans="1:16">
      <c r="A98" s="54">
        <f t="shared" si="11"/>
        <v>90</v>
      </c>
      <c r="B98" s="53" t="s">
        <v>346</v>
      </c>
      <c r="C98" s="197">
        <v>44120</v>
      </c>
      <c r="D98" s="53">
        <v>153.41999999999999</v>
      </c>
      <c r="E98" s="53">
        <v>122.27</v>
      </c>
      <c r="F98" s="197" t="s">
        <v>347</v>
      </c>
      <c r="G98" s="197">
        <v>44103</v>
      </c>
      <c r="H98" s="197">
        <v>44111</v>
      </c>
      <c r="I98" s="197">
        <f t="shared" si="12"/>
        <v>44107</v>
      </c>
      <c r="J98" s="197">
        <v>44134</v>
      </c>
      <c r="K98" s="102">
        <f t="shared" si="13"/>
        <v>27</v>
      </c>
      <c r="L98" s="53">
        <f t="shared" si="14"/>
        <v>3301</v>
      </c>
      <c r="M98" s="197">
        <v>44134</v>
      </c>
      <c r="N98" s="55">
        <f t="shared" si="15"/>
        <v>0</v>
      </c>
      <c r="O98" s="198">
        <f t="shared" si="16"/>
        <v>0</v>
      </c>
      <c r="P98" s="53"/>
    </row>
    <row r="99" spans="1:16">
      <c r="A99" s="54">
        <f t="shared" si="11"/>
        <v>91</v>
      </c>
      <c r="B99" s="53" t="s">
        <v>346</v>
      </c>
      <c r="C99" s="197">
        <v>44120</v>
      </c>
      <c r="D99" s="53">
        <v>262.08</v>
      </c>
      <c r="E99" s="53">
        <v>262.08</v>
      </c>
      <c r="F99" s="197" t="s">
        <v>347</v>
      </c>
      <c r="G99" s="197">
        <v>44105</v>
      </c>
      <c r="H99" s="197">
        <v>44110</v>
      </c>
      <c r="I99" s="197">
        <f t="shared" si="12"/>
        <v>44107.5</v>
      </c>
      <c r="J99" s="197">
        <v>44134</v>
      </c>
      <c r="K99" s="102">
        <f t="shared" si="13"/>
        <v>27</v>
      </c>
      <c r="L99" s="53">
        <f t="shared" si="14"/>
        <v>7076</v>
      </c>
      <c r="M99" s="197">
        <v>44134</v>
      </c>
      <c r="N99" s="55">
        <f t="shared" si="15"/>
        <v>0</v>
      </c>
      <c r="O99" s="198">
        <f t="shared" si="16"/>
        <v>0</v>
      </c>
      <c r="P99" s="53"/>
    </row>
    <row r="100" spans="1:16">
      <c r="A100" s="54">
        <f t="shared" si="11"/>
        <v>92</v>
      </c>
      <c r="B100" s="53" t="s">
        <v>346</v>
      </c>
      <c r="C100" s="197">
        <v>44120</v>
      </c>
      <c r="D100" s="53">
        <v>61.32</v>
      </c>
      <c r="E100" s="53">
        <v>61.32</v>
      </c>
      <c r="F100" s="197" t="s">
        <v>347</v>
      </c>
      <c r="G100" s="197">
        <v>44108</v>
      </c>
      <c r="H100" s="197">
        <v>44119</v>
      </c>
      <c r="I100" s="197">
        <f t="shared" si="12"/>
        <v>44113.5</v>
      </c>
      <c r="J100" s="197">
        <v>44134</v>
      </c>
      <c r="K100" s="102">
        <f t="shared" si="13"/>
        <v>21</v>
      </c>
      <c r="L100" s="53">
        <f t="shared" si="14"/>
        <v>1288</v>
      </c>
      <c r="M100" s="197">
        <v>44134</v>
      </c>
      <c r="N100" s="55">
        <f t="shared" si="15"/>
        <v>0</v>
      </c>
      <c r="O100" s="198">
        <f t="shared" si="16"/>
        <v>0</v>
      </c>
      <c r="P100" s="53"/>
    </row>
    <row r="101" spans="1:16">
      <c r="A101" s="54">
        <f t="shared" si="11"/>
        <v>93</v>
      </c>
      <c r="B101" s="53" t="s">
        <v>346</v>
      </c>
      <c r="C101" s="197">
        <v>44120</v>
      </c>
      <c r="D101" s="53">
        <v>100.01</v>
      </c>
      <c r="E101" s="53">
        <v>80.06</v>
      </c>
      <c r="F101" s="197" t="s">
        <v>347</v>
      </c>
      <c r="G101" s="197">
        <v>44090</v>
      </c>
      <c r="H101" s="197">
        <v>44116</v>
      </c>
      <c r="I101" s="197">
        <f t="shared" si="12"/>
        <v>44103</v>
      </c>
      <c r="J101" s="197">
        <v>44134</v>
      </c>
      <c r="K101" s="102">
        <f t="shared" si="13"/>
        <v>31</v>
      </c>
      <c r="L101" s="53">
        <f t="shared" si="14"/>
        <v>2482</v>
      </c>
      <c r="M101" s="197">
        <v>44134</v>
      </c>
      <c r="N101" s="55">
        <f t="shared" si="15"/>
        <v>0</v>
      </c>
      <c r="O101" s="198">
        <f t="shared" si="16"/>
        <v>0</v>
      </c>
      <c r="P101" s="53"/>
    </row>
    <row r="102" spans="1:16">
      <c r="A102" s="54">
        <f t="shared" si="11"/>
        <v>94</v>
      </c>
      <c r="B102" s="53" t="s">
        <v>346</v>
      </c>
      <c r="C102" s="197">
        <v>44120</v>
      </c>
      <c r="D102" s="53">
        <v>2375.4899999999998</v>
      </c>
      <c r="E102" s="53">
        <v>46.65</v>
      </c>
      <c r="F102" s="197" t="s">
        <v>347</v>
      </c>
      <c r="G102" s="197">
        <v>44006</v>
      </c>
      <c r="H102" s="197">
        <v>44116</v>
      </c>
      <c r="I102" s="197">
        <f t="shared" si="12"/>
        <v>44061</v>
      </c>
      <c r="J102" s="197">
        <v>44134</v>
      </c>
      <c r="K102" s="102">
        <f t="shared" si="13"/>
        <v>73</v>
      </c>
      <c r="L102" s="53">
        <f t="shared" si="14"/>
        <v>3405</v>
      </c>
      <c r="M102" s="197">
        <v>44134</v>
      </c>
      <c r="N102" s="55">
        <f t="shared" si="15"/>
        <v>0</v>
      </c>
      <c r="O102" s="198">
        <f t="shared" si="16"/>
        <v>0</v>
      </c>
      <c r="P102" s="53"/>
    </row>
    <row r="103" spans="1:16">
      <c r="A103" s="54">
        <f t="shared" si="11"/>
        <v>95</v>
      </c>
      <c r="B103" s="53" t="s">
        <v>346</v>
      </c>
      <c r="C103" s="197">
        <v>44120</v>
      </c>
      <c r="D103" s="53">
        <v>45.2</v>
      </c>
      <c r="E103" s="53">
        <v>27.9</v>
      </c>
      <c r="F103" s="197" t="s">
        <v>347</v>
      </c>
      <c r="G103" s="197">
        <v>44098</v>
      </c>
      <c r="H103" s="197">
        <v>44109</v>
      </c>
      <c r="I103" s="197">
        <f t="shared" si="12"/>
        <v>44103.5</v>
      </c>
      <c r="J103" s="197">
        <v>44134</v>
      </c>
      <c r="K103" s="102">
        <f t="shared" si="13"/>
        <v>31</v>
      </c>
      <c r="L103" s="53">
        <f t="shared" si="14"/>
        <v>865</v>
      </c>
      <c r="M103" s="197">
        <v>44134</v>
      </c>
      <c r="N103" s="55">
        <f t="shared" si="15"/>
        <v>0</v>
      </c>
      <c r="O103" s="198">
        <f t="shared" si="16"/>
        <v>0</v>
      </c>
      <c r="P103" s="53"/>
    </row>
    <row r="104" spans="1:16">
      <c r="A104" s="54">
        <f t="shared" si="11"/>
        <v>96</v>
      </c>
      <c r="B104" s="53" t="s">
        <v>346</v>
      </c>
      <c r="C104" s="197">
        <v>44120</v>
      </c>
      <c r="D104" s="53">
        <v>614.37</v>
      </c>
      <c r="E104" s="53">
        <v>427.64</v>
      </c>
      <c r="F104" s="197" t="s">
        <v>347</v>
      </c>
      <c r="G104" s="197">
        <v>44095</v>
      </c>
      <c r="H104" s="197">
        <v>44839</v>
      </c>
      <c r="I104" s="197">
        <f t="shared" si="12"/>
        <v>44467</v>
      </c>
      <c r="J104" s="197">
        <v>44134</v>
      </c>
      <c r="K104" s="102">
        <f t="shared" si="13"/>
        <v>-333</v>
      </c>
      <c r="L104" s="53">
        <f t="shared" si="14"/>
        <v>-142404</v>
      </c>
      <c r="M104" s="197">
        <v>44134</v>
      </c>
      <c r="N104" s="55">
        <f t="shared" si="15"/>
        <v>0</v>
      </c>
      <c r="O104" s="198">
        <f t="shared" si="16"/>
        <v>0</v>
      </c>
      <c r="P104" s="53"/>
    </row>
    <row r="105" spans="1:16">
      <c r="A105" s="54">
        <f t="shared" si="11"/>
        <v>97</v>
      </c>
      <c r="B105" s="53" t="s">
        <v>346</v>
      </c>
      <c r="C105" s="197">
        <v>44151</v>
      </c>
      <c r="D105" s="53">
        <v>150</v>
      </c>
      <c r="E105" s="53">
        <v>150</v>
      </c>
      <c r="F105" s="197" t="s">
        <v>347</v>
      </c>
      <c r="G105" s="197">
        <v>44137</v>
      </c>
      <c r="H105" s="197">
        <v>44137</v>
      </c>
      <c r="I105" s="197">
        <f t="shared" si="12"/>
        <v>44137</v>
      </c>
      <c r="J105" s="197">
        <v>44165</v>
      </c>
      <c r="K105" s="102">
        <f t="shared" si="13"/>
        <v>28</v>
      </c>
      <c r="L105" s="53">
        <f t="shared" si="14"/>
        <v>4200</v>
      </c>
      <c r="M105" s="197">
        <v>44165</v>
      </c>
      <c r="N105" s="55">
        <f t="shared" si="15"/>
        <v>0</v>
      </c>
      <c r="O105" s="198">
        <f t="shared" si="16"/>
        <v>0</v>
      </c>
      <c r="P105" s="53"/>
    </row>
    <row r="106" spans="1:16">
      <c r="A106" s="54">
        <f t="shared" si="11"/>
        <v>98</v>
      </c>
      <c r="B106" s="53" t="s">
        <v>346</v>
      </c>
      <c r="C106" s="197">
        <v>44151</v>
      </c>
      <c r="D106" s="53">
        <v>996.39</v>
      </c>
      <c r="E106" s="53">
        <v>996.39</v>
      </c>
      <c r="F106" s="197" t="s">
        <v>347</v>
      </c>
      <c r="G106" s="197">
        <v>44132</v>
      </c>
      <c r="H106" s="197">
        <v>44146</v>
      </c>
      <c r="I106" s="197">
        <f t="shared" si="12"/>
        <v>44139</v>
      </c>
      <c r="J106" s="197">
        <v>44165</v>
      </c>
      <c r="K106" s="102">
        <f t="shared" si="13"/>
        <v>26</v>
      </c>
      <c r="L106" s="53">
        <f t="shared" si="14"/>
        <v>25906</v>
      </c>
      <c r="M106" s="197">
        <v>44165</v>
      </c>
      <c r="N106" s="55">
        <f t="shared" si="15"/>
        <v>0</v>
      </c>
      <c r="O106" s="198">
        <f t="shared" si="16"/>
        <v>0</v>
      </c>
      <c r="P106" s="53"/>
    </row>
    <row r="107" spans="1:16">
      <c r="A107" s="54">
        <f t="shared" si="11"/>
        <v>99</v>
      </c>
      <c r="B107" s="53" t="s">
        <v>346</v>
      </c>
      <c r="C107" s="197">
        <v>44151</v>
      </c>
      <c r="D107" s="53">
        <v>553.76</v>
      </c>
      <c r="E107" s="53">
        <v>482</v>
      </c>
      <c r="F107" s="197" t="s">
        <v>347</v>
      </c>
      <c r="G107" s="197">
        <v>44124</v>
      </c>
      <c r="H107" s="197">
        <v>44138</v>
      </c>
      <c r="I107" s="197">
        <f t="shared" si="12"/>
        <v>44131</v>
      </c>
      <c r="J107" s="197">
        <v>44165</v>
      </c>
      <c r="K107" s="102">
        <f t="shared" si="13"/>
        <v>34</v>
      </c>
      <c r="L107" s="53">
        <f t="shared" si="14"/>
        <v>16388</v>
      </c>
      <c r="M107" s="197">
        <v>44165</v>
      </c>
      <c r="N107" s="55">
        <f t="shared" si="15"/>
        <v>0</v>
      </c>
      <c r="O107" s="198">
        <f t="shared" si="16"/>
        <v>0</v>
      </c>
      <c r="P107" s="53"/>
    </row>
    <row r="108" spans="1:16">
      <c r="A108" s="54">
        <f t="shared" si="11"/>
        <v>100</v>
      </c>
      <c r="B108" s="53" t="s">
        <v>346</v>
      </c>
      <c r="C108" s="197">
        <v>44151</v>
      </c>
      <c r="D108" s="53">
        <v>946.05</v>
      </c>
      <c r="E108" s="53">
        <v>946.05</v>
      </c>
      <c r="F108" s="197" t="s">
        <v>347</v>
      </c>
      <c r="G108" s="197">
        <v>44125</v>
      </c>
      <c r="H108" s="197">
        <v>44134</v>
      </c>
      <c r="I108" s="197">
        <f t="shared" si="12"/>
        <v>44129.5</v>
      </c>
      <c r="J108" s="197">
        <v>44165</v>
      </c>
      <c r="K108" s="102">
        <f t="shared" si="13"/>
        <v>36</v>
      </c>
      <c r="L108" s="53">
        <f t="shared" si="14"/>
        <v>34058</v>
      </c>
      <c r="M108" s="197">
        <v>44165</v>
      </c>
      <c r="N108" s="55">
        <f t="shared" si="15"/>
        <v>0</v>
      </c>
      <c r="O108" s="198">
        <f t="shared" si="16"/>
        <v>0</v>
      </c>
      <c r="P108" s="53"/>
    </row>
    <row r="109" spans="1:16">
      <c r="A109" s="54">
        <f t="shared" si="11"/>
        <v>101</v>
      </c>
      <c r="B109" s="53" t="s">
        <v>346</v>
      </c>
      <c r="C109" s="197">
        <v>44181</v>
      </c>
      <c r="D109" s="53">
        <v>168.47</v>
      </c>
      <c r="E109" s="53">
        <v>84.78</v>
      </c>
      <c r="F109" s="197" t="s">
        <v>347</v>
      </c>
      <c r="G109" s="197">
        <v>44158</v>
      </c>
      <c r="H109" s="197">
        <v>44173</v>
      </c>
      <c r="I109" s="197">
        <f t="shared" si="12"/>
        <v>44165.5</v>
      </c>
      <c r="J109" s="197">
        <v>44196</v>
      </c>
      <c r="K109" s="102">
        <f t="shared" si="13"/>
        <v>31</v>
      </c>
      <c r="L109" s="53">
        <f t="shared" si="14"/>
        <v>2628</v>
      </c>
      <c r="M109" s="197">
        <v>44196</v>
      </c>
      <c r="N109" s="55">
        <f t="shared" si="15"/>
        <v>0</v>
      </c>
      <c r="O109" s="198">
        <f t="shared" si="16"/>
        <v>0</v>
      </c>
      <c r="P109" s="53"/>
    </row>
    <row r="110" spans="1:16">
      <c r="A110" s="54">
        <f t="shared" si="11"/>
        <v>102</v>
      </c>
      <c r="B110" s="53" t="s">
        <v>346</v>
      </c>
      <c r="C110" s="197">
        <v>44181</v>
      </c>
      <c r="D110" s="53">
        <v>832.92</v>
      </c>
      <c r="E110" s="53">
        <v>427.16</v>
      </c>
      <c r="F110" s="197" t="s">
        <v>347</v>
      </c>
      <c r="G110" s="197">
        <v>44152</v>
      </c>
      <c r="H110" s="197">
        <v>44175</v>
      </c>
      <c r="I110" s="197">
        <f t="shared" si="12"/>
        <v>44163.5</v>
      </c>
      <c r="J110" s="197">
        <v>44196</v>
      </c>
      <c r="K110" s="102">
        <f t="shared" si="13"/>
        <v>33</v>
      </c>
      <c r="L110" s="53">
        <f t="shared" si="14"/>
        <v>14096</v>
      </c>
      <c r="M110" s="197">
        <v>44196</v>
      </c>
      <c r="N110" s="55">
        <f t="shared" si="15"/>
        <v>0</v>
      </c>
      <c r="O110" s="198">
        <f t="shared" si="16"/>
        <v>0</v>
      </c>
      <c r="P110" s="53"/>
    </row>
    <row r="111" spans="1:16">
      <c r="A111" s="54">
        <f t="shared" si="11"/>
        <v>103</v>
      </c>
      <c r="B111" s="53" t="s">
        <v>346</v>
      </c>
      <c r="C111" s="197">
        <v>44181</v>
      </c>
      <c r="D111" s="53">
        <v>225.67</v>
      </c>
      <c r="E111" s="53">
        <v>23.31</v>
      </c>
      <c r="F111" s="197" t="s">
        <v>347</v>
      </c>
      <c r="G111" s="197">
        <v>44153</v>
      </c>
      <c r="H111" s="197">
        <v>44180</v>
      </c>
      <c r="I111" s="197">
        <f t="shared" si="12"/>
        <v>44166.5</v>
      </c>
      <c r="J111" s="197">
        <v>44196</v>
      </c>
      <c r="K111" s="102">
        <f t="shared" si="13"/>
        <v>30</v>
      </c>
      <c r="L111" s="53">
        <f t="shared" si="14"/>
        <v>699</v>
      </c>
      <c r="M111" s="197">
        <v>44196</v>
      </c>
      <c r="N111" s="55">
        <f t="shared" si="15"/>
        <v>0</v>
      </c>
      <c r="O111" s="198">
        <f t="shared" si="16"/>
        <v>0</v>
      </c>
      <c r="P111" s="53"/>
    </row>
    <row r="112" spans="1:16">
      <c r="A112" s="54">
        <f t="shared" si="11"/>
        <v>104</v>
      </c>
      <c r="B112" s="53" t="s">
        <v>346</v>
      </c>
      <c r="C112" s="197">
        <v>44181</v>
      </c>
      <c r="D112" s="53">
        <v>55.08</v>
      </c>
      <c r="E112" s="53">
        <v>55.08</v>
      </c>
      <c r="F112" s="197" t="s">
        <v>347</v>
      </c>
      <c r="G112" s="197">
        <v>44152</v>
      </c>
      <c r="H112" s="197">
        <v>44152</v>
      </c>
      <c r="I112" s="197">
        <f t="shared" si="12"/>
        <v>44152</v>
      </c>
      <c r="J112" s="197">
        <v>44196</v>
      </c>
      <c r="K112" s="102">
        <f t="shared" si="13"/>
        <v>44</v>
      </c>
      <c r="L112" s="53">
        <f t="shared" si="14"/>
        <v>2424</v>
      </c>
      <c r="M112" s="197">
        <v>44196</v>
      </c>
      <c r="N112" s="55">
        <f t="shared" si="15"/>
        <v>0</v>
      </c>
      <c r="O112" s="198">
        <f t="shared" si="16"/>
        <v>0</v>
      </c>
      <c r="P112" s="53"/>
    </row>
    <row r="113" spans="1:16">
      <c r="A113" s="54">
        <f t="shared" si="11"/>
        <v>105</v>
      </c>
      <c r="B113" s="53" t="s">
        <v>346</v>
      </c>
      <c r="C113" s="197">
        <v>44181</v>
      </c>
      <c r="D113" s="53">
        <v>345.1</v>
      </c>
      <c r="E113" s="53">
        <v>261.99</v>
      </c>
      <c r="F113" s="197" t="s">
        <v>347</v>
      </c>
      <c r="G113" s="197">
        <v>44153</v>
      </c>
      <c r="H113" s="197">
        <v>44165</v>
      </c>
      <c r="I113" s="197">
        <f t="shared" si="12"/>
        <v>44159</v>
      </c>
      <c r="J113" s="197">
        <v>44196</v>
      </c>
      <c r="K113" s="102">
        <f t="shared" si="13"/>
        <v>37</v>
      </c>
      <c r="L113" s="53">
        <f t="shared" si="14"/>
        <v>9694</v>
      </c>
      <c r="M113" s="197">
        <v>44196</v>
      </c>
      <c r="N113" s="55">
        <f t="shared" si="15"/>
        <v>0</v>
      </c>
      <c r="O113" s="198">
        <f t="shared" si="16"/>
        <v>0</v>
      </c>
      <c r="P113" s="53"/>
    </row>
    <row r="114" spans="1:16">
      <c r="A114" s="54">
        <f t="shared" si="11"/>
        <v>106</v>
      </c>
      <c r="B114" s="53" t="s">
        <v>346</v>
      </c>
      <c r="C114" s="197">
        <v>44181</v>
      </c>
      <c r="D114" s="53">
        <v>244.76</v>
      </c>
      <c r="E114" s="53">
        <v>244.76</v>
      </c>
      <c r="F114" s="197" t="s">
        <v>347</v>
      </c>
      <c r="G114" s="197">
        <v>44172</v>
      </c>
      <c r="H114" s="197">
        <v>44172</v>
      </c>
      <c r="I114" s="197">
        <f t="shared" si="12"/>
        <v>44172</v>
      </c>
      <c r="J114" s="197">
        <v>44196</v>
      </c>
      <c r="K114" s="102">
        <f t="shared" si="13"/>
        <v>24</v>
      </c>
      <c r="L114" s="53">
        <f t="shared" si="14"/>
        <v>5874</v>
      </c>
      <c r="M114" s="197">
        <v>44196</v>
      </c>
      <c r="N114" s="55">
        <f t="shared" si="15"/>
        <v>0</v>
      </c>
      <c r="O114" s="198">
        <f t="shared" si="16"/>
        <v>0</v>
      </c>
      <c r="P114" s="53"/>
    </row>
    <row r="115" spans="1:16">
      <c r="A115" s="54">
        <f t="shared" si="11"/>
        <v>107</v>
      </c>
      <c r="B115" s="53" t="s">
        <v>346</v>
      </c>
      <c r="C115" s="197">
        <v>44212</v>
      </c>
      <c r="D115" s="53">
        <v>26.43</v>
      </c>
      <c r="E115" s="53">
        <v>26.43</v>
      </c>
      <c r="F115" s="197" t="s">
        <v>347</v>
      </c>
      <c r="G115" s="197">
        <v>44200</v>
      </c>
      <c r="H115" s="197">
        <v>44200</v>
      </c>
      <c r="I115" s="197">
        <f t="shared" si="12"/>
        <v>44200</v>
      </c>
      <c r="J115" s="197">
        <v>44225</v>
      </c>
      <c r="K115" s="102">
        <f t="shared" si="13"/>
        <v>25</v>
      </c>
      <c r="L115" s="53">
        <f t="shared" si="14"/>
        <v>661</v>
      </c>
      <c r="M115" s="197">
        <v>44225</v>
      </c>
      <c r="N115" s="55">
        <f t="shared" si="15"/>
        <v>0</v>
      </c>
      <c r="O115" s="198">
        <f t="shared" si="16"/>
        <v>0</v>
      </c>
      <c r="P115" s="53"/>
    </row>
    <row r="116" spans="1:16">
      <c r="A116" s="54">
        <f t="shared" si="11"/>
        <v>108</v>
      </c>
      <c r="B116" s="53" t="s">
        <v>346</v>
      </c>
      <c r="C116" s="197">
        <v>44212</v>
      </c>
      <c r="D116" s="53">
        <v>934.45</v>
      </c>
      <c r="E116" s="53">
        <v>359.85</v>
      </c>
      <c r="F116" s="197" t="s">
        <v>347</v>
      </c>
      <c r="G116" s="197">
        <v>44113</v>
      </c>
      <c r="H116" s="197">
        <v>44225</v>
      </c>
      <c r="I116" s="197">
        <f t="shared" si="12"/>
        <v>44169</v>
      </c>
      <c r="J116" s="197">
        <v>44225</v>
      </c>
      <c r="K116" s="102">
        <f t="shared" si="13"/>
        <v>56</v>
      </c>
      <c r="L116" s="53">
        <f t="shared" si="14"/>
        <v>20152</v>
      </c>
      <c r="M116" s="197">
        <v>44225</v>
      </c>
      <c r="N116" s="55">
        <f t="shared" si="15"/>
        <v>0</v>
      </c>
      <c r="O116" s="198">
        <f t="shared" si="16"/>
        <v>0</v>
      </c>
      <c r="P116" s="53"/>
    </row>
    <row r="117" spans="1:16">
      <c r="A117" s="54">
        <f t="shared" si="11"/>
        <v>109</v>
      </c>
      <c r="B117" s="53" t="s">
        <v>346</v>
      </c>
      <c r="C117" s="197">
        <v>44212</v>
      </c>
      <c r="D117" s="53">
        <v>77.38</v>
      </c>
      <c r="E117" s="53">
        <v>77.38</v>
      </c>
      <c r="F117" s="197" t="s">
        <v>347</v>
      </c>
      <c r="G117" s="197">
        <v>44187</v>
      </c>
      <c r="H117" s="197">
        <v>44187</v>
      </c>
      <c r="I117" s="197">
        <f t="shared" si="12"/>
        <v>44187</v>
      </c>
      <c r="J117" s="197">
        <v>44225</v>
      </c>
      <c r="K117" s="102">
        <f t="shared" si="13"/>
        <v>38</v>
      </c>
      <c r="L117" s="53">
        <f t="shared" si="14"/>
        <v>2940</v>
      </c>
      <c r="M117" s="197">
        <v>44225</v>
      </c>
      <c r="N117" s="55">
        <f t="shared" si="15"/>
        <v>0</v>
      </c>
      <c r="O117" s="198">
        <f t="shared" si="16"/>
        <v>0</v>
      </c>
      <c r="P117" s="53"/>
    </row>
    <row r="118" spans="1:16">
      <c r="A118" s="54">
        <f t="shared" si="11"/>
        <v>110</v>
      </c>
      <c r="B118" s="53" t="s">
        <v>346</v>
      </c>
      <c r="C118" s="197">
        <v>44212</v>
      </c>
      <c r="D118" s="53">
        <v>925.24</v>
      </c>
      <c r="E118" s="53">
        <v>571.48</v>
      </c>
      <c r="F118" s="197" t="s">
        <v>347</v>
      </c>
      <c r="G118" s="197">
        <v>44173</v>
      </c>
      <c r="H118" s="197">
        <v>44208</v>
      </c>
      <c r="I118" s="197">
        <f t="shared" si="12"/>
        <v>44190.5</v>
      </c>
      <c r="J118" s="197">
        <v>44225</v>
      </c>
      <c r="K118" s="102">
        <f t="shared" si="13"/>
        <v>35</v>
      </c>
      <c r="L118" s="53">
        <f t="shared" si="14"/>
        <v>20002</v>
      </c>
      <c r="M118" s="197">
        <v>44225</v>
      </c>
      <c r="N118" s="55">
        <f t="shared" si="15"/>
        <v>0</v>
      </c>
      <c r="O118" s="198">
        <f t="shared" si="16"/>
        <v>0</v>
      </c>
      <c r="P118" s="53"/>
    </row>
    <row r="119" spans="1:16">
      <c r="A119" s="54">
        <f t="shared" si="11"/>
        <v>111</v>
      </c>
      <c r="B119" s="53" t="s">
        <v>346</v>
      </c>
      <c r="C119" s="197">
        <v>44243</v>
      </c>
      <c r="D119" s="53">
        <v>712.57</v>
      </c>
      <c r="E119" s="53">
        <v>712.57</v>
      </c>
      <c r="F119" s="197" t="s">
        <v>347</v>
      </c>
      <c r="G119" s="197">
        <v>44167</v>
      </c>
      <c r="H119" s="197">
        <v>44249</v>
      </c>
      <c r="I119" s="197">
        <f t="shared" si="12"/>
        <v>44208</v>
      </c>
      <c r="J119" s="197">
        <v>44253</v>
      </c>
      <c r="K119" s="102">
        <f t="shared" si="13"/>
        <v>45</v>
      </c>
      <c r="L119" s="53">
        <f t="shared" si="14"/>
        <v>32066</v>
      </c>
      <c r="M119" s="197">
        <v>44253</v>
      </c>
      <c r="N119" s="55">
        <f t="shared" si="15"/>
        <v>0</v>
      </c>
      <c r="O119" s="198">
        <f t="shared" si="16"/>
        <v>0</v>
      </c>
      <c r="P119" s="53"/>
    </row>
    <row r="120" spans="1:16">
      <c r="A120" s="54">
        <f t="shared" si="11"/>
        <v>112</v>
      </c>
      <c r="B120" s="53" t="s">
        <v>346</v>
      </c>
      <c r="C120" s="197">
        <v>44243</v>
      </c>
      <c r="D120" s="53">
        <v>350.75</v>
      </c>
      <c r="E120" s="53">
        <v>350.75</v>
      </c>
      <c r="F120" s="197" t="s">
        <v>347</v>
      </c>
      <c r="G120" s="197">
        <v>44224</v>
      </c>
      <c r="H120" s="197">
        <v>44237</v>
      </c>
      <c r="I120" s="197">
        <f t="shared" si="12"/>
        <v>44230.5</v>
      </c>
      <c r="J120" s="197">
        <v>44253</v>
      </c>
      <c r="K120" s="102">
        <f t="shared" si="13"/>
        <v>23</v>
      </c>
      <c r="L120" s="53">
        <f t="shared" si="14"/>
        <v>8067</v>
      </c>
      <c r="M120" s="197">
        <v>44253</v>
      </c>
      <c r="N120" s="55">
        <f t="shared" si="15"/>
        <v>0</v>
      </c>
      <c r="O120" s="198">
        <f t="shared" si="16"/>
        <v>0</v>
      </c>
      <c r="P120" s="53"/>
    </row>
    <row r="121" spans="1:16">
      <c r="A121" s="54">
        <f t="shared" si="11"/>
        <v>113</v>
      </c>
      <c r="B121" s="53" t="s">
        <v>346</v>
      </c>
      <c r="C121" s="197">
        <v>44243</v>
      </c>
      <c r="D121" s="53">
        <v>287.51</v>
      </c>
      <c r="E121" s="53">
        <v>287.51</v>
      </c>
      <c r="F121" s="197" t="s">
        <v>347</v>
      </c>
      <c r="G121" s="197">
        <v>44229</v>
      </c>
      <c r="H121" s="197">
        <v>44236</v>
      </c>
      <c r="I121" s="197">
        <f t="shared" si="12"/>
        <v>44232.5</v>
      </c>
      <c r="J121" s="197">
        <v>44253</v>
      </c>
      <c r="K121" s="102">
        <f t="shared" si="13"/>
        <v>21</v>
      </c>
      <c r="L121" s="53">
        <f t="shared" si="14"/>
        <v>6038</v>
      </c>
      <c r="M121" s="197">
        <v>44253</v>
      </c>
      <c r="N121" s="55">
        <f t="shared" si="15"/>
        <v>0</v>
      </c>
      <c r="O121" s="198">
        <f t="shared" si="16"/>
        <v>0</v>
      </c>
      <c r="P121" s="53"/>
    </row>
    <row r="122" spans="1:16">
      <c r="A122" s="54">
        <f t="shared" si="11"/>
        <v>114</v>
      </c>
      <c r="B122" s="53" t="s">
        <v>346</v>
      </c>
      <c r="C122" s="197">
        <v>44271</v>
      </c>
      <c r="D122" s="53">
        <v>85.32</v>
      </c>
      <c r="E122" s="53">
        <v>85.32</v>
      </c>
      <c r="F122" s="197" t="s">
        <v>347</v>
      </c>
      <c r="G122" s="197">
        <v>44243</v>
      </c>
      <c r="H122" s="197">
        <v>44245</v>
      </c>
      <c r="I122" s="197">
        <f t="shared" si="12"/>
        <v>44244</v>
      </c>
      <c r="J122" s="197">
        <v>44286</v>
      </c>
      <c r="K122" s="102">
        <f t="shared" si="13"/>
        <v>42</v>
      </c>
      <c r="L122" s="53">
        <f t="shared" si="14"/>
        <v>3583</v>
      </c>
      <c r="M122" s="197">
        <v>44286</v>
      </c>
      <c r="N122" s="55">
        <f t="shared" si="15"/>
        <v>0</v>
      </c>
      <c r="O122" s="198">
        <f t="shared" si="16"/>
        <v>0</v>
      </c>
      <c r="P122" s="53"/>
    </row>
    <row r="123" spans="1:16">
      <c r="A123" s="54">
        <f t="shared" si="11"/>
        <v>115</v>
      </c>
      <c r="B123" s="53" t="s">
        <v>346</v>
      </c>
      <c r="C123" s="197">
        <v>44271</v>
      </c>
      <c r="D123" s="53">
        <v>191.87</v>
      </c>
      <c r="E123" s="53">
        <v>191.87</v>
      </c>
      <c r="F123" s="197" t="s">
        <v>347</v>
      </c>
      <c r="G123" s="197">
        <v>44253</v>
      </c>
      <c r="H123" s="197">
        <v>44264</v>
      </c>
      <c r="I123" s="197">
        <f t="shared" si="12"/>
        <v>44258.5</v>
      </c>
      <c r="J123" s="197">
        <v>44286</v>
      </c>
      <c r="K123" s="102">
        <f t="shared" si="13"/>
        <v>28</v>
      </c>
      <c r="L123" s="53">
        <f t="shared" si="14"/>
        <v>5372</v>
      </c>
      <c r="M123" s="197">
        <v>44286</v>
      </c>
      <c r="N123" s="55">
        <f t="shared" si="15"/>
        <v>0</v>
      </c>
      <c r="O123" s="198">
        <f t="shared" si="16"/>
        <v>0</v>
      </c>
      <c r="P123" s="53"/>
    </row>
    <row r="124" spans="1:16">
      <c r="A124" s="54">
        <f t="shared" si="11"/>
        <v>116</v>
      </c>
      <c r="B124" s="53" t="s">
        <v>346</v>
      </c>
      <c r="C124" s="197">
        <v>44271</v>
      </c>
      <c r="D124" s="53">
        <v>21.18</v>
      </c>
      <c r="E124" s="53">
        <v>21.18</v>
      </c>
      <c r="F124" s="197" t="s">
        <v>347</v>
      </c>
      <c r="G124" s="197">
        <v>44245</v>
      </c>
      <c r="H124" s="197">
        <v>44245</v>
      </c>
      <c r="I124" s="197">
        <f t="shared" si="12"/>
        <v>44245</v>
      </c>
      <c r="J124" s="197">
        <v>44286</v>
      </c>
      <c r="K124" s="102">
        <f t="shared" si="13"/>
        <v>41</v>
      </c>
      <c r="L124" s="53">
        <f t="shared" si="14"/>
        <v>868</v>
      </c>
      <c r="M124" s="197">
        <v>44286</v>
      </c>
      <c r="N124" s="55">
        <f t="shared" si="15"/>
        <v>0</v>
      </c>
      <c r="O124" s="198">
        <f t="shared" si="16"/>
        <v>0</v>
      </c>
      <c r="P124" s="53"/>
    </row>
    <row r="125" spans="1:16">
      <c r="A125" s="54">
        <f t="shared" si="11"/>
        <v>117</v>
      </c>
      <c r="B125" s="53" t="s">
        <v>346</v>
      </c>
      <c r="C125" s="197">
        <v>44271</v>
      </c>
      <c r="D125" s="53">
        <v>328.64</v>
      </c>
      <c r="E125" s="53">
        <v>116.64</v>
      </c>
      <c r="F125" s="197" t="s">
        <v>347</v>
      </c>
      <c r="G125" s="197">
        <v>44113</v>
      </c>
      <c r="H125" s="197">
        <v>44281</v>
      </c>
      <c r="I125" s="197">
        <f t="shared" si="12"/>
        <v>44197</v>
      </c>
      <c r="J125" s="197">
        <v>44286</v>
      </c>
      <c r="K125" s="102">
        <f t="shared" si="13"/>
        <v>89</v>
      </c>
      <c r="L125" s="53">
        <f t="shared" si="14"/>
        <v>10381</v>
      </c>
      <c r="M125" s="197">
        <v>44286</v>
      </c>
      <c r="N125" s="55">
        <f t="shared" si="15"/>
        <v>0</v>
      </c>
      <c r="O125" s="198">
        <f t="shared" si="16"/>
        <v>0</v>
      </c>
      <c r="P125" s="53"/>
    </row>
    <row r="126" spans="1:16">
      <c r="A126" s="54">
        <f t="shared" si="11"/>
        <v>118</v>
      </c>
      <c r="B126" s="53" t="s">
        <v>348</v>
      </c>
      <c r="C126" s="197">
        <v>44256</v>
      </c>
      <c r="D126" s="53">
        <v>157.19</v>
      </c>
      <c r="E126" s="53">
        <v>157.19</v>
      </c>
      <c r="F126" s="197" t="s">
        <v>276</v>
      </c>
      <c r="G126" s="197">
        <v>44174</v>
      </c>
      <c r="H126" s="197">
        <v>44231</v>
      </c>
      <c r="I126" s="197">
        <f t="shared" si="12"/>
        <v>44202.5</v>
      </c>
      <c r="J126" s="197">
        <v>44258</v>
      </c>
      <c r="K126" s="102">
        <f t="shared" si="13"/>
        <v>56</v>
      </c>
      <c r="L126" s="53">
        <f t="shared" si="14"/>
        <v>8803</v>
      </c>
      <c r="M126" s="197">
        <v>44258</v>
      </c>
      <c r="N126" s="55">
        <f t="shared" si="15"/>
        <v>0</v>
      </c>
      <c r="O126" s="198">
        <f t="shared" si="16"/>
        <v>0</v>
      </c>
      <c r="P126" s="53"/>
    </row>
    <row r="127" spans="1:16">
      <c r="A127" s="54">
        <f t="shared" si="11"/>
        <v>119</v>
      </c>
      <c r="B127" s="53" t="s">
        <v>349</v>
      </c>
      <c r="C127" s="197">
        <v>44053</v>
      </c>
      <c r="D127" s="53">
        <v>25.06</v>
      </c>
      <c r="E127" s="53">
        <v>25.06</v>
      </c>
      <c r="F127" s="197" t="s">
        <v>276</v>
      </c>
      <c r="G127" s="197">
        <v>44034</v>
      </c>
      <c r="H127" s="197">
        <v>44041</v>
      </c>
      <c r="I127" s="197">
        <f t="shared" si="12"/>
        <v>44037.5</v>
      </c>
      <c r="J127" s="197">
        <v>44054</v>
      </c>
      <c r="K127" s="102">
        <f t="shared" si="13"/>
        <v>17</v>
      </c>
      <c r="L127" s="53">
        <f t="shared" si="14"/>
        <v>426</v>
      </c>
      <c r="M127" s="197">
        <v>44054</v>
      </c>
      <c r="N127" s="55">
        <f t="shared" si="15"/>
        <v>0</v>
      </c>
      <c r="O127" s="198">
        <f t="shared" si="16"/>
        <v>0</v>
      </c>
      <c r="P127" s="53"/>
    </row>
    <row r="128" spans="1:16">
      <c r="A128" s="54">
        <f t="shared" si="11"/>
        <v>120</v>
      </c>
      <c r="B128" s="53" t="s">
        <v>349</v>
      </c>
      <c r="C128" s="197">
        <v>44245</v>
      </c>
      <c r="D128" s="53">
        <v>63.06</v>
      </c>
      <c r="E128" s="53">
        <v>63.06</v>
      </c>
      <c r="F128" s="197" t="s">
        <v>276</v>
      </c>
      <c r="G128" s="197">
        <v>44151</v>
      </c>
      <c r="H128" s="197">
        <v>44232</v>
      </c>
      <c r="I128" s="197">
        <f t="shared" si="12"/>
        <v>44191.5</v>
      </c>
      <c r="J128" s="197">
        <v>44249</v>
      </c>
      <c r="K128" s="102">
        <f t="shared" si="13"/>
        <v>58</v>
      </c>
      <c r="L128" s="53">
        <f t="shared" si="14"/>
        <v>3657</v>
      </c>
      <c r="M128" s="197">
        <v>44249</v>
      </c>
      <c r="N128" s="55">
        <f t="shared" si="15"/>
        <v>0</v>
      </c>
      <c r="O128" s="198">
        <f t="shared" si="16"/>
        <v>0</v>
      </c>
      <c r="P128" s="53"/>
    </row>
    <row r="129" spans="1:16">
      <c r="A129" s="54">
        <f t="shared" si="11"/>
        <v>121</v>
      </c>
      <c r="B129" s="53" t="s">
        <v>350</v>
      </c>
      <c r="C129" s="197">
        <v>43989</v>
      </c>
      <c r="D129" s="53">
        <v>49.71</v>
      </c>
      <c r="E129" s="53">
        <v>49.71</v>
      </c>
      <c r="F129" s="197" t="s">
        <v>336</v>
      </c>
      <c r="G129" s="197">
        <v>43952</v>
      </c>
      <c r="H129" s="197">
        <v>43983</v>
      </c>
      <c r="I129" s="197">
        <f t="shared" si="12"/>
        <v>43967.5</v>
      </c>
      <c r="J129" s="197">
        <v>43999</v>
      </c>
      <c r="K129" s="102">
        <f t="shared" si="13"/>
        <v>32</v>
      </c>
      <c r="L129" s="53">
        <f t="shared" si="14"/>
        <v>1591</v>
      </c>
      <c r="M129" s="197">
        <v>44008</v>
      </c>
      <c r="N129" s="55">
        <f t="shared" si="15"/>
        <v>9</v>
      </c>
      <c r="O129" s="198">
        <f t="shared" si="16"/>
        <v>447</v>
      </c>
      <c r="P129" s="53"/>
    </row>
    <row r="130" spans="1:16">
      <c r="A130" s="54">
        <f t="shared" si="11"/>
        <v>122</v>
      </c>
      <c r="B130" s="53" t="s">
        <v>351</v>
      </c>
      <c r="C130" s="197">
        <v>44112</v>
      </c>
      <c r="D130" s="53">
        <v>126.23</v>
      </c>
      <c r="E130" s="53">
        <v>126.23</v>
      </c>
      <c r="F130" s="197" t="s">
        <v>276</v>
      </c>
      <c r="G130" s="197">
        <v>44111</v>
      </c>
      <c r="H130" s="197">
        <v>44131</v>
      </c>
      <c r="I130" s="197">
        <f t="shared" si="12"/>
        <v>44121</v>
      </c>
      <c r="J130" s="197">
        <v>44134</v>
      </c>
      <c r="K130" s="102">
        <f t="shared" si="13"/>
        <v>13</v>
      </c>
      <c r="L130" s="53">
        <f t="shared" si="14"/>
        <v>1641</v>
      </c>
      <c r="M130" s="197">
        <v>44134</v>
      </c>
      <c r="N130" s="55">
        <f t="shared" si="15"/>
        <v>0</v>
      </c>
      <c r="O130" s="198">
        <f t="shared" si="16"/>
        <v>0</v>
      </c>
      <c r="P130" s="53"/>
    </row>
    <row r="131" spans="1:16">
      <c r="A131" s="54">
        <f t="shared" si="11"/>
        <v>123</v>
      </c>
      <c r="B131" s="53" t="s">
        <v>351</v>
      </c>
      <c r="C131" s="197">
        <v>44176</v>
      </c>
      <c r="D131" s="53">
        <v>983.7</v>
      </c>
      <c r="E131" s="53">
        <v>983.7</v>
      </c>
      <c r="F131" s="197" t="s">
        <v>276</v>
      </c>
      <c r="G131" s="197">
        <v>44174</v>
      </c>
      <c r="H131" s="197">
        <v>44250</v>
      </c>
      <c r="I131" s="197">
        <f t="shared" si="12"/>
        <v>44212</v>
      </c>
      <c r="J131" s="197">
        <v>44223</v>
      </c>
      <c r="K131" s="102">
        <f t="shared" si="13"/>
        <v>11</v>
      </c>
      <c r="L131" s="53">
        <f t="shared" si="14"/>
        <v>10821</v>
      </c>
      <c r="M131" s="197">
        <v>44223</v>
      </c>
      <c r="N131" s="55">
        <f t="shared" si="15"/>
        <v>0</v>
      </c>
      <c r="O131" s="198">
        <f t="shared" si="16"/>
        <v>0</v>
      </c>
      <c r="P131" s="53"/>
    </row>
    <row r="132" spans="1:16">
      <c r="A132" s="54">
        <f t="shared" si="11"/>
        <v>124</v>
      </c>
      <c r="B132" s="53" t="s">
        <v>352</v>
      </c>
      <c r="C132" s="197">
        <v>44019</v>
      </c>
      <c r="D132" s="53">
        <v>1880.94</v>
      </c>
      <c r="E132" s="53">
        <v>1880.94</v>
      </c>
      <c r="F132" s="197" t="s">
        <v>336</v>
      </c>
      <c r="G132" s="197">
        <v>43987</v>
      </c>
      <c r="H132" s="197">
        <v>44019</v>
      </c>
      <c r="I132" s="197">
        <f t="shared" si="12"/>
        <v>44003</v>
      </c>
      <c r="J132" s="197">
        <v>44039</v>
      </c>
      <c r="K132" s="102">
        <f t="shared" si="13"/>
        <v>36</v>
      </c>
      <c r="L132" s="53">
        <f t="shared" si="14"/>
        <v>67714</v>
      </c>
      <c r="M132" s="197">
        <v>44049</v>
      </c>
      <c r="N132" s="55">
        <f t="shared" si="15"/>
        <v>10</v>
      </c>
      <c r="O132" s="198">
        <f t="shared" si="16"/>
        <v>18809</v>
      </c>
      <c r="P132" s="53"/>
    </row>
    <row r="133" spans="1:16">
      <c r="A133" s="54">
        <f t="shared" si="11"/>
        <v>125</v>
      </c>
      <c r="B133" s="53" t="s">
        <v>352</v>
      </c>
      <c r="C133" s="197">
        <v>44048</v>
      </c>
      <c r="D133" s="53">
        <v>192.85</v>
      </c>
      <c r="E133" s="53">
        <v>192.85</v>
      </c>
      <c r="F133" s="197" t="s">
        <v>336</v>
      </c>
      <c r="G133" s="197">
        <v>44019</v>
      </c>
      <c r="H133" s="197">
        <v>44048</v>
      </c>
      <c r="I133" s="197">
        <f t="shared" si="12"/>
        <v>44033.5</v>
      </c>
      <c r="J133" s="197">
        <v>44074</v>
      </c>
      <c r="K133" s="102">
        <f t="shared" si="13"/>
        <v>41</v>
      </c>
      <c r="L133" s="53">
        <f t="shared" si="14"/>
        <v>7907</v>
      </c>
      <c r="M133" s="197">
        <v>44085</v>
      </c>
      <c r="N133" s="55">
        <f t="shared" si="15"/>
        <v>11</v>
      </c>
      <c r="O133" s="198">
        <f t="shared" si="16"/>
        <v>2121</v>
      </c>
      <c r="P133" s="53"/>
    </row>
    <row r="134" spans="1:16">
      <c r="A134" s="54">
        <f t="shared" si="11"/>
        <v>126</v>
      </c>
      <c r="B134" s="53" t="s">
        <v>352</v>
      </c>
      <c r="C134" s="197">
        <v>44144</v>
      </c>
      <c r="D134" s="53">
        <v>27.14</v>
      </c>
      <c r="E134" s="53">
        <v>27.14</v>
      </c>
      <c r="F134" s="197" t="s">
        <v>336</v>
      </c>
      <c r="G134" s="197">
        <v>44113</v>
      </c>
      <c r="H134" s="197">
        <v>44144</v>
      </c>
      <c r="I134" s="197">
        <f t="shared" si="12"/>
        <v>44128.5</v>
      </c>
      <c r="J134" s="197">
        <v>44167</v>
      </c>
      <c r="K134" s="102">
        <f t="shared" si="13"/>
        <v>39</v>
      </c>
      <c r="L134" s="53">
        <f t="shared" si="14"/>
        <v>1058</v>
      </c>
      <c r="M134" s="197">
        <v>44175</v>
      </c>
      <c r="N134" s="55">
        <f t="shared" si="15"/>
        <v>8</v>
      </c>
      <c r="O134" s="198">
        <f t="shared" si="16"/>
        <v>217</v>
      </c>
      <c r="P134" s="53"/>
    </row>
    <row r="135" spans="1:16">
      <c r="A135" s="54">
        <f t="shared" si="11"/>
        <v>127</v>
      </c>
      <c r="B135" s="53" t="s">
        <v>353</v>
      </c>
      <c r="C135" s="197">
        <v>44267</v>
      </c>
      <c r="D135" s="53">
        <v>497.26</v>
      </c>
      <c r="E135" s="53">
        <v>406.52</v>
      </c>
      <c r="F135" s="197" t="s">
        <v>276</v>
      </c>
      <c r="G135" s="197">
        <v>44259</v>
      </c>
      <c r="H135" s="197">
        <v>44265</v>
      </c>
      <c r="I135" s="197">
        <f t="shared" si="12"/>
        <v>44262</v>
      </c>
      <c r="J135" s="197">
        <v>44272</v>
      </c>
      <c r="K135" s="102">
        <f t="shared" si="13"/>
        <v>10</v>
      </c>
      <c r="L135" s="53">
        <f t="shared" si="14"/>
        <v>4065</v>
      </c>
      <c r="M135" s="197">
        <v>44272</v>
      </c>
      <c r="N135" s="55">
        <f t="shared" si="15"/>
        <v>0</v>
      </c>
      <c r="O135" s="198">
        <f t="shared" si="16"/>
        <v>0</v>
      </c>
      <c r="P135" s="53"/>
    </row>
    <row r="136" spans="1:16">
      <c r="A136" s="54">
        <f t="shared" si="11"/>
        <v>128</v>
      </c>
      <c r="B136" s="53" t="s">
        <v>354</v>
      </c>
      <c r="C136" s="197">
        <v>44035</v>
      </c>
      <c r="D136" s="53">
        <v>43.47</v>
      </c>
      <c r="E136" s="53">
        <v>43.47</v>
      </c>
      <c r="F136" s="197" t="s">
        <v>276</v>
      </c>
      <c r="G136" s="197">
        <v>44033</v>
      </c>
      <c r="H136" s="197">
        <v>44033</v>
      </c>
      <c r="I136" s="197">
        <f t="shared" si="12"/>
        <v>44033</v>
      </c>
      <c r="J136" s="197">
        <v>44039</v>
      </c>
      <c r="K136" s="102">
        <f t="shared" si="13"/>
        <v>6</v>
      </c>
      <c r="L136" s="53">
        <f t="shared" si="14"/>
        <v>261</v>
      </c>
      <c r="M136" s="197">
        <v>44039</v>
      </c>
      <c r="N136" s="55">
        <f t="shared" si="15"/>
        <v>0</v>
      </c>
      <c r="O136" s="198">
        <f t="shared" si="16"/>
        <v>0</v>
      </c>
      <c r="P136" s="53"/>
    </row>
    <row r="137" spans="1:16">
      <c r="A137" s="54">
        <f t="shared" si="11"/>
        <v>129</v>
      </c>
      <c r="B137" s="53" t="s">
        <v>355</v>
      </c>
      <c r="C137" s="197">
        <v>43890</v>
      </c>
      <c r="D137" s="53">
        <v>1600</v>
      </c>
      <c r="E137" s="53">
        <v>1600</v>
      </c>
      <c r="F137" s="197" t="s">
        <v>336</v>
      </c>
      <c r="G137" s="197">
        <v>43890</v>
      </c>
      <c r="H137" s="197">
        <v>43890</v>
      </c>
      <c r="I137" s="197">
        <f t="shared" si="12"/>
        <v>43890</v>
      </c>
      <c r="J137" s="197">
        <v>43922</v>
      </c>
      <c r="K137" s="102">
        <f t="shared" si="13"/>
        <v>32</v>
      </c>
      <c r="L137" s="53">
        <f t="shared" si="14"/>
        <v>51200</v>
      </c>
      <c r="M137" s="197">
        <v>43929</v>
      </c>
      <c r="N137" s="55">
        <f t="shared" si="15"/>
        <v>7</v>
      </c>
      <c r="O137" s="198">
        <f t="shared" si="16"/>
        <v>11200</v>
      </c>
      <c r="P137" s="53"/>
    </row>
    <row r="138" spans="1:16">
      <c r="A138" s="54">
        <f t="shared" ref="A138:A201" si="17">1+A137</f>
        <v>130</v>
      </c>
      <c r="B138" s="53" t="s">
        <v>356</v>
      </c>
      <c r="C138" s="197">
        <v>44073</v>
      </c>
      <c r="D138" s="53">
        <v>150</v>
      </c>
      <c r="E138" s="53">
        <v>150</v>
      </c>
      <c r="F138" s="197" t="s">
        <v>336</v>
      </c>
      <c r="G138" s="197">
        <v>44073</v>
      </c>
      <c r="H138" s="197">
        <v>44073</v>
      </c>
      <c r="I138" s="197">
        <f t="shared" ref="I138:I201" si="18">IF(H138&lt;1," ",(((H138-G138)/2)+G138))</f>
        <v>44073</v>
      </c>
      <c r="J138" s="197">
        <v>44116</v>
      </c>
      <c r="K138" s="102">
        <f t="shared" ref="K138:K201" si="19">(ROUND(IF(H138&lt;1,J138-C138,J138-I138),0))</f>
        <v>43</v>
      </c>
      <c r="L138" s="53">
        <f t="shared" ref="L138:L201" si="20">ROUND(K138*E138,0)</f>
        <v>6450</v>
      </c>
      <c r="M138" s="197">
        <v>44123</v>
      </c>
      <c r="N138" s="55">
        <f t="shared" ref="N138:N201" si="21">IF(M138="",0,M138-J138)</f>
        <v>7</v>
      </c>
      <c r="O138" s="198">
        <f t="shared" ref="O138:O201" si="22">ROUND(+N138*E138,0)</f>
        <v>1050</v>
      </c>
      <c r="P138" s="53"/>
    </row>
    <row r="139" spans="1:16">
      <c r="A139" s="54">
        <f t="shared" si="17"/>
        <v>131</v>
      </c>
      <c r="B139" s="53" t="s">
        <v>357</v>
      </c>
      <c r="C139" s="197">
        <v>43993</v>
      </c>
      <c r="D139" s="53">
        <v>21.34</v>
      </c>
      <c r="E139" s="53">
        <v>22.62</v>
      </c>
      <c r="F139" s="197" t="s">
        <v>336</v>
      </c>
      <c r="G139" s="197">
        <v>43966</v>
      </c>
      <c r="H139" s="197">
        <v>43993</v>
      </c>
      <c r="I139" s="197">
        <f t="shared" si="18"/>
        <v>43979.5</v>
      </c>
      <c r="J139" s="197">
        <v>44025</v>
      </c>
      <c r="K139" s="102">
        <f t="shared" si="19"/>
        <v>46</v>
      </c>
      <c r="L139" s="53">
        <f t="shared" si="20"/>
        <v>1041</v>
      </c>
      <c r="M139" s="197">
        <v>44034</v>
      </c>
      <c r="N139" s="55">
        <f t="shared" si="21"/>
        <v>9</v>
      </c>
      <c r="O139" s="198">
        <f t="shared" si="22"/>
        <v>204</v>
      </c>
      <c r="P139" s="53"/>
    </row>
    <row r="140" spans="1:16">
      <c r="A140" s="54">
        <f t="shared" si="17"/>
        <v>132</v>
      </c>
      <c r="B140" s="53" t="s">
        <v>357</v>
      </c>
      <c r="C140" s="197">
        <v>44062</v>
      </c>
      <c r="D140" s="53">
        <v>21.97</v>
      </c>
      <c r="E140" s="53">
        <v>23.29</v>
      </c>
      <c r="F140" s="197" t="s">
        <v>336</v>
      </c>
      <c r="G140" s="197">
        <v>44032</v>
      </c>
      <c r="H140" s="197">
        <v>44062</v>
      </c>
      <c r="I140" s="197">
        <f t="shared" si="18"/>
        <v>44047</v>
      </c>
      <c r="J140" s="197">
        <v>44088</v>
      </c>
      <c r="K140" s="102">
        <f t="shared" si="19"/>
        <v>41</v>
      </c>
      <c r="L140" s="53">
        <f t="shared" si="20"/>
        <v>955</v>
      </c>
      <c r="M140" s="197">
        <v>44097</v>
      </c>
      <c r="N140" s="55">
        <f t="shared" si="21"/>
        <v>9</v>
      </c>
      <c r="O140" s="198">
        <f t="shared" si="22"/>
        <v>210</v>
      </c>
      <c r="P140" s="53"/>
    </row>
    <row r="141" spans="1:16">
      <c r="A141" s="54">
        <f t="shared" si="17"/>
        <v>133</v>
      </c>
      <c r="B141" s="53" t="s">
        <v>358</v>
      </c>
      <c r="C141" s="197">
        <v>43971</v>
      </c>
      <c r="D141" s="53">
        <v>985.77</v>
      </c>
      <c r="E141" s="53">
        <v>1044.92</v>
      </c>
      <c r="F141" s="197" t="s">
        <v>276</v>
      </c>
      <c r="G141" s="197">
        <v>43953</v>
      </c>
      <c r="H141" s="197">
        <v>43953</v>
      </c>
      <c r="I141" s="197">
        <f t="shared" si="18"/>
        <v>43953</v>
      </c>
      <c r="J141" s="197">
        <v>43997</v>
      </c>
      <c r="K141" s="102">
        <f t="shared" si="19"/>
        <v>44</v>
      </c>
      <c r="L141" s="53">
        <f t="shared" si="20"/>
        <v>45976</v>
      </c>
      <c r="M141" s="197">
        <v>43997</v>
      </c>
      <c r="N141" s="55">
        <f t="shared" si="21"/>
        <v>0</v>
      </c>
      <c r="O141" s="198">
        <f t="shared" si="22"/>
        <v>0</v>
      </c>
      <c r="P141" s="53"/>
    </row>
    <row r="142" spans="1:16">
      <c r="A142" s="54">
        <f t="shared" si="17"/>
        <v>134</v>
      </c>
      <c r="B142" s="53" t="s">
        <v>359</v>
      </c>
      <c r="C142" s="197">
        <v>44197</v>
      </c>
      <c r="D142" s="53">
        <v>400</v>
      </c>
      <c r="E142" s="53">
        <v>400</v>
      </c>
      <c r="F142" s="197" t="s">
        <v>336</v>
      </c>
      <c r="G142" s="197">
        <v>44197</v>
      </c>
      <c r="H142" s="197">
        <v>44561</v>
      </c>
      <c r="I142" s="197">
        <f t="shared" si="18"/>
        <v>44379</v>
      </c>
      <c r="J142" s="197">
        <v>44200</v>
      </c>
      <c r="K142" s="102">
        <f t="shared" si="19"/>
        <v>-179</v>
      </c>
      <c r="L142" s="53">
        <f t="shared" si="20"/>
        <v>-71600</v>
      </c>
      <c r="M142" s="197">
        <v>44224</v>
      </c>
      <c r="N142" s="55">
        <f t="shared" si="21"/>
        <v>24</v>
      </c>
      <c r="O142" s="198">
        <f t="shared" si="22"/>
        <v>9600</v>
      </c>
      <c r="P142" s="53"/>
    </row>
    <row r="143" spans="1:16">
      <c r="A143" s="54">
        <f t="shared" si="17"/>
        <v>135</v>
      </c>
      <c r="B143" s="53" t="s">
        <v>360</v>
      </c>
      <c r="C143" s="197">
        <v>43983</v>
      </c>
      <c r="D143" s="53">
        <v>6.72</v>
      </c>
      <c r="E143" s="53">
        <v>7.12</v>
      </c>
      <c r="F143" s="197" t="s">
        <v>336</v>
      </c>
      <c r="G143" s="197">
        <v>43952</v>
      </c>
      <c r="H143" s="197">
        <v>44012</v>
      </c>
      <c r="I143" s="197">
        <f t="shared" si="18"/>
        <v>43982</v>
      </c>
      <c r="J143" s="197">
        <v>44018</v>
      </c>
      <c r="K143" s="102">
        <f t="shared" si="19"/>
        <v>36</v>
      </c>
      <c r="L143" s="53">
        <f t="shared" si="20"/>
        <v>256</v>
      </c>
      <c r="M143" s="197">
        <v>44027</v>
      </c>
      <c r="N143" s="55">
        <f t="shared" si="21"/>
        <v>9</v>
      </c>
      <c r="O143" s="198">
        <f t="shared" si="22"/>
        <v>64</v>
      </c>
      <c r="P143" s="53"/>
    </row>
    <row r="144" spans="1:16">
      <c r="A144" s="54">
        <f t="shared" si="17"/>
        <v>136</v>
      </c>
      <c r="B144" s="53" t="s">
        <v>361</v>
      </c>
      <c r="C144" s="197">
        <v>44035</v>
      </c>
      <c r="D144" s="53">
        <v>52.36</v>
      </c>
      <c r="E144" s="53">
        <v>52.36</v>
      </c>
      <c r="F144" s="197" t="s">
        <v>336</v>
      </c>
      <c r="G144" s="197">
        <v>43991</v>
      </c>
      <c r="H144" s="197">
        <v>44021</v>
      </c>
      <c r="I144" s="197">
        <f t="shared" si="18"/>
        <v>44006</v>
      </c>
      <c r="J144" s="197">
        <v>44046</v>
      </c>
      <c r="K144" s="102">
        <f t="shared" si="19"/>
        <v>40</v>
      </c>
      <c r="L144" s="53">
        <f t="shared" si="20"/>
        <v>2094</v>
      </c>
      <c r="M144" s="197">
        <v>44060</v>
      </c>
      <c r="N144" s="55">
        <f t="shared" si="21"/>
        <v>14</v>
      </c>
      <c r="O144" s="198">
        <f t="shared" si="22"/>
        <v>733</v>
      </c>
      <c r="P144" s="53"/>
    </row>
    <row r="145" spans="1:16">
      <c r="A145" s="54">
        <f t="shared" si="17"/>
        <v>137</v>
      </c>
      <c r="B145" s="53" t="s">
        <v>361</v>
      </c>
      <c r="C145" s="197">
        <v>44067</v>
      </c>
      <c r="D145" s="53">
        <v>52.36</v>
      </c>
      <c r="E145" s="53">
        <v>52.36</v>
      </c>
      <c r="F145" s="197" t="s">
        <v>336</v>
      </c>
      <c r="G145" s="197">
        <v>44021</v>
      </c>
      <c r="H145" s="197">
        <v>44053</v>
      </c>
      <c r="I145" s="197">
        <f t="shared" si="18"/>
        <v>44037</v>
      </c>
      <c r="J145" s="197">
        <v>44083</v>
      </c>
      <c r="K145" s="102">
        <f t="shared" si="19"/>
        <v>46</v>
      </c>
      <c r="L145" s="53">
        <f t="shared" si="20"/>
        <v>2409</v>
      </c>
      <c r="M145" s="197">
        <v>44095</v>
      </c>
      <c r="N145" s="55">
        <f t="shared" si="21"/>
        <v>12</v>
      </c>
      <c r="O145" s="198">
        <f t="shared" si="22"/>
        <v>628</v>
      </c>
      <c r="P145" s="53"/>
    </row>
    <row r="146" spans="1:16">
      <c r="A146" s="54">
        <f t="shared" si="17"/>
        <v>138</v>
      </c>
      <c r="B146" s="53" t="s">
        <v>362</v>
      </c>
      <c r="C146" s="197">
        <v>43928</v>
      </c>
      <c r="D146" s="53">
        <v>44.52</v>
      </c>
      <c r="E146" s="53">
        <v>44.52</v>
      </c>
      <c r="F146" s="197" t="s">
        <v>336</v>
      </c>
      <c r="G146" s="197">
        <v>43928</v>
      </c>
      <c r="H146" s="197">
        <v>43928</v>
      </c>
      <c r="I146" s="197">
        <f t="shared" si="18"/>
        <v>43928</v>
      </c>
      <c r="J146" s="197">
        <v>43934</v>
      </c>
      <c r="K146" s="102">
        <f t="shared" si="19"/>
        <v>6</v>
      </c>
      <c r="L146" s="53">
        <f t="shared" si="20"/>
        <v>267</v>
      </c>
      <c r="M146" s="197">
        <v>43942</v>
      </c>
      <c r="N146" s="55">
        <f t="shared" si="21"/>
        <v>8</v>
      </c>
      <c r="O146" s="198">
        <f t="shared" si="22"/>
        <v>356</v>
      </c>
      <c r="P146" s="53"/>
    </row>
    <row r="147" spans="1:16">
      <c r="A147" s="54">
        <f t="shared" si="17"/>
        <v>139</v>
      </c>
      <c r="B147" s="53" t="s">
        <v>362</v>
      </c>
      <c r="C147" s="197">
        <v>43965</v>
      </c>
      <c r="D147" s="53">
        <v>111.3</v>
      </c>
      <c r="E147" s="53">
        <v>111.3</v>
      </c>
      <c r="F147" s="197" t="s">
        <v>336</v>
      </c>
      <c r="G147" s="197">
        <v>43965</v>
      </c>
      <c r="H147" s="197">
        <v>43965</v>
      </c>
      <c r="I147" s="197">
        <f t="shared" si="18"/>
        <v>43965</v>
      </c>
      <c r="J147" s="197">
        <v>43971</v>
      </c>
      <c r="K147" s="102">
        <f t="shared" si="19"/>
        <v>6</v>
      </c>
      <c r="L147" s="53">
        <f t="shared" si="20"/>
        <v>668</v>
      </c>
      <c r="M147" s="197">
        <v>43979</v>
      </c>
      <c r="N147" s="55">
        <f t="shared" si="21"/>
        <v>8</v>
      </c>
      <c r="O147" s="198">
        <f t="shared" si="22"/>
        <v>890</v>
      </c>
      <c r="P147" s="53"/>
    </row>
    <row r="148" spans="1:16">
      <c r="A148" s="54">
        <f t="shared" si="17"/>
        <v>140</v>
      </c>
      <c r="B148" s="53" t="s">
        <v>363</v>
      </c>
      <c r="C148" s="197">
        <v>44052</v>
      </c>
      <c r="D148" s="53">
        <v>58.3</v>
      </c>
      <c r="E148" s="53">
        <v>61.8</v>
      </c>
      <c r="F148" s="197" t="s">
        <v>336</v>
      </c>
      <c r="G148" s="197">
        <v>44018</v>
      </c>
      <c r="H148" s="197">
        <v>44045</v>
      </c>
      <c r="I148" s="197">
        <f t="shared" si="18"/>
        <v>44031.5</v>
      </c>
      <c r="J148" s="197">
        <v>44083</v>
      </c>
      <c r="K148" s="102">
        <f t="shared" si="19"/>
        <v>52</v>
      </c>
      <c r="L148" s="53">
        <f t="shared" si="20"/>
        <v>3214</v>
      </c>
      <c r="M148" s="197">
        <v>44095</v>
      </c>
      <c r="N148" s="55">
        <f t="shared" si="21"/>
        <v>12</v>
      </c>
      <c r="O148" s="198">
        <f t="shared" si="22"/>
        <v>742</v>
      </c>
      <c r="P148" s="53"/>
    </row>
    <row r="149" spans="1:16">
      <c r="A149" s="54">
        <f t="shared" si="17"/>
        <v>141</v>
      </c>
      <c r="B149" s="53" t="s">
        <v>364</v>
      </c>
      <c r="C149" s="197">
        <v>44154</v>
      </c>
      <c r="D149" s="53">
        <v>259.82</v>
      </c>
      <c r="E149" s="53">
        <v>259.82</v>
      </c>
      <c r="F149" s="197" t="s">
        <v>276</v>
      </c>
      <c r="G149" s="197">
        <v>44099</v>
      </c>
      <c r="H149" s="197">
        <v>44152</v>
      </c>
      <c r="I149" s="197">
        <f t="shared" si="18"/>
        <v>44125.5</v>
      </c>
      <c r="J149" s="197">
        <v>44158</v>
      </c>
      <c r="K149" s="102">
        <f t="shared" si="19"/>
        <v>33</v>
      </c>
      <c r="L149" s="53">
        <f t="shared" si="20"/>
        <v>8574</v>
      </c>
      <c r="M149" s="197">
        <v>44158</v>
      </c>
      <c r="N149" s="55">
        <f t="shared" si="21"/>
        <v>0</v>
      </c>
      <c r="O149" s="198">
        <f t="shared" si="22"/>
        <v>0</v>
      </c>
      <c r="P149" s="53"/>
    </row>
    <row r="150" spans="1:16">
      <c r="A150" s="54">
        <f t="shared" si="17"/>
        <v>142</v>
      </c>
      <c r="B150" s="53" t="s">
        <v>365</v>
      </c>
      <c r="C150" s="197">
        <v>44020</v>
      </c>
      <c r="D150" s="53">
        <v>157.44</v>
      </c>
      <c r="E150" s="53">
        <v>157.44</v>
      </c>
      <c r="F150" s="197" t="s">
        <v>336</v>
      </c>
      <c r="G150" s="197">
        <v>43990</v>
      </c>
      <c r="H150" s="197">
        <v>44020</v>
      </c>
      <c r="I150" s="197">
        <f t="shared" si="18"/>
        <v>44005</v>
      </c>
      <c r="J150" s="197">
        <v>44032</v>
      </c>
      <c r="K150" s="102">
        <f t="shared" si="19"/>
        <v>27</v>
      </c>
      <c r="L150" s="53">
        <f t="shared" si="20"/>
        <v>4251</v>
      </c>
      <c r="M150" s="197">
        <v>44047</v>
      </c>
      <c r="N150" s="55">
        <f t="shared" si="21"/>
        <v>15</v>
      </c>
      <c r="O150" s="198">
        <f t="shared" si="22"/>
        <v>2362</v>
      </c>
      <c r="P150" s="53"/>
    </row>
    <row r="151" spans="1:16">
      <c r="A151" s="54">
        <f t="shared" si="17"/>
        <v>143</v>
      </c>
      <c r="B151" s="53" t="s">
        <v>365</v>
      </c>
      <c r="C151" s="197">
        <v>44112</v>
      </c>
      <c r="D151" s="53">
        <v>163.57</v>
      </c>
      <c r="E151" s="53">
        <v>163.57</v>
      </c>
      <c r="F151" s="197" t="s">
        <v>336</v>
      </c>
      <c r="G151" s="197">
        <v>44082</v>
      </c>
      <c r="H151" s="197">
        <v>44112</v>
      </c>
      <c r="I151" s="197">
        <f t="shared" si="18"/>
        <v>44097</v>
      </c>
      <c r="J151" s="197">
        <v>44123</v>
      </c>
      <c r="K151" s="102">
        <f t="shared" si="19"/>
        <v>26</v>
      </c>
      <c r="L151" s="53">
        <f t="shared" si="20"/>
        <v>4253</v>
      </c>
      <c r="M151" s="197">
        <v>44140</v>
      </c>
      <c r="N151" s="55">
        <f t="shared" si="21"/>
        <v>17</v>
      </c>
      <c r="O151" s="198">
        <f t="shared" si="22"/>
        <v>2781</v>
      </c>
      <c r="P151" s="53"/>
    </row>
    <row r="152" spans="1:16">
      <c r="A152" s="54">
        <f t="shared" si="17"/>
        <v>144</v>
      </c>
      <c r="B152" s="53" t="s">
        <v>365</v>
      </c>
      <c r="C152" s="197">
        <v>44143</v>
      </c>
      <c r="D152" s="53">
        <v>153.57</v>
      </c>
      <c r="E152" s="53">
        <v>153.57</v>
      </c>
      <c r="F152" s="197" t="s">
        <v>276</v>
      </c>
      <c r="G152" s="197">
        <v>44112</v>
      </c>
      <c r="H152" s="197">
        <v>44143</v>
      </c>
      <c r="I152" s="197">
        <f t="shared" si="18"/>
        <v>44127.5</v>
      </c>
      <c r="J152" s="197">
        <v>44148</v>
      </c>
      <c r="K152" s="102">
        <f t="shared" si="19"/>
        <v>21</v>
      </c>
      <c r="L152" s="53">
        <f t="shared" si="20"/>
        <v>3225</v>
      </c>
      <c r="M152" s="197">
        <v>44148</v>
      </c>
      <c r="N152" s="55">
        <f t="shared" si="21"/>
        <v>0</v>
      </c>
      <c r="O152" s="198">
        <f t="shared" si="22"/>
        <v>0</v>
      </c>
      <c r="P152" s="53"/>
    </row>
    <row r="153" spans="1:16">
      <c r="A153" s="54">
        <f t="shared" si="17"/>
        <v>145</v>
      </c>
      <c r="B153" s="53" t="s">
        <v>365</v>
      </c>
      <c r="C153" s="197">
        <v>44157</v>
      </c>
      <c r="D153" s="53">
        <v>324.86</v>
      </c>
      <c r="E153" s="53">
        <v>324.86</v>
      </c>
      <c r="F153" s="197" t="s">
        <v>336</v>
      </c>
      <c r="G153" s="197">
        <v>44126</v>
      </c>
      <c r="H153" s="197">
        <v>44157</v>
      </c>
      <c r="I153" s="197">
        <f t="shared" si="18"/>
        <v>44141.5</v>
      </c>
      <c r="J153" s="197">
        <v>44167</v>
      </c>
      <c r="K153" s="102">
        <f t="shared" si="19"/>
        <v>26</v>
      </c>
      <c r="L153" s="53">
        <f t="shared" si="20"/>
        <v>8446</v>
      </c>
      <c r="M153" s="197">
        <v>44179</v>
      </c>
      <c r="N153" s="55">
        <f t="shared" si="21"/>
        <v>12</v>
      </c>
      <c r="O153" s="198">
        <f t="shared" si="22"/>
        <v>3898</v>
      </c>
      <c r="P153" s="53"/>
    </row>
    <row r="154" spans="1:16">
      <c r="A154" s="54">
        <f t="shared" si="17"/>
        <v>146</v>
      </c>
      <c r="B154" s="53" t="s">
        <v>365</v>
      </c>
      <c r="C154" s="197">
        <v>44235</v>
      </c>
      <c r="D154" s="53">
        <v>176.75</v>
      </c>
      <c r="E154" s="53">
        <v>176.75</v>
      </c>
      <c r="F154" s="197" t="s">
        <v>276</v>
      </c>
      <c r="G154" s="197">
        <v>44204</v>
      </c>
      <c r="H154" s="197">
        <v>44235</v>
      </c>
      <c r="I154" s="197">
        <f t="shared" si="18"/>
        <v>44219.5</v>
      </c>
      <c r="J154" s="197">
        <v>44238</v>
      </c>
      <c r="K154" s="102">
        <f t="shared" si="19"/>
        <v>19</v>
      </c>
      <c r="L154" s="53">
        <f t="shared" si="20"/>
        <v>3358</v>
      </c>
      <c r="M154" s="197">
        <v>44238</v>
      </c>
      <c r="N154" s="55">
        <f t="shared" si="21"/>
        <v>0</v>
      </c>
      <c r="O154" s="198">
        <f t="shared" si="22"/>
        <v>0</v>
      </c>
      <c r="P154" s="53"/>
    </row>
    <row r="155" spans="1:16">
      <c r="A155" s="54">
        <f t="shared" si="17"/>
        <v>147</v>
      </c>
      <c r="B155" s="53" t="s">
        <v>366</v>
      </c>
      <c r="C155" s="197">
        <v>44033</v>
      </c>
      <c r="D155" s="53">
        <v>33.93</v>
      </c>
      <c r="E155" s="53">
        <v>33.93</v>
      </c>
      <c r="F155" s="197" t="s">
        <v>276</v>
      </c>
      <c r="G155" s="197">
        <v>44033</v>
      </c>
      <c r="H155" s="197">
        <v>44033</v>
      </c>
      <c r="I155" s="197">
        <f t="shared" si="18"/>
        <v>44033</v>
      </c>
      <c r="J155" s="197">
        <v>44035</v>
      </c>
      <c r="K155" s="102">
        <f t="shared" si="19"/>
        <v>2</v>
      </c>
      <c r="L155" s="53">
        <f t="shared" si="20"/>
        <v>68</v>
      </c>
      <c r="M155" s="197">
        <v>44035</v>
      </c>
      <c r="N155" s="55">
        <f t="shared" si="21"/>
        <v>0</v>
      </c>
      <c r="O155" s="198">
        <f t="shared" si="22"/>
        <v>0</v>
      </c>
      <c r="P155" s="53"/>
    </row>
    <row r="156" spans="1:16">
      <c r="A156" s="54">
        <f t="shared" si="17"/>
        <v>148</v>
      </c>
      <c r="B156" s="53" t="s">
        <v>366</v>
      </c>
      <c r="C156" s="197">
        <v>44074</v>
      </c>
      <c r="D156" s="53">
        <v>40.07</v>
      </c>
      <c r="E156" s="53">
        <v>40.07</v>
      </c>
      <c r="F156" s="197" t="s">
        <v>276</v>
      </c>
      <c r="G156" s="197">
        <v>44068</v>
      </c>
      <c r="H156" s="197">
        <v>44068</v>
      </c>
      <c r="I156" s="197">
        <f t="shared" si="18"/>
        <v>44068</v>
      </c>
      <c r="J156" s="197">
        <v>44077</v>
      </c>
      <c r="K156" s="102">
        <f t="shared" si="19"/>
        <v>9</v>
      </c>
      <c r="L156" s="53">
        <f t="shared" si="20"/>
        <v>361</v>
      </c>
      <c r="M156" s="197">
        <v>44077</v>
      </c>
      <c r="N156" s="55">
        <f t="shared" si="21"/>
        <v>0</v>
      </c>
      <c r="O156" s="198">
        <f t="shared" si="22"/>
        <v>0</v>
      </c>
      <c r="P156" s="53"/>
    </row>
    <row r="157" spans="1:16">
      <c r="A157" s="54">
        <f t="shared" si="17"/>
        <v>149</v>
      </c>
      <c r="B157" s="53" t="s">
        <v>367</v>
      </c>
      <c r="C157" s="197">
        <v>44197</v>
      </c>
      <c r="D157" s="53">
        <v>208.39</v>
      </c>
      <c r="E157" s="53">
        <v>208.39</v>
      </c>
      <c r="F157" s="197" t="s">
        <v>336</v>
      </c>
      <c r="G157" s="197">
        <v>44203</v>
      </c>
      <c r="H157" s="197">
        <v>44598</v>
      </c>
      <c r="I157" s="197">
        <f t="shared" si="18"/>
        <v>44400.5</v>
      </c>
      <c r="J157" s="197">
        <v>44207</v>
      </c>
      <c r="K157" s="102">
        <f t="shared" si="19"/>
        <v>-194</v>
      </c>
      <c r="L157" s="53">
        <f t="shared" si="20"/>
        <v>-40428</v>
      </c>
      <c r="M157" s="197">
        <v>44217</v>
      </c>
      <c r="N157" s="55">
        <f t="shared" si="21"/>
        <v>10</v>
      </c>
      <c r="O157" s="198">
        <f t="shared" si="22"/>
        <v>2084</v>
      </c>
      <c r="P157" s="53"/>
    </row>
    <row r="158" spans="1:16">
      <c r="A158" s="54">
        <f t="shared" si="17"/>
        <v>150</v>
      </c>
      <c r="B158" s="53" t="s">
        <v>368</v>
      </c>
      <c r="C158" s="197">
        <v>43971</v>
      </c>
      <c r="D158" s="53">
        <v>306.27</v>
      </c>
      <c r="E158" s="53">
        <v>306.27</v>
      </c>
      <c r="F158" s="197" t="s">
        <v>336</v>
      </c>
      <c r="G158" s="197">
        <v>43971</v>
      </c>
      <c r="H158" s="197">
        <v>43971</v>
      </c>
      <c r="I158" s="197">
        <f t="shared" si="18"/>
        <v>43971</v>
      </c>
      <c r="J158" s="197">
        <v>43986</v>
      </c>
      <c r="K158" s="102">
        <f t="shared" si="19"/>
        <v>15</v>
      </c>
      <c r="L158" s="53">
        <f t="shared" si="20"/>
        <v>4594</v>
      </c>
      <c r="M158" s="197">
        <v>43991</v>
      </c>
      <c r="N158" s="55">
        <f t="shared" si="21"/>
        <v>5</v>
      </c>
      <c r="O158" s="198">
        <f t="shared" si="22"/>
        <v>1531</v>
      </c>
      <c r="P158" s="53"/>
    </row>
    <row r="159" spans="1:16">
      <c r="A159" s="54">
        <f t="shared" si="17"/>
        <v>151</v>
      </c>
      <c r="B159" s="53" t="s">
        <v>369</v>
      </c>
      <c r="C159" s="197">
        <v>44204</v>
      </c>
      <c r="D159" s="53">
        <v>159</v>
      </c>
      <c r="E159" s="53">
        <v>159</v>
      </c>
      <c r="F159" s="197" t="s">
        <v>276</v>
      </c>
      <c r="G159" s="197">
        <v>44204</v>
      </c>
      <c r="H159" s="197">
        <v>44204</v>
      </c>
      <c r="I159" s="197">
        <f t="shared" si="18"/>
        <v>44204</v>
      </c>
      <c r="J159" s="197">
        <v>44222</v>
      </c>
      <c r="K159" s="102">
        <f t="shared" si="19"/>
        <v>18</v>
      </c>
      <c r="L159" s="53">
        <f t="shared" si="20"/>
        <v>2862</v>
      </c>
      <c r="M159" s="197">
        <v>44222</v>
      </c>
      <c r="N159" s="55">
        <f t="shared" si="21"/>
        <v>0</v>
      </c>
      <c r="O159" s="198">
        <f t="shared" si="22"/>
        <v>0</v>
      </c>
      <c r="P159" s="53"/>
    </row>
    <row r="160" spans="1:16">
      <c r="A160" s="54">
        <f t="shared" si="17"/>
        <v>152</v>
      </c>
      <c r="B160" s="53" t="s">
        <v>370</v>
      </c>
      <c r="C160" s="197">
        <v>43928</v>
      </c>
      <c r="D160" s="53">
        <v>244.86</v>
      </c>
      <c r="E160" s="53">
        <v>244.86</v>
      </c>
      <c r="F160" s="197" t="s">
        <v>276</v>
      </c>
      <c r="G160" s="197">
        <v>43928</v>
      </c>
      <c r="H160" s="197">
        <v>43928</v>
      </c>
      <c r="I160" s="197">
        <f t="shared" si="18"/>
        <v>43928</v>
      </c>
      <c r="J160" s="197">
        <v>43955</v>
      </c>
      <c r="K160" s="102">
        <f t="shared" si="19"/>
        <v>27</v>
      </c>
      <c r="L160" s="53">
        <f t="shared" si="20"/>
        <v>6611</v>
      </c>
      <c r="M160" s="197">
        <v>43955</v>
      </c>
      <c r="N160" s="55">
        <f t="shared" si="21"/>
        <v>0</v>
      </c>
      <c r="O160" s="198">
        <f t="shared" si="22"/>
        <v>0</v>
      </c>
      <c r="P160" s="53"/>
    </row>
    <row r="161" spans="1:16">
      <c r="A161" s="54">
        <f t="shared" si="17"/>
        <v>153</v>
      </c>
      <c r="B161" s="53" t="s">
        <v>370</v>
      </c>
      <c r="C161" s="197">
        <v>43952</v>
      </c>
      <c r="D161" s="53">
        <v>488.49</v>
      </c>
      <c r="E161" s="53">
        <v>488.49</v>
      </c>
      <c r="F161" s="197" t="s">
        <v>276</v>
      </c>
      <c r="G161" s="197">
        <v>43952</v>
      </c>
      <c r="H161" s="197">
        <v>43952</v>
      </c>
      <c r="I161" s="197">
        <f t="shared" si="18"/>
        <v>43952</v>
      </c>
      <c r="J161" s="197">
        <v>43977</v>
      </c>
      <c r="K161" s="102">
        <f t="shared" si="19"/>
        <v>25</v>
      </c>
      <c r="L161" s="53">
        <f t="shared" si="20"/>
        <v>12212</v>
      </c>
      <c r="M161" s="197">
        <v>43977</v>
      </c>
      <c r="N161" s="55">
        <f t="shared" si="21"/>
        <v>0</v>
      </c>
      <c r="O161" s="198">
        <f t="shared" si="22"/>
        <v>0</v>
      </c>
      <c r="P161" s="53"/>
    </row>
    <row r="162" spans="1:16">
      <c r="A162" s="54">
        <f t="shared" si="17"/>
        <v>154</v>
      </c>
      <c r="B162" s="53" t="s">
        <v>370</v>
      </c>
      <c r="C162" s="197">
        <v>44207</v>
      </c>
      <c r="D162" s="53">
        <v>942.82</v>
      </c>
      <c r="E162" s="53">
        <v>942.82</v>
      </c>
      <c r="F162" s="197" t="s">
        <v>276</v>
      </c>
      <c r="G162" s="197">
        <v>44207</v>
      </c>
      <c r="H162" s="197">
        <v>44207</v>
      </c>
      <c r="I162" s="197">
        <f t="shared" si="18"/>
        <v>44207</v>
      </c>
      <c r="J162" s="197">
        <v>44232</v>
      </c>
      <c r="K162" s="102">
        <f t="shared" si="19"/>
        <v>25</v>
      </c>
      <c r="L162" s="53">
        <f t="shared" si="20"/>
        <v>23571</v>
      </c>
      <c r="M162" s="197">
        <v>44232</v>
      </c>
      <c r="N162" s="55">
        <f t="shared" si="21"/>
        <v>0</v>
      </c>
      <c r="O162" s="198">
        <f t="shared" si="22"/>
        <v>0</v>
      </c>
      <c r="P162" s="53"/>
    </row>
    <row r="163" spans="1:16">
      <c r="A163" s="54">
        <f t="shared" si="17"/>
        <v>155</v>
      </c>
      <c r="B163" s="53" t="s">
        <v>277</v>
      </c>
      <c r="C163" s="197">
        <v>43927</v>
      </c>
      <c r="D163" s="53">
        <v>1100412.18</v>
      </c>
      <c r="E163" s="53">
        <f ca="1">+'WP 5-2'!E32</f>
        <v>20999.911804130417</v>
      </c>
      <c r="F163" s="197" t="s">
        <v>276</v>
      </c>
      <c r="G163" s="197">
        <v>43891</v>
      </c>
      <c r="H163" s="197">
        <v>43921</v>
      </c>
      <c r="I163" s="197">
        <f t="shared" si="18"/>
        <v>43906</v>
      </c>
      <c r="J163" s="197">
        <v>43928</v>
      </c>
      <c r="K163" s="102">
        <f t="shared" si="19"/>
        <v>22</v>
      </c>
      <c r="L163" s="53">
        <f t="shared" ca="1" si="20"/>
        <v>461998</v>
      </c>
      <c r="M163" s="197">
        <v>43928</v>
      </c>
      <c r="N163" s="55">
        <f t="shared" si="21"/>
        <v>0</v>
      </c>
      <c r="O163" s="198">
        <f t="shared" ca="1" si="22"/>
        <v>0</v>
      </c>
      <c r="P163" s="53"/>
    </row>
    <row r="164" spans="1:16">
      <c r="A164" s="54">
        <f t="shared" si="17"/>
        <v>156</v>
      </c>
      <c r="B164" s="53" t="s">
        <v>371</v>
      </c>
      <c r="C164" s="197">
        <v>44217</v>
      </c>
      <c r="D164" s="53">
        <v>170.14</v>
      </c>
      <c r="E164" s="53">
        <v>170.14</v>
      </c>
      <c r="F164" s="197" t="s">
        <v>336</v>
      </c>
      <c r="G164" s="197">
        <v>44187</v>
      </c>
      <c r="H164" s="197">
        <v>44217</v>
      </c>
      <c r="I164" s="197">
        <f t="shared" si="18"/>
        <v>44202</v>
      </c>
      <c r="J164" s="197">
        <v>44223</v>
      </c>
      <c r="K164" s="102">
        <f t="shared" si="19"/>
        <v>21</v>
      </c>
      <c r="L164" s="53">
        <f t="shared" si="20"/>
        <v>3573</v>
      </c>
      <c r="M164" s="197">
        <v>44230</v>
      </c>
      <c r="N164" s="55">
        <f t="shared" si="21"/>
        <v>7</v>
      </c>
      <c r="O164" s="198">
        <f t="shared" si="22"/>
        <v>1191</v>
      </c>
      <c r="P164" s="53"/>
    </row>
    <row r="165" spans="1:16">
      <c r="A165" s="54">
        <f t="shared" si="17"/>
        <v>157</v>
      </c>
      <c r="B165" s="53" t="s">
        <v>372</v>
      </c>
      <c r="C165" s="197">
        <v>44141</v>
      </c>
      <c r="D165" s="53">
        <v>126</v>
      </c>
      <c r="E165" s="53">
        <v>126</v>
      </c>
      <c r="F165" s="197" t="s">
        <v>276</v>
      </c>
      <c r="G165" s="197">
        <v>44127</v>
      </c>
      <c r="H165" s="197">
        <v>44127</v>
      </c>
      <c r="I165" s="197">
        <f t="shared" si="18"/>
        <v>44127</v>
      </c>
      <c r="J165" s="197">
        <v>44165</v>
      </c>
      <c r="K165" s="102">
        <f t="shared" si="19"/>
        <v>38</v>
      </c>
      <c r="L165" s="53">
        <f t="shared" si="20"/>
        <v>4788</v>
      </c>
      <c r="M165" s="197">
        <v>44165</v>
      </c>
      <c r="N165" s="55">
        <f t="shared" si="21"/>
        <v>0</v>
      </c>
      <c r="O165" s="198">
        <f t="shared" si="22"/>
        <v>0</v>
      </c>
      <c r="P165" s="53"/>
    </row>
    <row r="166" spans="1:16">
      <c r="A166" s="54">
        <f t="shared" si="17"/>
        <v>158</v>
      </c>
      <c r="B166" s="53" t="s">
        <v>372</v>
      </c>
      <c r="C166" s="197">
        <v>44169</v>
      </c>
      <c r="D166" s="53">
        <v>63</v>
      </c>
      <c r="E166" s="53">
        <v>63</v>
      </c>
      <c r="F166" s="197" t="s">
        <v>276</v>
      </c>
      <c r="G166" s="197">
        <v>44145</v>
      </c>
      <c r="H166" s="197">
        <v>44165</v>
      </c>
      <c r="I166" s="197">
        <f t="shared" si="18"/>
        <v>44155</v>
      </c>
      <c r="J166" s="197">
        <v>44194</v>
      </c>
      <c r="K166" s="102">
        <f t="shared" si="19"/>
        <v>39</v>
      </c>
      <c r="L166" s="53">
        <f t="shared" si="20"/>
        <v>2457</v>
      </c>
      <c r="M166" s="197">
        <v>44194</v>
      </c>
      <c r="N166" s="55">
        <f t="shared" si="21"/>
        <v>0</v>
      </c>
      <c r="O166" s="198">
        <f t="shared" si="22"/>
        <v>0</v>
      </c>
      <c r="P166" s="53"/>
    </row>
    <row r="167" spans="1:16">
      <c r="A167" s="54">
        <f t="shared" si="17"/>
        <v>159</v>
      </c>
      <c r="B167" s="53" t="s">
        <v>372</v>
      </c>
      <c r="C167" s="197">
        <v>44174</v>
      </c>
      <c r="D167" s="53">
        <v>1890</v>
      </c>
      <c r="E167" s="53">
        <v>1890</v>
      </c>
      <c r="F167" s="197" t="s">
        <v>276</v>
      </c>
      <c r="G167" s="197">
        <v>44153</v>
      </c>
      <c r="H167" s="197">
        <v>44165</v>
      </c>
      <c r="I167" s="197">
        <f t="shared" si="18"/>
        <v>44159</v>
      </c>
      <c r="J167" s="197">
        <v>44194</v>
      </c>
      <c r="K167" s="102">
        <f t="shared" si="19"/>
        <v>35</v>
      </c>
      <c r="L167" s="53">
        <f t="shared" si="20"/>
        <v>66150</v>
      </c>
      <c r="M167" s="197">
        <v>44194</v>
      </c>
      <c r="N167" s="55">
        <f t="shared" si="21"/>
        <v>0</v>
      </c>
      <c r="O167" s="198">
        <f t="shared" si="22"/>
        <v>0</v>
      </c>
      <c r="P167" s="53"/>
    </row>
    <row r="168" spans="1:16">
      <c r="A168" s="54">
        <f t="shared" si="17"/>
        <v>160</v>
      </c>
      <c r="B168" s="53" t="s">
        <v>373</v>
      </c>
      <c r="C168" s="197">
        <v>44218</v>
      </c>
      <c r="D168" s="53">
        <v>46</v>
      </c>
      <c r="E168" s="53">
        <v>46</v>
      </c>
      <c r="F168" s="197" t="s">
        <v>336</v>
      </c>
      <c r="G168" s="197">
        <v>44250</v>
      </c>
      <c r="H168" s="197">
        <v>44614</v>
      </c>
      <c r="I168" s="197">
        <f t="shared" si="18"/>
        <v>44432</v>
      </c>
      <c r="J168" s="197">
        <v>44223</v>
      </c>
      <c r="K168" s="102">
        <f t="shared" si="19"/>
        <v>-209</v>
      </c>
      <c r="L168" s="53">
        <f t="shared" si="20"/>
        <v>-9614</v>
      </c>
      <c r="M168" s="197">
        <v>44264</v>
      </c>
      <c r="N168" s="55">
        <f t="shared" si="21"/>
        <v>41</v>
      </c>
      <c r="O168" s="198">
        <f t="shared" si="22"/>
        <v>1886</v>
      </c>
      <c r="P168" s="53"/>
    </row>
    <row r="169" spans="1:16">
      <c r="A169" s="54">
        <f t="shared" si="17"/>
        <v>161</v>
      </c>
      <c r="B169" s="53" t="s">
        <v>374</v>
      </c>
      <c r="C169" s="197">
        <v>44091</v>
      </c>
      <c r="D169" s="53">
        <v>28.8</v>
      </c>
      <c r="E169" s="53">
        <v>28.8</v>
      </c>
      <c r="F169" s="197" t="s">
        <v>336</v>
      </c>
      <c r="G169" s="197">
        <v>44061</v>
      </c>
      <c r="H169" s="197">
        <v>44090</v>
      </c>
      <c r="I169" s="197">
        <f t="shared" si="18"/>
        <v>44075.5</v>
      </c>
      <c r="J169" s="197">
        <v>44102</v>
      </c>
      <c r="K169" s="102">
        <f t="shared" si="19"/>
        <v>27</v>
      </c>
      <c r="L169" s="53">
        <f t="shared" si="20"/>
        <v>778</v>
      </c>
      <c r="M169" s="197">
        <v>44112</v>
      </c>
      <c r="N169" s="55">
        <f t="shared" si="21"/>
        <v>10</v>
      </c>
      <c r="O169" s="198">
        <f t="shared" si="22"/>
        <v>288</v>
      </c>
      <c r="P169" s="53"/>
    </row>
    <row r="170" spans="1:16">
      <c r="A170" s="54">
        <f t="shared" si="17"/>
        <v>162</v>
      </c>
      <c r="B170" s="53" t="s">
        <v>374</v>
      </c>
      <c r="C170" s="197">
        <v>44245</v>
      </c>
      <c r="D170" s="53">
        <v>29.39</v>
      </c>
      <c r="E170" s="53">
        <v>29.39</v>
      </c>
      <c r="F170" s="197" t="s">
        <v>336</v>
      </c>
      <c r="G170" s="197">
        <v>44214</v>
      </c>
      <c r="H170" s="197">
        <v>44244</v>
      </c>
      <c r="I170" s="197">
        <f t="shared" si="18"/>
        <v>44229</v>
      </c>
      <c r="J170" s="197">
        <v>44256</v>
      </c>
      <c r="K170" s="102">
        <f t="shared" si="19"/>
        <v>27</v>
      </c>
      <c r="L170" s="53">
        <f t="shared" si="20"/>
        <v>794</v>
      </c>
      <c r="M170" s="197">
        <v>44265</v>
      </c>
      <c r="N170" s="55">
        <f t="shared" si="21"/>
        <v>9</v>
      </c>
      <c r="O170" s="198">
        <f t="shared" si="22"/>
        <v>265</v>
      </c>
      <c r="P170" s="53"/>
    </row>
    <row r="171" spans="1:16">
      <c r="A171" s="54">
        <f t="shared" si="17"/>
        <v>163</v>
      </c>
      <c r="B171" s="53" t="s">
        <v>375</v>
      </c>
      <c r="C171" s="197">
        <v>44000</v>
      </c>
      <c r="D171" s="53">
        <v>649.89</v>
      </c>
      <c r="E171" s="53">
        <v>649.89</v>
      </c>
      <c r="F171" s="197" t="s">
        <v>336</v>
      </c>
      <c r="G171" s="197">
        <v>44000</v>
      </c>
      <c r="H171" s="197">
        <v>44000</v>
      </c>
      <c r="I171" s="197">
        <f t="shared" si="18"/>
        <v>44000</v>
      </c>
      <c r="J171" s="197">
        <v>44025</v>
      </c>
      <c r="K171" s="102">
        <f t="shared" si="19"/>
        <v>25</v>
      </c>
      <c r="L171" s="53">
        <f t="shared" si="20"/>
        <v>16247</v>
      </c>
      <c r="M171" s="197">
        <v>44034</v>
      </c>
      <c r="N171" s="55">
        <f t="shared" si="21"/>
        <v>9</v>
      </c>
      <c r="O171" s="198">
        <f t="shared" si="22"/>
        <v>5849</v>
      </c>
      <c r="P171" s="53"/>
    </row>
    <row r="172" spans="1:16">
      <c r="A172" s="54">
        <f t="shared" si="17"/>
        <v>164</v>
      </c>
      <c r="B172" s="53" t="s">
        <v>375</v>
      </c>
      <c r="C172" s="197">
        <v>44061</v>
      </c>
      <c r="D172" s="53">
        <v>971.29</v>
      </c>
      <c r="E172" s="53">
        <v>971.29</v>
      </c>
      <c r="F172" s="197" t="s">
        <v>336</v>
      </c>
      <c r="G172" s="197">
        <v>44061</v>
      </c>
      <c r="H172" s="197">
        <v>44061</v>
      </c>
      <c r="I172" s="197">
        <f t="shared" si="18"/>
        <v>44061</v>
      </c>
      <c r="J172" s="197">
        <v>44088</v>
      </c>
      <c r="K172" s="102">
        <f t="shared" si="19"/>
        <v>27</v>
      </c>
      <c r="L172" s="53">
        <f t="shared" si="20"/>
        <v>26225</v>
      </c>
      <c r="M172" s="197">
        <v>44096</v>
      </c>
      <c r="N172" s="55">
        <f t="shared" si="21"/>
        <v>8</v>
      </c>
      <c r="O172" s="198">
        <f t="shared" si="22"/>
        <v>7770</v>
      </c>
      <c r="P172" s="53"/>
    </row>
    <row r="173" spans="1:16">
      <c r="A173" s="54">
        <f t="shared" si="17"/>
        <v>165</v>
      </c>
      <c r="B173" s="53" t="s">
        <v>375</v>
      </c>
      <c r="C173" s="197">
        <v>44133</v>
      </c>
      <c r="D173" s="53">
        <v>251.21</v>
      </c>
      <c r="E173" s="53">
        <v>251.21</v>
      </c>
      <c r="F173" s="197" t="s">
        <v>336</v>
      </c>
      <c r="G173" s="197">
        <v>44133</v>
      </c>
      <c r="H173" s="197">
        <v>44133</v>
      </c>
      <c r="I173" s="197">
        <f t="shared" si="18"/>
        <v>44133</v>
      </c>
      <c r="J173" s="197">
        <v>44158</v>
      </c>
      <c r="K173" s="102">
        <f t="shared" si="19"/>
        <v>25</v>
      </c>
      <c r="L173" s="53">
        <f t="shared" si="20"/>
        <v>6280</v>
      </c>
      <c r="M173" s="197">
        <v>44166</v>
      </c>
      <c r="N173" s="55">
        <f t="shared" si="21"/>
        <v>8</v>
      </c>
      <c r="O173" s="198">
        <f t="shared" si="22"/>
        <v>2010</v>
      </c>
      <c r="P173" s="53"/>
    </row>
    <row r="174" spans="1:16">
      <c r="A174" s="54">
        <f t="shared" si="17"/>
        <v>166</v>
      </c>
      <c r="B174" s="53" t="s">
        <v>376</v>
      </c>
      <c r="C174" s="197">
        <v>43966</v>
      </c>
      <c r="D174" s="53">
        <v>143.1</v>
      </c>
      <c r="E174" s="53">
        <v>143.1</v>
      </c>
      <c r="F174" s="197" t="s">
        <v>336</v>
      </c>
      <c r="G174" s="197">
        <v>43965</v>
      </c>
      <c r="H174" s="197">
        <v>44056</v>
      </c>
      <c r="I174" s="197">
        <f t="shared" si="18"/>
        <v>44010.5</v>
      </c>
      <c r="J174" s="197">
        <v>43992</v>
      </c>
      <c r="K174" s="102">
        <f t="shared" si="19"/>
        <v>-19</v>
      </c>
      <c r="L174" s="53">
        <f t="shared" si="20"/>
        <v>-2719</v>
      </c>
      <c r="M174" s="197">
        <v>44004</v>
      </c>
      <c r="N174" s="55">
        <f t="shared" si="21"/>
        <v>12</v>
      </c>
      <c r="O174" s="198">
        <f t="shared" si="22"/>
        <v>1717</v>
      </c>
      <c r="P174" s="53"/>
    </row>
    <row r="175" spans="1:16">
      <c r="A175" s="54">
        <f t="shared" si="17"/>
        <v>167</v>
      </c>
      <c r="B175" s="53" t="s">
        <v>377</v>
      </c>
      <c r="C175" s="197">
        <v>43977</v>
      </c>
      <c r="D175" s="53">
        <v>50.33</v>
      </c>
      <c r="E175" s="53">
        <v>50.33</v>
      </c>
      <c r="F175" s="197" t="s">
        <v>336</v>
      </c>
      <c r="G175" s="197">
        <v>43947</v>
      </c>
      <c r="H175" s="197">
        <v>43977</v>
      </c>
      <c r="I175" s="197">
        <f t="shared" si="18"/>
        <v>43962</v>
      </c>
      <c r="J175" s="197">
        <v>43997</v>
      </c>
      <c r="K175" s="102">
        <f t="shared" si="19"/>
        <v>35</v>
      </c>
      <c r="L175" s="53">
        <f t="shared" si="20"/>
        <v>1762</v>
      </c>
      <c r="M175" s="197">
        <v>44005</v>
      </c>
      <c r="N175" s="55">
        <f t="shared" si="21"/>
        <v>8</v>
      </c>
      <c r="O175" s="198">
        <f t="shared" si="22"/>
        <v>403</v>
      </c>
      <c r="P175" s="53"/>
    </row>
    <row r="176" spans="1:16">
      <c r="A176" s="54">
        <f t="shared" si="17"/>
        <v>168</v>
      </c>
      <c r="B176" s="53" t="s">
        <v>377</v>
      </c>
      <c r="C176" s="197">
        <v>44030</v>
      </c>
      <c r="D176" s="53">
        <v>32.22</v>
      </c>
      <c r="E176" s="53">
        <v>32.22</v>
      </c>
      <c r="F176" s="197" t="s">
        <v>336</v>
      </c>
      <c r="G176" s="197">
        <v>43998</v>
      </c>
      <c r="H176" s="197">
        <v>44030</v>
      </c>
      <c r="I176" s="197">
        <f t="shared" si="18"/>
        <v>44014</v>
      </c>
      <c r="J176" s="197">
        <v>44046</v>
      </c>
      <c r="K176" s="102">
        <f t="shared" si="19"/>
        <v>32</v>
      </c>
      <c r="L176" s="53">
        <f t="shared" si="20"/>
        <v>1031</v>
      </c>
      <c r="M176" s="197">
        <v>44055</v>
      </c>
      <c r="N176" s="55">
        <f t="shared" si="21"/>
        <v>9</v>
      </c>
      <c r="O176" s="198">
        <f t="shared" si="22"/>
        <v>290</v>
      </c>
      <c r="P176" s="53"/>
    </row>
    <row r="177" spans="1:16">
      <c r="A177" s="54">
        <f t="shared" si="17"/>
        <v>169</v>
      </c>
      <c r="B177" s="53" t="s">
        <v>377</v>
      </c>
      <c r="C177" s="197">
        <v>44132</v>
      </c>
      <c r="D177" s="53">
        <v>48.06</v>
      </c>
      <c r="E177" s="53">
        <v>48.06</v>
      </c>
      <c r="F177" s="197" t="s">
        <v>336</v>
      </c>
      <c r="G177" s="197">
        <v>44102</v>
      </c>
      <c r="H177" s="197">
        <v>44132</v>
      </c>
      <c r="I177" s="197">
        <f t="shared" si="18"/>
        <v>44117</v>
      </c>
      <c r="J177" s="197">
        <v>44151</v>
      </c>
      <c r="K177" s="102">
        <f t="shared" si="19"/>
        <v>34</v>
      </c>
      <c r="L177" s="53">
        <f t="shared" si="20"/>
        <v>1634</v>
      </c>
      <c r="M177" s="197">
        <v>44160</v>
      </c>
      <c r="N177" s="55">
        <f t="shared" si="21"/>
        <v>9</v>
      </c>
      <c r="O177" s="198">
        <f t="shared" si="22"/>
        <v>433</v>
      </c>
      <c r="P177" s="53"/>
    </row>
    <row r="178" spans="1:16">
      <c r="A178" s="54">
        <f t="shared" si="17"/>
        <v>170</v>
      </c>
      <c r="B178" s="53" t="s">
        <v>378</v>
      </c>
      <c r="C178" s="197">
        <v>44025</v>
      </c>
      <c r="D178" s="53">
        <v>80.790000000000006</v>
      </c>
      <c r="E178" s="53">
        <v>80.790000000000006</v>
      </c>
      <c r="F178" s="197" t="s">
        <v>336</v>
      </c>
      <c r="G178" s="197">
        <v>44025</v>
      </c>
      <c r="H178" s="197">
        <v>44025</v>
      </c>
      <c r="I178" s="197">
        <f t="shared" si="18"/>
        <v>44025</v>
      </c>
      <c r="J178" s="197">
        <v>44053</v>
      </c>
      <c r="K178" s="102">
        <f t="shared" si="19"/>
        <v>28</v>
      </c>
      <c r="L178" s="53">
        <f t="shared" si="20"/>
        <v>2262</v>
      </c>
      <c r="M178" s="197">
        <v>44062</v>
      </c>
      <c r="N178" s="55">
        <f t="shared" si="21"/>
        <v>9</v>
      </c>
      <c r="O178" s="198">
        <f t="shared" si="22"/>
        <v>727</v>
      </c>
      <c r="P178" s="53"/>
    </row>
    <row r="179" spans="1:16">
      <c r="A179" s="54">
        <f t="shared" si="17"/>
        <v>171</v>
      </c>
      <c r="B179" s="53" t="s">
        <v>379</v>
      </c>
      <c r="C179" s="197">
        <v>43992</v>
      </c>
      <c r="D179" s="53">
        <v>1100.25</v>
      </c>
      <c r="E179" s="53">
        <v>1166.27</v>
      </c>
      <c r="F179" s="197" t="s">
        <v>276</v>
      </c>
      <c r="G179" s="197">
        <v>43992</v>
      </c>
      <c r="H179" s="197">
        <v>43992</v>
      </c>
      <c r="I179" s="197">
        <f t="shared" si="18"/>
        <v>43992</v>
      </c>
      <c r="J179" s="197">
        <v>44018</v>
      </c>
      <c r="K179" s="102">
        <f t="shared" si="19"/>
        <v>26</v>
      </c>
      <c r="L179" s="53">
        <f t="shared" si="20"/>
        <v>30323</v>
      </c>
      <c r="M179" s="197">
        <v>44018</v>
      </c>
      <c r="N179" s="55">
        <f t="shared" si="21"/>
        <v>0</v>
      </c>
      <c r="O179" s="198">
        <f t="shared" si="22"/>
        <v>0</v>
      </c>
      <c r="P179" s="53"/>
    </row>
    <row r="180" spans="1:16">
      <c r="A180" s="54">
        <f t="shared" si="17"/>
        <v>172</v>
      </c>
      <c r="B180" s="53" t="s">
        <v>379</v>
      </c>
      <c r="C180" s="197">
        <v>44236</v>
      </c>
      <c r="D180" s="53">
        <v>467.04</v>
      </c>
      <c r="E180" s="53">
        <v>495.05</v>
      </c>
      <c r="F180" s="197" t="s">
        <v>276</v>
      </c>
      <c r="G180" s="197">
        <v>44236</v>
      </c>
      <c r="H180" s="197">
        <v>44236</v>
      </c>
      <c r="I180" s="197">
        <f t="shared" si="18"/>
        <v>44236</v>
      </c>
      <c r="J180" s="197">
        <v>44263</v>
      </c>
      <c r="K180" s="102">
        <f t="shared" si="19"/>
        <v>27</v>
      </c>
      <c r="L180" s="53">
        <f t="shared" si="20"/>
        <v>13366</v>
      </c>
      <c r="M180" s="197">
        <v>44263</v>
      </c>
      <c r="N180" s="55">
        <f t="shared" si="21"/>
        <v>0</v>
      </c>
      <c r="O180" s="198">
        <f t="shared" si="22"/>
        <v>0</v>
      </c>
      <c r="P180" s="53"/>
    </row>
    <row r="181" spans="1:16">
      <c r="A181" s="54">
        <f t="shared" si="17"/>
        <v>173</v>
      </c>
      <c r="B181" s="53" t="s">
        <v>380</v>
      </c>
      <c r="C181" s="197">
        <v>44256</v>
      </c>
      <c r="D181" s="53">
        <v>80.33</v>
      </c>
      <c r="E181" s="53">
        <v>80.33</v>
      </c>
      <c r="F181" s="197" t="s">
        <v>336</v>
      </c>
      <c r="G181" s="197">
        <v>44228</v>
      </c>
      <c r="H181" s="197">
        <v>44256</v>
      </c>
      <c r="I181" s="197">
        <f t="shared" si="18"/>
        <v>44242</v>
      </c>
      <c r="J181" s="197">
        <v>44270</v>
      </c>
      <c r="K181" s="102">
        <f t="shared" si="19"/>
        <v>28</v>
      </c>
      <c r="L181" s="53">
        <f t="shared" si="20"/>
        <v>2249</v>
      </c>
      <c r="M181" s="197">
        <v>44277</v>
      </c>
      <c r="N181" s="55">
        <f t="shared" si="21"/>
        <v>7</v>
      </c>
      <c r="O181" s="198">
        <f t="shared" si="22"/>
        <v>562</v>
      </c>
      <c r="P181" s="53"/>
    </row>
    <row r="182" spans="1:16">
      <c r="A182" s="54">
        <f t="shared" si="17"/>
        <v>174</v>
      </c>
      <c r="B182" s="53" t="s">
        <v>381</v>
      </c>
      <c r="C182" s="197">
        <v>44208</v>
      </c>
      <c r="D182" s="53">
        <v>1444.32</v>
      </c>
      <c r="E182" s="53">
        <v>1444.32</v>
      </c>
      <c r="F182" s="197" t="s">
        <v>276</v>
      </c>
      <c r="G182" s="197">
        <v>44203</v>
      </c>
      <c r="H182" s="197">
        <v>44203</v>
      </c>
      <c r="I182" s="197">
        <f t="shared" si="18"/>
        <v>44203</v>
      </c>
      <c r="J182" s="197">
        <v>44218</v>
      </c>
      <c r="K182" s="102">
        <f t="shared" si="19"/>
        <v>15</v>
      </c>
      <c r="L182" s="53">
        <f t="shared" si="20"/>
        <v>21665</v>
      </c>
      <c r="M182" s="197">
        <v>44218</v>
      </c>
      <c r="N182" s="55">
        <f t="shared" si="21"/>
        <v>0</v>
      </c>
      <c r="O182" s="198">
        <f t="shared" si="22"/>
        <v>0</v>
      </c>
      <c r="P182" s="53"/>
    </row>
    <row r="183" spans="1:16">
      <c r="A183" s="54">
        <f t="shared" si="17"/>
        <v>175</v>
      </c>
      <c r="B183" s="53" t="s">
        <v>382</v>
      </c>
      <c r="C183" s="197">
        <v>43995</v>
      </c>
      <c r="D183" s="53">
        <v>41.23</v>
      </c>
      <c r="E183" s="53">
        <v>28.86</v>
      </c>
      <c r="F183" s="197" t="s">
        <v>336</v>
      </c>
      <c r="G183" s="197">
        <v>43962</v>
      </c>
      <c r="H183" s="197">
        <v>44012</v>
      </c>
      <c r="I183" s="197">
        <f t="shared" si="18"/>
        <v>43987</v>
      </c>
      <c r="J183" s="197">
        <v>44011</v>
      </c>
      <c r="K183" s="102">
        <f t="shared" si="19"/>
        <v>24</v>
      </c>
      <c r="L183" s="53">
        <f t="shared" si="20"/>
        <v>693</v>
      </c>
      <c r="M183" s="197">
        <v>44021</v>
      </c>
      <c r="N183" s="55">
        <f t="shared" si="21"/>
        <v>10</v>
      </c>
      <c r="O183" s="198">
        <f t="shared" si="22"/>
        <v>289</v>
      </c>
      <c r="P183" s="53"/>
    </row>
    <row r="184" spans="1:16">
      <c r="A184" s="54">
        <f t="shared" si="17"/>
        <v>176</v>
      </c>
      <c r="B184" s="53" t="s">
        <v>382</v>
      </c>
      <c r="C184" s="197">
        <v>44013</v>
      </c>
      <c r="D184" s="53">
        <v>191.76</v>
      </c>
      <c r="E184" s="53">
        <v>203.27</v>
      </c>
      <c r="F184" s="197" t="s">
        <v>336</v>
      </c>
      <c r="G184" s="197">
        <v>43983</v>
      </c>
      <c r="H184" s="197">
        <v>44012</v>
      </c>
      <c r="I184" s="197">
        <f t="shared" si="18"/>
        <v>43997.5</v>
      </c>
      <c r="J184" s="197">
        <v>44039</v>
      </c>
      <c r="K184" s="102">
        <f t="shared" si="19"/>
        <v>42</v>
      </c>
      <c r="L184" s="53">
        <f t="shared" si="20"/>
        <v>8537</v>
      </c>
      <c r="M184" s="197">
        <v>44048</v>
      </c>
      <c r="N184" s="55">
        <f t="shared" si="21"/>
        <v>9</v>
      </c>
      <c r="O184" s="198">
        <f t="shared" si="22"/>
        <v>1829</v>
      </c>
      <c r="P184" s="53"/>
    </row>
    <row r="185" spans="1:16">
      <c r="A185" s="54">
        <f t="shared" si="17"/>
        <v>177</v>
      </c>
      <c r="B185" s="53" t="s">
        <v>382</v>
      </c>
      <c r="C185" s="197">
        <v>44143</v>
      </c>
      <c r="D185" s="53">
        <v>37.119999999999997</v>
      </c>
      <c r="E185" s="53">
        <v>37.119999999999997</v>
      </c>
      <c r="F185" s="197" t="s">
        <v>336</v>
      </c>
      <c r="G185" s="197">
        <v>44112</v>
      </c>
      <c r="H185" s="197">
        <v>44143</v>
      </c>
      <c r="I185" s="197">
        <f t="shared" si="18"/>
        <v>44127.5</v>
      </c>
      <c r="J185" s="197">
        <v>44160</v>
      </c>
      <c r="K185" s="102">
        <f t="shared" si="19"/>
        <v>33</v>
      </c>
      <c r="L185" s="53">
        <f t="shared" si="20"/>
        <v>1225</v>
      </c>
      <c r="M185" s="197">
        <v>44169</v>
      </c>
      <c r="N185" s="55">
        <f t="shared" si="21"/>
        <v>9</v>
      </c>
      <c r="O185" s="198">
        <f t="shared" si="22"/>
        <v>334</v>
      </c>
      <c r="P185" s="53"/>
    </row>
    <row r="186" spans="1:16">
      <c r="A186" s="54">
        <f t="shared" si="17"/>
        <v>178</v>
      </c>
      <c r="B186" s="53" t="s">
        <v>382</v>
      </c>
      <c r="C186" s="197">
        <v>44216</v>
      </c>
      <c r="D186" s="53">
        <v>126.82</v>
      </c>
      <c r="E186" s="53">
        <v>126.82</v>
      </c>
      <c r="F186" s="197" t="s">
        <v>336</v>
      </c>
      <c r="G186" s="197">
        <v>44185</v>
      </c>
      <c r="H186" s="197">
        <v>44216</v>
      </c>
      <c r="I186" s="197">
        <f t="shared" si="18"/>
        <v>44200.5</v>
      </c>
      <c r="J186" s="197">
        <v>44235</v>
      </c>
      <c r="K186" s="102">
        <f t="shared" si="19"/>
        <v>35</v>
      </c>
      <c r="L186" s="53">
        <f t="shared" si="20"/>
        <v>4439</v>
      </c>
      <c r="M186" s="197">
        <v>44249</v>
      </c>
      <c r="N186" s="55">
        <f t="shared" si="21"/>
        <v>14</v>
      </c>
      <c r="O186" s="198">
        <f t="shared" si="22"/>
        <v>1775</v>
      </c>
      <c r="P186" s="53"/>
    </row>
    <row r="187" spans="1:16">
      <c r="A187" s="54">
        <f t="shared" si="17"/>
        <v>179</v>
      </c>
      <c r="B187" s="53" t="s">
        <v>383</v>
      </c>
      <c r="C187" s="197">
        <v>43955</v>
      </c>
      <c r="D187" s="53">
        <v>21.51</v>
      </c>
      <c r="E187" s="53">
        <v>21.51</v>
      </c>
      <c r="F187" s="197" t="s">
        <v>336</v>
      </c>
      <c r="G187" s="197">
        <v>43905</v>
      </c>
      <c r="H187" s="197">
        <v>43936</v>
      </c>
      <c r="I187" s="197">
        <f t="shared" si="18"/>
        <v>43920.5</v>
      </c>
      <c r="J187" s="197">
        <v>43964</v>
      </c>
      <c r="K187" s="102">
        <f t="shared" si="19"/>
        <v>44</v>
      </c>
      <c r="L187" s="53">
        <f t="shared" si="20"/>
        <v>946</v>
      </c>
      <c r="M187" s="197">
        <v>43973</v>
      </c>
      <c r="N187" s="55">
        <f t="shared" si="21"/>
        <v>9</v>
      </c>
      <c r="O187" s="198">
        <f t="shared" si="22"/>
        <v>194</v>
      </c>
      <c r="P187" s="53"/>
    </row>
    <row r="188" spans="1:16">
      <c r="A188" s="54">
        <f t="shared" si="17"/>
        <v>180</v>
      </c>
      <c r="B188" s="53" t="s">
        <v>383</v>
      </c>
      <c r="C188" s="197">
        <v>43961</v>
      </c>
      <c r="D188" s="53">
        <v>25.94</v>
      </c>
      <c r="E188" s="53">
        <v>25.94</v>
      </c>
      <c r="F188" s="197" t="s">
        <v>336</v>
      </c>
      <c r="G188" s="197">
        <v>43931</v>
      </c>
      <c r="H188" s="197">
        <v>43961</v>
      </c>
      <c r="I188" s="197">
        <f t="shared" si="18"/>
        <v>43946</v>
      </c>
      <c r="J188" s="197">
        <v>43997</v>
      </c>
      <c r="K188" s="102">
        <f t="shared" si="19"/>
        <v>51</v>
      </c>
      <c r="L188" s="53">
        <f t="shared" si="20"/>
        <v>1323</v>
      </c>
      <c r="M188" s="197">
        <v>44006</v>
      </c>
      <c r="N188" s="55">
        <f t="shared" si="21"/>
        <v>9</v>
      </c>
      <c r="O188" s="198">
        <f t="shared" si="22"/>
        <v>233</v>
      </c>
      <c r="P188" s="53"/>
    </row>
    <row r="189" spans="1:16">
      <c r="A189" s="54">
        <f t="shared" si="17"/>
        <v>181</v>
      </c>
      <c r="B189" s="53" t="s">
        <v>383</v>
      </c>
      <c r="C189" s="197">
        <v>44075</v>
      </c>
      <c r="D189" s="53">
        <v>20.89</v>
      </c>
      <c r="E189" s="53">
        <v>20.89</v>
      </c>
      <c r="F189" s="197" t="s">
        <v>336</v>
      </c>
      <c r="G189" s="197">
        <v>44044</v>
      </c>
      <c r="H189" s="197">
        <v>44075</v>
      </c>
      <c r="I189" s="197">
        <f t="shared" si="18"/>
        <v>44059.5</v>
      </c>
      <c r="J189" s="197">
        <v>44109</v>
      </c>
      <c r="K189" s="102">
        <f t="shared" si="19"/>
        <v>50</v>
      </c>
      <c r="L189" s="53">
        <f t="shared" si="20"/>
        <v>1045</v>
      </c>
      <c r="M189" s="197">
        <v>44118</v>
      </c>
      <c r="N189" s="55">
        <f t="shared" si="21"/>
        <v>9</v>
      </c>
      <c r="O189" s="198">
        <f t="shared" si="22"/>
        <v>188</v>
      </c>
      <c r="P189" s="53"/>
    </row>
    <row r="190" spans="1:16">
      <c r="A190" s="54">
        <f t="shared" si="17"/>
        <v>182</v>
      </c>
      <c r="B190" s="53" t="s">
        <v>383</v>
      </c>
      <c r="C190" s="197">
        <v>44200</v>
      </c>
      <c r="D190" s="53">
        <v>23.07</v>
      </c>
      <c r="E190" s="53">
        <v>23.07</v>
      </c>
      <c r="F190" s="197" t="s">
        <v>336</v>
      </c>
      <c r="G190" s="197">
        <v>44150</v>
      </c>
      <c r="H190" s="197">
        <v>44180</v>
      </c>
      <c r="I190" s="197">
        <f t="shared" si="18"/>
        <v>44165</v>
      </c>
      <c r="J190" s="197">
        <v>44214</v>
      </c>
      <c r="K190" s="102">
        <f t="shared" si="19"/>
        <v>49</v>
      </c>
      <c r="L190" s="53">
        <f t="shared" si="20"/>
        <v>1130</v>
      </c>
      <c r="M190" s="197">
        <v>44222</v>
      </c>
      <c r="N190" s="55">
        <f t="shared" si="21"/>
        <v>8</v>
      </c>
      <c r="O190" s="198">
        <f t="shared" si="22"/>
        <v>185</v>
      </c>
      <c r="P190" s="53"/>
    </row>
    <row r="191" spans="1:16">
      <c r="A191" s="54">
        <f t="shared" si="17"/>
        <v>183</v>
      </c>
      <c r="B191" s="53" t="s">
        <v>384</v>
      </c>
      <c r="C191" s="197">
        <v>43910</v>
      </c>
      <c r="D191" s="53">
        <v>24.65</v>
      </c>
      <c r="E191" s="53">
        <v>24.65</v>
      </c>
      <c r="F191" s="197" t="s">
        <v>336</v>
      </c>
      <c r="G191" s="197">
        <v>43882</v>
      </c>
      <c r="H191" s="197">
        <v>43910</v>
      </c>
      <c r="I191" s="197">
        <f t="shared" si="18"/>
        <v>43896</v>
      </c>
      <c r="J191" s="197">
        <v>43929</v>
      </c>
      <c r="K191" s="102">
        <f t="shared" si="19"/>
        <v>33</v>
      </c>
      <c r="L191" s="53">
        <f t="shared" si="20"/>
        <v>813</v>
      </c>
      <c r="M191" s="197">
        <v>43936</v>
      </c>
      <c r="N191" s="55">
        <f t="shared" si="21"/>
        <v>7</v>
      </c>
      <c r="O191" s="198">
        <f t="shared" si="22"/>
        <v>173</v>
      </c>
      <c r="P191" s="53"/>
    </row>
    <row r="192" spans="1:16">
      <c r="A192" s="54">
        <f t="shared" si="17"/>
        <v>184</v>
      </c>
      <c r="B192" s="53" t="s">
        <v>384</v>
      </c>
      <c r="C192" s="197">
        <v>43921</v>
      </c>
      <c r="D192" s="53">
        <v>27.39</v>
      </c>
      <c r="E192" s="53">
        <v>29.03</v>
      </c>
      <c r="F192" s="197" t="s">
        <v>336</v>
      </c>
      <c r="G192" s="197">
        <v>43882</v>
      </c>
      <c r="H192" s="197">
        <v>43910</v>
      </c>
      <c r="I192" s="197">
        <f t="shared" si="18"/>
        <v>43896</v>
      </c>
      <c r="J192" s="197">
        <v>43927</v>
      </c>
      <c r="K192" s="102">
        <f t="shared" si="19"/>
        <v>31</v>
      </c>
      <c r="L192" s="53">
        <f t="shared" si="20"/>
        <v>900</v>
      </c>
      <c r="M192" s="197">
        <v>43936</v>
      </c>
      <c r="N192" s="55">
        <f t="shared" si="21"/>
        <v>9</v>
      </c>
      <c r="O192" s="198">
        <f t="shared" si="22"/>
        <v>261</v>
      </c>
      <c r="P192" s="53"/>
    </row>
    <row r="193" spans="1:16">
      <c r="A193" s="54">
        <f t="shared" si="17"/>
        <v>185</v>
      </c>
      <c r="B193" s="53" t="s">
        <v>384</v>
      </c>
      <c r="C193" s="197">
        <v>43936</v>
      </c>
      <c r="D193" s="53">
        <v>27.99</v>
      </c>
      <c r="E193" s="53">
        <v>27.99</v>
      </c>
      <c r="F193" s="197" t="s">
        <v>336</v>
      </c>
      <c r="G193" s="197">
        <v>43896</v>
      </c>
      <c r="H193" s="197">
        <v>43926</v>
      </c>
      <c r="I193" s="197">
        <f t="shared" si="18"/>
        <v>43911</v>
      </c>
      <c r="J193" s="197">
        <v>43941</v>
      </c>
      <c r="K193" s="102">
        <f t="shared" si="19"/>
        <v>30</v>
      </c>
      <c r="L193" s="53">
        <f t="shared" si="20"/>
        <v>840</v>
      </c>
      <c r="M193" s="197">
        <v>43950</v>
      </c>
      <c r="N193" s="55">
        <f t="shared" si="21"/>
        <v>9</v>
      </c>
      <c r="O193" s="198">
        <f t="shared" si="22"/>
        <v>252</v>
      </c>
      <c r="P193" s="53"/>
    </row>
    <row r="194" spans="1:16">
      <c r="A194" s="54">
        <f t="shared" si="17"/>
        <v>186</v>
      </c>
      <c r="B194" s="53" t="s">
        <v>384</v>
      </c>
      <c r="C194" s="197">
        <v>44035</v>
      </c>
      <c r="D194" s="53">
        <v>12.39</v>
      </c>
      <c r="E194" s="53">
        <v>13.13</v>
      </c>
      <c r="F194" s="197" t="s">
        <v>336</v>
      </c>
      <c r="G194" s="197">
        <v>43996</v>
      </c>
      <c r="H194" s="197">
        <v>44026</v>
      </c>
      <c r="I194" s="197">
        <f t="shared" si="18"/>
        <v>44011</v>
      </c>
      <c r="J194" s="197">
        <v>44039</v>
      </c>
      <c r="K194" s="102">
        <f t="shared" si="19"/>
        <v>28</v>
      </c>
      <c r="L194" s="53">
        <f t="shared" si="20"/>
        <v>368</v>
      </c>
      <c r="M194" s="197">
        <v>44048</v>
      </c>
      <c r="N194" s="55">
        <f t="shared" si="21"/>
        <v>9</v>
      </c>
      <c r="O194" s="198">
        <f t="shared" si="22"/>
        <v>118</v>
      </c>
      <c r="P194" s="53"/>
    </row>
    <row r="195" spans="1:16">
      <c r="A195" s="54">
        <f t="shared" si="17"/>
        <v>187</v>
      </c>
      <c r="B195" s="53" t="s">
        <v>384</v>
      </c>
      <c r="C195" s="197">
        <v>44089</v>
      </c>
      <c r="D195" s="53">
        <v>29.44</v>
      </c>
      <c r="E195" s="53">
        <v>31.21</v>
      </c>
      <c r="F195" s="197" t="s">
        <v>336</v>
      </c>
      <c r="G195" s="197">
        <v>44050</v>
      </c>
      <c r="H195" s="197">
        <v>44080</v>
      </c>
      <c r="I195" s="197">
        <f t="shared" si="18"/>
        <v>44065</v>
      </c>
      <c r="J195" s="197">
        <v>44095</v>
      </c>
      <c r="K195" s="102">
        <f t="shared" si="19"/>
        <v>30</v>
      </c>
      <c r="L195" s="53">
        <f t="shared" si="20"/>
        <v>936</v>
      </c>
      <c r="M195" s="197">
        <v>44105</v>
      </c>
      <c r="N195" s="55">
        <f t="shared" si="21"/>
        <v>10</v>
      </c>
      <c r="O195" s="198">
        <f t="shared" si="22"/>
        <v>312</v>
      </c>
      <c r="P195" s="53"/>
    </row>
    <row r="196" spans="1:16">
      <c r="A196" s="54">
        <f t="shared" si="17"/>
        <v>188</v>
      </c>
      <c r="B196" s="53" t="s">
        <v>384</v>
      </c>
      <c r="C196" s="197">
        <v>44218</v>
      </c>
      <c r="D196" s="53">
        <v>12.3</v>
      </c>
      <c r="E196" s="53">
        <v>12.3</v>
      </c>
      <c r="F196" s="197" t="s">
        <v>336</v>
      </c>
      <c r="G196" s="197">
        <v>44179</v>
      </c>
      <c r="H196" s="197">
        <v>44210</v>
      </c>
      <c r="I196" s="197">
        <f t="shared" si="18"/>
        <v>44194.5</v>
      </c>
      <c r="J196" s="197">
        <v>44228</v>
      </c>
      <c r="K196" s="102">
        <f t="shared" si="19"/>
        <v>34</v>
      </c>
      <c r="L196" s="53">
        <f t="shared" si="20"/>
        <v>418</v>
      </c>
      <c r="M196" s="197">
        <v>44237</v>
      </c>
      <c r="N196" s="55">
        <f t="shared" si="21"/>
        <v>9</v>
      </c>
      <c r="O196" s="198">
        <f t="shared" si="22"/>
        <v>111</v>
      </c>
      <c r="P196" s="53"/>
    </row>
    <row r="197" spans="1:16">
      <c r="A197" s="54">
        <f t="shared" si="17"/>
        <v>189</v>
      </c>
      <c r="B197" s="53" t="s">
        <v>384</v>
      </c>
      <c r="C197" s="197">
        <v>44225</v>
      </c>
      <c r="D197" s="53">
        <v>30.09</v>
      </c>
      <c r="E197" s="53">
        <v>31.9</v>
      </c>
      <c r="F197" s="197" t="s">
        <v>336</v>
      </c>
      <c r="G197" s="197">
        <v>44186</v>
      </c>
      <c r="H197" s="197">
        <v>44217</v>
      </c>
      <c r="I197" s="197">
        <f t="shared" si="18"/>
        <v>44201.5</v>
      </c>
      <c r="J197" s="197">
        <v>44230</v>
      </c>
      <c r="K197" s="102">
        <f t="shared" si="19"/>
        <v>29</v>
      </c>
      <c r="L197" s="53">
        <f t="shared" si="20"/>
        <v>925</v>
      </c>
      <c r="M197" s="197">
        <v>44237</v>
      </c>
      <c r="N197" s="55">
        <f t="shared" si="21"/>
        <v>7</v>
      </c>
      <c r="O197" s="198">
        <f t="shared" si="22"/>
        <v>223</v>
      </c>
      <c r="P197" s="53"/>
    </row>
    <row r="198" spans="1:16">
      <c r="A198" s="54">
        <f t="shared" si="17"/>
        <v>190</v>
      </c>
      <c r="B198" s="53" t="s">
        <v>384</v>
      </c>
      <c r="C198" s="197">
        <v>44225</v>
      </c>
      <c r="D198" s="53">
        <v>25.01</v>
      </c>
      <c r="E198" s="53">
        <v>26.51</v>
      </c>
      <c r="F198" s="197" t="s">
        <v>336</v>
      </c>
      <c r="G198" s="197">
        <v>44186</v>
      </c>
      <c r="H198" s="197">
        <v>44217</v>
      </c>
      <c r="I198" s="197">
        <f t="shared" si="18"/>
        <v>44201.5</v>
      </c>
      <c r="J198" s="197">
        <v>44230</v>
      </c>
      <c r="K198" s="102">
        <f t="shared" si="19"/>
        <v>29</v>
      </c>
      <c r="L198" s="53">
        <f t="shared" si="20"/>
        <v>769</v>
      </c>
      <c r="M198" s="197">
        <v>44237</v>
      </c>
      <c r="N198" s="55">
        <f t="shared" si="21"/>
        <v>7</v>
      </c>
      <c r="O198" s="198">
        <f t="shared" si="22"/>
        <v>186</v>
      </c>
      <c r="P198" s="53"/>
    </row>
    <row r="199" spans="1:16">
      <c r="A199" s="54">
        <f t="shared" si="17"/>
        <v>191</v>
      </c>
      <c r="B199" s="53" t="s">
        <v>385</v>
      </c>
      <c r="C199" s="197">
        <v>44253</v>
      </c>
      <c r="D199" s="53">
        <v>548</v>
      </c>
      <c r="E199" s="53">
        <v>548</v>
      </c>
      <c r="F199" s="197" t="s">
        <v>336</v>
      </c>
      <c r="G199" s="197">
        <v>44250</v>
      </c>
      <c r="H199" s="197">
        <v>44250</v>
      </c>
      <c r="I199" s="197">
        <f t="shared" si="18"/>
        <v>44250</v>
      </c>
      <c r="J199" s="197">
        <v>44279</v>
      </c>
      <c r="K199" s="102">
        <f t="shared" si="19"/>
        <v>29</v>
      </c>
      <c r="L199" s="53">
        <f t="shared" si="20"/>
        <v>15892</v>
      </c>
      <c r="M199" s="197">
        <v>44288</v>
      </c>
      <c r="N199" s="55">
        <f t="shared" si="21"/>
        <v>9</v>
      </c>
      <c r="O199" s="198">
        <f t="shared" si="22"/>
        <v>4932</v>
      </c>
      <c r="P199" s="53"/>
    </row>
    <row r="200" spans="1:16">
      <c r="A200" s="54">
        <f t="shared" si="17"/>
        <v>192</v>
      </c>
      <c r="B200" s="53" t="s">
        <v>386</v>
      </c>
      <c r="C200" s="197">
        <v>44039</v>
      </c>
      <c r="D200" s="53">
        <v>978.9</v>
      </c>
      <c r="E200" s="53">
        <v>978.9</v>
      </c>
      <c r="F200" s="197" t="s">
        <v>336</v>
      </c>
      <c r="G200" s="197">
        <v>44039</v>
      </c>
      <c r="H200" s="197">
        <v>44039</v>
      </c>
      <c r="I200" s="197">
        <f t="shared" si="18"/>
        <v>44039</v>
      </c>
      <c r="J200" s="197">
        <v>44067</v>
      </c>
      <c r="K200" s="102">
        <f t="shared" si="19"/>
        <v>28</v>
      </c>
      <c r="L200" s="53">
        <f t="shared" si="20"/>
        <v>27409</v>
      </c>
      <c r="M200" s="197">
        <v>44076</v>
      </c>
      <c r="N200" s="55">
        <f t="shared" si="21"/>
        <v>9</v>
      </c>
      <c r="O200" s="198">
        <f t="shared" si="22"/>
        <v>8810</v>
      </c>
      <c r="P200" s="53"/>
    </row>
    <row r="201" spans="1:16">
      <c r="A201" s="54">
        <f t="shared" si="17"/>
        <v>193</v>
      </c>
      <c r="B201" s="53" t="s">
        <v>386</v>
      </c>
      <c r="C201" s="197">
        <v>44039</v>
      </c>
      <c r="D201" s="53">
        <v>7215.65</v>
      </c>
      <c r="E201" s="53">
        <v>7215.65</v>
      </c>
      <c r="F201" s="197" t="s">
        <v>336</v>
      </c>
      <c r="G201" s="197">
        <v>44039</v>
      </c>
      <c r="H201" s="197">
        <v>44039</v>
      </c>
      <c r="I201" s="197">
        <f t="shared" si="18"/>
        <v>44039</v>
      </c>
      <c r="J201" s="197">
        <v>44067</v>
      </c>
      <c r="K201" s="102">
        <f t="shared" si="19"/>
        <v>28</v>
      </c>
      <c r="L201" s="53">
        <f t="shared" si="20"/>
        <v>202038</v>
      </c>
      <c r="M201" s="197">
        <v>44076</v>
      </c>
      <c r="N201" s="55">
        <f t="shared" si="21"/>
        <v>9</v>
      </c>
      <c r="O201" s="198">
        <f t="shared" si="22"/>
        <v>64941</v>
      </c>
      <c r="P201" s="53"/>
    </row>
    <row r="202" spans="1:16">
      <c r="A202" s="54">
        <f t="shared" ref="A202:A265" si="23">1+A201</f>
        <v>194</v>
      </c>
      <c r="B202" s="53" t="s">
        <v>386</v>
      </c>
      <c r="C202" s="197">
        <v>44053</v>
      </c>
      <c r="D202" s="53">
        <v>2917.96</v>
      </c>
      <c r="E202" s="53">
        <v>2917.96</v>
      </c>
      <c r="F202" s="197" t="s">
        <v>336</v>
      </c>
      <c r="G202" s="197">
        <v>44053</v>
      </c>
      <c r="H202" s="197">
        <v>44053</v>
      </c>
      <c r="I202" s="197">
        <f t="shared" ref="I202:I265" si="24">IF(H202&lt;1," ",(((H202-G202)/2)+G202))</f>
        <v>44053</v>
      </c>
      <c r="J202" s="197">
        <v>44083</v>
      </c>
      <c r="K202" s="102">
        <f t="shared" ref="K202:K265" si="25">(ROUND(IF(H202&lt;1,J202-C202,J202-I202),0))</f>
        <v>30</v>
      </c>
      <c r="L202" s="53">
        <f t="shared" ref="L202:L265" si="26">ROUND(K202*E202,0)</f>
        <v>87539</v>
      </c>
      <c r="M202" s="197">
        <v>44096</v>
      </c>
      <c r="N202" s="55">
        <f t="shared" ref="N202:N265" si="27">IF(M202="",0,M202-J202)</f>
        <v>13</v>
      </c>
      <c r="O202" s="198">
        <f t="shared" ref="O202:O265" si="28">ROUND(+N202*E202,0)</f>
        <v>37933</v>
      </c>
      <c r="P202" s="53"/>
    </row>
    <row r="203" spans="1:16">
      <c r="A203" s="54">
        <f t="shared" si="23"/>
        <v>195</v>
      </c>
      <c r="B203" s="53" t="s">
        <v>386</v>
      </c>
      <c r="C203" s="197">
        <v>44069</v>
      </c>
      <c r="D203" s="53">
        <v>100</v>
      </c>
      <c r="E203" s="53">
        <v>100</v>
      </c>
      <c r="F203" s="197" t="s">
        <v>336</v>
      </c>
      <c r="G203" s="197">
        <v>44069</v>
      </c>
      <c r="H203" s="197">
        <v>44069</v>
      </c>
      <c r="I203" s="197">
        <f t="shared" si="24"/>
        <v>44069</v>
      </c>
      <c r="J203" s="197">
        <v>44095</v>
      </c>
      <c r="K203" s="102">
        <f t="shared" si="25"/>
        <v>26</v>
      </c>
      <c r="L203" s="53">
        <f t="shared" si="26"/>
        <v>2600</v>
      </c>
      <c r="M203" s="197">
        <v>44103</v>
      </c>
      <c r="N203" s="55">
        <f t="shared" si="27"/>
        <v>8</v>
      </c>
      <c r="O203" s="198">
        <f t="shared" si="28"/>
        <v>800</v>
      </c>
      <c r="P203" s="53"/>
    </row>
    <row r="204" spans="1:16">
      <c r="A204" s="54">
        <f t="shared" si="23"/>
        <v>196</v>
      </c>
      <c r="B204" s="53" t="s">
        <v>386</v>
      </c>
      <c r="C204" s="197">
        <v>44130</v>
      </c>
      <c r="D204" s="53">
        <v>1865.61</v>
      </c>
      <c r="E204" s="53">
        <v>1865.61</v>
      </c>
      <c r="F204" s="197" t="s">
        <v>336</v>
      </c>
      <c r="G204" s="197">
        <v>44130</v>
      </c>
      <c r="H204" s="197">
        <v>44130</v>
      </c>
      <c r="I204" s="197">
        <f t="shared" si="24"/>
        <v>44130</v>
      </c>
      <c r="J204" s="197">
        <v>44158</v>
      </c>
      <c r="K204" s="102">
        <f t="shared" si="25"/>
        <v>28</v>
      </c>
      <c r="L204" s="53">
        <f t="shared" si="26"/>
        <v>52237</v>
      </c>
      <c r="M204" s="197">
        <v>44167</v>
      </c>
      <c r="N204" s="55">
        <f t="shared" si="27"/>
        <v>9</v>
      </c>
      <c r="O204" s="198">
        <f t="shared" si="28"/>
        <v>16790</v>
      </c>
      <c r="P204" s="53"/>
    </row>
    <row r="205" spans="1:16">
      <c r="A205" s="54">
        <f t="shared" si="23"/>
        <v>197</v>
      </c>
      <c r="B205" s="53" t="s">
        <v>386</v>
      </c>
      <c r="C205" s="197">
        <v>44218</v>
      </c>
      <c r="D205" s="53">
        <v>1000</v>
      </c>
      <c r="E205" s="53">
        <v>1000</v>
      </c>
      <c r="F205" s="197" t="s">
        <v>336</v>
      </c>
      <c r="G205" s="197">
        <v>44218</v>
      </c>
      <c r="H205" s="197">
        <v>44218</v>
      </c>
      <c r="I205" s="197">
        <f t="shared" si="24"/>
        <v>44218</v>
      </c>
      <c r="J205" s="197">
        <v>44246</v>
      </c>
      <c r="K205" s="102">
        <f t="shared" si="25"/>
        <v>28</v>
      </c>
      <c r="L205" s="53">
        <f t="shared" si="26"/>
        <v>28000</v>
      </c>
      <c r="M205" s="197">
        <v>44252</v>
      </c>
      <c r="N205" s="55">
        <f t="shared" si="27"/>
        <v>6</v>
      </c>
      <c r="O205" s="198">
        <f t="shared" si="28"/>
        <v>6000</v>
      </c>
      <c r="P205" s="53"/>
    </row>
    <row r="206" spans="1:16">
      <c r="A206" s="54">
        <f t="shared" si="23"/>
        <v>198</v>
      </c>
      <c r="B206" s="53" t="s">
        <v>387</v>
      </c>
      <c r="C206" s="197">
        <v>44166</v>
      </c>
      <c r="D206" s="53">
        <v>848</v>
      </c>
      <c r="E206" s="53">
        <v>848</v>
      </c>
      <c r="F206" s="197" t="s">
        <v>336</v>
      </c>
      <c r="G206" s="197">
        <v>44166</v>
      </c>
      <c r="H206" s="197">
        <v>44166</v>
      </c>
      <c r="I206" s="197">
        <f t="shared" si="24"/>
        <v>44166</v>
      </c>
      <c r="J206" s="197">
        <v>44179</v>
      </c>
      <c r="K206" s="102">
        <f t="shared" si="25"/>
        <v>13</v>
      </c>
      <c r="L206" s="53">
        <f t="shared" si="26"/>
        <v>11024</v>
      </c>
      <c r="M206" s="197">
        <v>44188</v>
      </c>
      <c r="N206" s="55">
        <f t="shared" si="27"/>
        <v>9</v>
      </c>
      <c r="O206" s="198">
        <f t="shared" si="28"/>
        <v>7632</v>
      </c>
      <c r="P206" s="53"/>
    </row>
    <row r="207" spans="1:16">
      <c r="A207" s="54">
        <f t="shared" si="23"/>
        <v>199</v>
      </c>
      <c r="B207" s="53" t="s">
        <v>388</v>
      </c>
      <c r="C207" s="197">
        <v>44252</v>
      </c>
      <c r="D207" s="53">
        <v>636</v>
      </c>
      <c r="E207" s="53">
        <v>636</v>
      </c>
      <c r="F207" s="197" t="s">
        <v>276</v>
      </c>
      <c r="G207" s="197">
        <v>44228</v>
      </c>
      <c r="H207" s="197">
        <v>44255</v>
      </c>
      <c r="I207" s="197">
        <f t="shared" si="24"/>
        <v>44241.5</v>
      </c>
      <c r="J207" s="197">
        <v>44277</v>
      </c>
      <c r="K207" s="102">
        <f t="shared" si="25"/>
        <v>36</v>
      </c>
      <c r="L207" s="53">
        <f t="shared" si="26"/>
        <v>22896</v>
      </c>
      <c r="M207" s="197">
        <v>44277</v>
      </c>
      <c r="N207" s="55">
        <f t="shared" si="27"/>
        <v>0</v>
      </c>
      <c r="O207" s="198">
        <f t="shared" si="28"/>
        <v>0</v>
      </c>
      <c r="P207" s="53"/>
    </row>
    <row r="208" spans="1:16">
      <c r="A208" s="54">
        <f t="shared" si="23"/>
        <v>200</v>
      </c>
      <c r="B208" s="53" t="s">
        <v>389</v>
      </c>
      <c r="C208" s="197">
        <v>43927</v>
      </c>
      <c r="D208" s="53">
        <v>82.08</v>
      </c>
      <c r="E208" s="53">
        <v>82.08</v>
      </c>
      <c r="F208" s="197" t="s">
        <v>336</v>
      </c>
      <c r="G208" s="197">
        <v>43896</v>
      </c>
      <c r="H208" s="197">
        <v>43927</v>
      </c>
      <c r="I208" s="197">
        <f t="shared" si="24"/>
        <v>43911.5</v>
      </c>
      <c r="J208" s="197">
        <v>43941</v>
      </c>
      <c r="K208" s="102">
        <f t="shared" si="25"/>
        <v>30</v>
      </c>
      <c r="L208" s="53">
        <f t="shared" si="26"/>
        <v>2462</v>
      </c>
      <c r="M208" s="197">
        <v>43949</v>
      </c>
      <c r="N208" s="55">
        <f t="shared" si="27"/>
        <v>8</v>
      </c>
      <c r="O208" s="198">
        <f t="shared" si="28"/>
        <v>657</v>
      </c>
      <c r="P208" s="53"/>
    </row>
    <row r="209" spans="1:16">
      <c r="A209" s="54">
        <f t="shared" si="23"/>
        <v>201</v>
      </c>
      <c r="B209" s="53" t="s">
        <v>389</v>
      </c>
      <c r="C209" s="197">
        <v>43984</v>
      </c>
      <c r="D209" s="53">
        <v>30.9</v>
      </c>
      <c r="E209" s="53">
        <v>30.9</v>
      </c>
      <c r="F209" s="197" t="s">
        <v>336</v>
      </c>
      <c r="G209" s="197">
        <v>43953</v>
      </c>
      <c r="H209" s="197">
        <v>43984</v>
      </c>
      <c r="I209" s="197">
        <f t="shared" si="24"/>
        <v>43968.5</v>
      </c>
      <c r="J209" s="197">
        <v>44006</v>
      </c>
      <c r="K209" s="102">
        <f t="shared" si="25"/>
        <v>38</v>
      </c>
      <c r="L209" s="53">
        <f t="shared" si="26"/>
        <v>1174</v>
      </c>
      <c r="M209" s="197">
        <v>44013</v>
      </c>
      <c r="N209" s="55">
        <f t="shared" si="27"/>
        <v>7</v>
      </c>
      <c r="O209" s="198">
        <f t="shared" si="28"/>
        <v>216</v>
      </c>
      <c r="P209" s="53"/>
    </row>
    <row r="210" spans="1:16">
      <c r="A210" s="54">
        <f t="shared" si="23"/>
        <v>202</v>
      </c>
      <c r="B210" s="53" t="s">
        <v>389</v>
      </c>
      <c r="C210" s="197">
        <v>43988</v>
      </c>
      <c r="D210" s="53">
        <v>27.9</v>
      </c>
      <c r="E210" s="53">
        <v>27.9</v>
      </c>
      <c r="F210" s="197" t="s">
        <v>336</v>
      </c>
      <c r="G210" s="197">
        <v>43957</v>
      </c>
      <c r="H210" s="197">
        <v>43988</v>
      </c>
      <c r="I210" s="197">
        <f t="shared" si="24"/>
        <v>43972.5</v>
      </c>
      <c r="J210" s="197">
        <v>44004</v>
      </c>
      <c r="K210" s="102">
        <f t="shared" si="25"/>
        <v>32</v>
      </c>
      <c r="L210" s="53">
        <f t="shared" si="26"/>
        <v>893</v>
      </c>
      <c r="M210" s="197">
        <v>44012</v>
      </c>
      <c r="N210" s="55">
        <f t="shared" si="27"/>
        <v>8</v>
      </c>
      <c r="O210" s="198">
        <f t="shared" si="28"/>
        <v>223</v>
      </c>
      <c r="P210" s="53"/>
    </row>
    <row r="211" spans="1:16">
      <c r="A211" s="54">
        <f t="shared" si="23"/>
        <v>203</v>
      </c>
      <c r="B211" s="53" t="s">
        <v>389</v>
      </c>
      <c r="C211" s="197">
        <v>44014</v>
      </c>
      <c r="D211" s="53">
        <v>59.1</v>
      </c>
      <c r="E211" s="53">
        <v>59.1</v>
      </c>
      <c r="F211" s="197" t="s">
        <v>336</v>
      </c>
      <c r="G211" s="197">
        <v>43984</v>
      </c>
      <c r="H211" s="197">
        <v>44014</v>
      </c>
      <c r="I211" s="197">
        <f t="shared" si="24"/>
        <v>43999</v>
      </c>
      <c r="J211" s="197">
        <v>44027</v>
      </c>
      <c r="K211" s="102">
        <f t="shared" si="25"/>
        <v>28</v>
      </c>
      <c r="L211" s="53">
        <f t="shared" si="26"/>
        <v>1655</v>
      </c>
      <c r="M211" s="197">
        <v>44039</v>
      </c>
      <c r="N211" s="55">
        <f t="shared" si="27"/>
        <v>12</v>
      </c>
      <c r="O211" s="198">
        <f t="shared" si="28"/>
        <v>709</v>
      </c>
      <c r="P211" s="53"/>
    </row>
    <row r="212" spans="1:16">
      <c r="A212" s="54">
        <f t="shared" si="23"/>
        <v>204</v>
      </c>
      <c r="B212" s="53" t="s">
        <v>389</v>
      </c>
      <c r="C212" s="197">
        <v>44021</v>
      </c>
      <c r="D212" s="53">
        <v>2028.1</v>
      </c>
      <c r="E212" s="53">
        <v>1014.05</v>
      </c>
      <c r="F212" s="197" t="s">
        <v>336</v>
      </c>
      <c r="G212" s="197">
        <v>43991</v>
      </c>
      <c r="H212" s="197">
        <v>44021</v>
      </c>
      <c r="I212" s="197">
        <f t="shared" si="24"/>
        <v>44006</v>
      </c>
      <c r="J212" s="197">
        <v>44034</v>
      </c>
      <c r="K212" s="102">
        <f t="shared" si="25"/>
        <v>28</v>
      </c>
      <c r="L212" s="53">
        <f t="shared" si="26"/>
        <v>28393</v>
      </c>
      <c r="M212" s="197">
        <v>44041</v>
      </c>
      <c r="N212" s="55">
        <f t="shared" si="27"/>
        <v>7</v>
      </c>
      <c r="O212" s="198">
        <f t="shared" si="28"/>
        <v>7098</v>
      </c>
      <c r="P212" s="53"/>
    </row>
    <row r="213" spans="1:16">
      <c r="A213" s="54">
        <f t="shared" si="23"/>
        <v>205</v>
      </c>
      <c r="B213" s="53" t="s">
        <v>389</v>
      </c>
      <c r="C213" s="197">
        <v>44035</v>
      </c>
      <c r="D213" s="53">
        <v>33.21</v>
      </c>
      <c r="E213" s="53">
        <v>33.21</v>
      </c>
      <c r="F213" s="197" t="s">
        <v>336</v>
      </c>
      <c r="G213" s="197">
        <v>44005</v>
      </c>
      <c r="H213" s="197">
        <v>44035</v>
      </c>
      <c r="I213" s="197">
        <f t="shared" si="24"/>
        <v>44020</v>
      </c>
      <c r="J213" s="197">
        <v>44053</v>
      </c>
      <c r="K213" s="102">
        <f t="shared" si="25"/>
        <v>33</v>
      </c>
      <c r="L213" s="53">
        <f t="shared" si="26"/>
        <v>1096</v>
      </c>
      <c r="M213" s="197">
        <v>44061</v>
      </c>
      <c r="N213" s="55">
        <f t="shared" si="27"/>
        <v>8</v>
      </c>
      <c r="O213" s="198">
        <f t="shared" si="28"/>
        <v>266</v>
      </c>
      <c r="P213" s="53"/>
    </row>
    <row r="214" spans="1:16">
      <c r="A214" s="54">
        <f t="shared" si="23"/>
        <v>206</v>
      </c>
      <c r="B214" s="53" t="s">
        <v>389</v>
      </c>
      <c r="C214" s="197">
        <v>44059</v>
      </c>
      <c r="D214" s="53">
        <v>27.03</v>
      </c>
      <c r="E214" s="53">
        <v>27.03</v>
      </c>
      <c r="F214" s="197" t="s">
        <v>336</v>
      </c>
      <c r="G214" s="197">
        <v>44028</v>
      </c>
      <c r="H214" s="197">
        <v>44059</v>
      </c>
      <c r="I214" s="197">
        <f t="shared" si="24"/>
        <v>44043.5</v>
      </c>
      <c r="J214" s="197">
        <v>44083</v>
      </c>
      <c r="K214" s="102">
        <f t="shared" si="25"/>
        <v>40</v>
      </c>
      <c r="L214" s="53">
        <f t="shared" si="26"/>
        <v>1081</v>
      </c>
      <c r="M214" s="197">
        <v>44091</v>
      </c>
      <c r="N214" s="55">
        <f t="shared" si="27"/>
        <v>8</v>
      </c>
      <c r="O214" s="198">
        <f t="shared" si="28"/>
        <v>216</v>
      </c>
      <c r="P214" s="53"/>
    </row>
    <row r="215" spans="1:16">
      <c r="A215" s="54">
        <f t="shared" si="23"/>
        <v>207</v>
      </c>
      <c r="B215" s="53" t="s">
        <v>389</v>
      </c>
      <c r="C215" s="197">
        <v>44085</v>
      </c>
      <c r="D215" s="53">
        <v>27</v>
      </c>
      <c r="E215" s="53">
        <v>27</v>
      </c>
      <c r="F215" s="197" t="s">
        <v>336</v>
      </c>
      <c r="G215" s="197">
        <v>44054</v>
      </c>
      <c r="H215" s="197">
        <v>44085</v>
      </c>
      <c r="I215" s="197">
        <f t="shared" si="24"/>
        <v>44069.5</v>
      </c>
      <c r="J215" s="197">
        <v>44097</v>
      </c>
      <c r="K215" s="102">
        <f t="shared" si="25"/>
        <v>28</v>
      </c>
      <c r="L215" s="53">
        <f t="shared" si="26"/>
        <v>756</v>
      </c>
      <c r="M215" s="197">
        <v>44105</v>
      </c>
      <c r="N215" s="55">
        <f t="shared" si="27"/>
        <v>8</v>
      </c>
      <c r="O215" s="198">
        <f t="shared" si="28"/>
        <v>216</v>
      </c>
      <c r="P215" s="53"/>
    </row>
    <row r="216" spans="1:16">
      <c r="A216" s="54">
        <f t="shared" si="23"/>
        <v>208</v>
      </c>
      <c r="B216" s="53" t="s">
        <v>389</v>
      </c>
      <c r="C216" s="197">
        <v>44090</v>
      </c>
      <c r="D216" s="53">
        <v>27</v>
      </c>
      <c r="E216" s="53">
        <v>27</v>
      </c>
      <c r="F216" s="197" t="s">
        <v>336</v>
      </c>
      <c r="G216" s="197">
        <v>44059</v>
      </c>
      <c r="H216" s="197">
        <v>44090</v>
      </c>
      <c r="I216" s="197">
        <f t="shared" si="24"/>
        <v>44074.5</v>
      </c>
      <c r="J216" s="197">
        <v>44104</v>
      </c>
      <c r="K216" s="102">
        <f t="shared" si="25"/>
        <v>30</v>
      </c>
      <c r="L216" s="53">
        <f t="shared" si="26"/>
        <v>810</v>
      </c>
      <c r="M216" s="197">
        <v>44112</v>
      </c>
      <c r="N216" s="55">
        <f t="shared" si="27"/>
        <v>8</v>
      </c>
      <c r="O216" s="198">
        <f t="shared" si="28"/>
        <v>216</v>
      </c>
      <c r="P216" s="53"/>
    </row>
    <row r="217" spans="1:16">
      <c r="A217" s="54">
        <f t="shared" si="23"/>
        <v>209</v>
      </c>
      <c r="B217" s="53" t="s">
        <v>389</v>
      </c>
      <c r="C217" s="197">
        <v>44106</v>
      </c>
      <c r="D217" s="53">
        <v>64.150000000000006</v>
      </c>
      <c r="E217" s="53">
        <v>64.150000000000006</v>
      </c>
      <c r="F217" s="197" t="s">
        <v>336</v>
      </c>
      <c r="G217" s="197">
        <v>44076</v>
      </c>
      <c r="H217" s="197">
        <v>44106</v>
      </c>
      <c r="I217" s="197">
        <f t="shared" si="24"/>
        <v>44091</v>
      </c>
      <c r="J217" s="197">
        <v>44123</v>
      </c>
      <c r="K217" s="102">
        <f t="shared" si="25"/>
        <v>32</v>
      </c>
      <c r="L217" s="53">
        <f t="shared" si="26"/>
        <v>2053</v>
      </c>
      <c r="M217" s="197">
        <v>44130</v>
      </c>
      <c r="N217" s="55">
        <f t="shared" si="27"/>
        <v>7</v>
      </c>
      <c r="O217" s="198">
        <f t="shared" si="28"/>
        <v>449</v>
      </c>
      <c r="P217" s="53"/>
    </row>
    <row r="218" spans="1:16">
      <c r="A218" s="54">
        <f t="shared" si="23"/>
        <v>210</v>
      </c>
      <c r="B218" s="53" t="s">
        <v>389</v>
      </c>
      <c r="C218" s="197">
        <v>44124</v>
      </c>
      <c r="D218" s="53">
        <v>38.020000000000003</v>
      </c>
      <c r="E218" s="53">
        <v>38.020000000000003</v>
      </c>
      <c r="F218" s="197" t="s">
        <v>336</v>
      </c>
      <c r="G218" s="197">
        <v>44094</v>
      </c>
      <c r="H218" s="197">
        <v>44124</v>
      </c>
      <c r="I218" s="197">
        <f t="shared" si="24"/>
        <v>44109</v>
      </c>
      <c r="J218" s="197">
        <v>44139</v>
      </c>
      <c r="K218" s="102">
        <f t="shared" si="25"/>
        <v>30</v>
      </c>
      <c r="L218" s="53">
        <f t="shared" si="26"/>
        <v>1141</v>
      </c>
      <c r="M218" s="197">
        <v>44145</v>
      </c>
      <c r="N218" s="55">
        <f t="shared" si="27"/>
        <v>6</v>
      </c>
      <c r="O218" s="198">
        <f t="shared" si="28"/>
        <v>228</v>
      </c>
      <c r="P218" s="53"/>
    </row>
    <row r="219" spans="1:16">
      <c r="A219" s="54">
        <f t="shared" si="23"/>
        <v>211</v>
      </c>
      <c r="B219" s="53" t="s">
        <v>389</v>
      </c>
      <c r="C219" s="197">
        <v>44132</v>
      </c>
      <c r="D219" s="53">
        <v>26.89</v>
      </c>
      <c r="E219" s="53">
        <v>26.89</v>
      </c>
      <c r="F219" s="197" t="s">
        <v>336</v>
      </c>
      <c r="G219" s="197">
        <v>44102</v>
      </c>
      <c r="H219" s="197">
        <v>44132</v>
      </c>
      <c r="I219" s="197">
        <f t="shared" si="24"/>
        <v>44117</v>
      </c>
      <c r="J219" s="197">
        <v>44151</v>
      </c>
      <c r="K219" s="102">
        <f t="shared" si="25"/>
        <v>34</v>
      </c>
      <c r="L219" s="53">
        <f t="shared" si="26"/>
        <v>914</v>
      </c>
      <c r="M219" s="197">
        <v>44158</v>
      </c>
      <c r="N219" s="55">
        <f t="shared" si="27"/>
        <v>7</v>
      </c>
      <c r="O219" s="198">
        <f t="shared" si="28"/>
        <v>188</v>
      </c>
      <c r="P219" s="53"/>
    </row>
    <row r="220" spans="1:16">
      <c r="A220" s="54">
        <f t="shared" si="23"/>
        <v>212</v>
      </c>
      <c r="B220" s="53" t="s">
        <v>389</v>
      </c>
      <c r="C220" s="197">
        <v>44137</v>
      </c>
      <c r="D220" s="53">
        <v>44.33</v>
      </c>
      <c r="E220" s="53">
        <v>44.33</v>
      </c>
      <c r="F220" s="197" t="s">
        <v>336</v>
      </c>
      <c r="G220" s="197">
        <v>44106</v>
      </c>
      <c r="H220" s="197">
        <v>44137</v>
      </c>
      <c r="I220" s="197">
        <f t="shared" si="24"/>
        <v>44121.5</v>
      </c>
      <c r="J220" s="197">
        <v>44158</v>
      </c>
      <c r="K220" s="102">
        <f t="shared" si="25"/>
        <v>37</v>
      </c>
      <c r="L220" s="53">
        <f t="shared" si="26"/>
        <v>1640</v>
      </c>
      <c r="M220" s="197">
        <v>44168</v>
      </c>
      <c r="N220" s="55">
        <f t="shared" si="27"/>
        <v>10</v>
      </c>
      <c r="O220" s="198">
        <f t="shared" si="28"/>
        <v>443</v>
      </c>
      <c r="P220" s="53"/>
    </row>
    <row r="221" spans="1:16">
      <c r="A221" s="54">
        <f t="shared" si="23"/>
        <v>213</v>
      </c>
      <c r="B221" s="53" t="s">
        <v>389</v>
      </c>
      <c r="C221" s="197">
        <v>44141</v>
      </c>
      <c r="D221" s="53">
        <v>25.28</v>
      </c>
      <c r="E221" s="53">
        <v>25.28</v>
      </c>
      <c r="F221" s="197" t="s">
        <v>336</v>
      </c>
      <c r="G221" s="197">
        <v>44110</v>
      </c>
      <c r="H221" s="197">
        <v>44141</v>
      </c>
      <c r="I221" s="197">
        <f t="shared" si="24"/>
        <v>44125.5</v>
      </c>
      <c r="J221" s="197">
        <v>44158</v>
      </c>
      <c r="K221" s="102">
        <f t="shared" si="25"/>
        <v>33</v>
      </c>
      <c r="L221" s="53">
        <f t="shared" si="26"/>
        <v>834</v>
      </c>
      <c r="M221" s="197">
        <v>44168</v>
      </c>
      <c r="N221" s="55">
        <f t="shared" si="27"/>
        <v>10</v>
      </c>
      <c r="O221" s="198">
        <f t="shared" si="28"/>
        <v>253</v>
      </c>
      <c r="P221" s="53"/>
    </row>
    <row r="222" spans="1:16">
      <c r="A222" s="54">
        <f t="shared" si="23"/>
        <v>214</v>
      </c>
      <c r="B222" s="53" t="s">
        <v>389</v>
      </c>
      <c r="C222" s="197">
        <v>44182</v>
      </c>
      <c r="D222" s="53">
        <v>30.69</v>
      </c>
      <c r="E222" s="53">
        <v>30.69</v>
      </c>
      <c r="F222" s="197" t="s">
        <v>336</v>
      </c>
      <c r="G222" s="197">
        <v>44152</v>
      </c>
      <c r="H222" s="197">
        <v>44182</v>
      </c>
      <c r="I222" s="197">
        <f t="shared" si="24"/>
        <v>44167</v>
      </c>
      <c r="J222" s="197">
        <v>44200</v>
      </c>
      <c r="K222" s="102">
        <f t="shared" si="25"/>
        <v>33</v>
      </c>
      <c r="L222" s="53">
        <f t="shared" si="26"/>
        <v>1013</v>
      </c>
      <c r="M222" s="197">
        <v>44207</v>
      </c>
      <c r="N222" s="55">
        <f t="shared" si="27"/>
        <v>7</v>
      </c>
      <c r="O222" s="198">
        <f t="shared" si="28"/>
        <v>215</v>
      </c>
      <c r="P222" s="53"/>
    </row>
    <row r="223" spans="1:16">
      <c r="A223" s="54">
        <f t="shared" si="23"/>
        <v>215</v>
      </c>
      <c r="B223" s="53" t="s">
        <v>389</v>
      </c>
      <c r="C223" s="197">
        <v>44247</v>
      </c>
      <c r="D223" s="53">
        <v>37.44</v>
      </c>
      <c r="E223" s="53">
        <v>37.44</v>
      </c>
      <c r="F223" s="197" t="s">
        <v>336</v>
      </c>
      <c r="G223" s="197">
        <v>44216</v>
      </c>
      <c r="H223" s="197">
        <v>44247</v>
      </c>
      <c r="I223" s="197">
        <f t="shared" si="24"/>
        <v>44231.5</v>
      </c>
      <c r="J223" s="197">
        <v>44265</v>
      </c>
      <c r="K223" s="102">
        <f t="shared" si="25"/>
        <v>34</v>
      </c>
      <c r="L223" s="53">
        <f t="shared" si="26"/>
        <v>1273</v>
      </c>
      <c r="M223" s="197">
        <v>44271</v>
      </c>
      <c r="N223" s="55">
        <f t="shared" si="27"/>
        <v>6</v>
      </c>
      <c r="O223" s="198">
        <f t="shared" si="28"/>
        <v>225</v>
      </c>
      <c r="P223" s="53"/>
    </row>
    <row r="224" spans="1:16">
      <c r="A224" s="54">
        <f t="shared" si="23"/>
        <v>216</v>
      </c>
      <c r="B224" s="53" t="s">
        <v>389</v>
      </c>
      <c r="C224" s="197">
        <v>44251</v>
      </c>
      <c r="D224" s="53">
        <v>25.24</v>
      </c>
      <c r="E224" s="53">
        <v>25.24</v>
      </c>
      <c r="F224" s="197" t="s">
        <v>336</v>
      </c>
      <c r="G224" s="197">
        <v>44202</v>
      </c>
      <c r="H224" s="197">
        <v>44233</v>
      </c>
      <c r="I224" s="197">
        <f t="shared" si="24"/>
        <v>44217.5</v>
      </c>
      <c r="J224" s="197">
        <v>44256</v>
      </c>
      <c r="K224" s="102">
        <f t="shared" si="25"/>
        <v>39</v>
      </c>
      <c r="L224" s="53">
        <f t="shared" si="26"/>
        <v>984</v>
      </c>
      <c r="M224" s="197">
        <v>44263</v>
      </c>
      <c r="N224" s="55">
        <f t="shared" si="27"/>
        <v>7</v>
      </c>
      <c r="O224" s="198">
        <f t="shared" si="28"/>
        <v>177</v>
      </c>
      <c r="P224" s="53"/>
    </row>
    <row r="225" spans="1:16">
      <c r="A225" s="54">
        <f t="shared" si="23"/>
        <v>217</v>
      </c>
      <c r="B225" s="53" t="s">
        <v>389</v>
      </c>
      <c r="C225" s="197">
        <v>44257</v>
      </c>
      <c r="D225" s="53">
        <v>41.74</v>
      </c>
      <c r="E225" s="53">
        <v>41.74</v>
      </c>
      <c r="F225" s="197" t="s">
        <v>336</v>
      </c>
      <c r="G225" s="197">
        <v>44229</v>
      </c>
      <c r="H225" s="197">
        <v>44257</v>
      </c>
      <c r="I225" s="197">
        <f t="shared" si="24"/>
        <v>44243</v>
      </c>
      <c r="J225" s="197">
        <v>44277</v>
      </c>
      <c r="K225" s="102">
        <f t="shared" si="25"/>
        <v>34</v>
      </c>
      <c r="L225" s="53">
        <f t="shared" si="26"/>
        <v>1419</v>
      </c>
      <c r="M225" s="197">
        <v>44284</v>
      </c>
      <c r="N225" s="55">
        <f t="shared" si="27"/>
        <v>7</v>
      </c>
      <c r="O225" s="198">
        <f t="shared" si="28"/>
        <v>292</v>
      </c>
      <c r="P225" s="53"/>
    </row>
    <row r="226" spans="1:16">
      <c r="A226" s="54">
        <f t="shared" si="23"/>
        <v>218</v>
      </c>
      <c r="B226" s="53" t="s">
        <v>389</v>
      </c>
      <c r="C226" s="197">
        <v>44261</v>
      </c>
      <c r="D226" s="53">
        <v>39</v>
      </c>
      <c r="E226" s="53">
        <v>39</v>
      </c>
      <c r="F226" s="197" t="s">
        <v>336</v>
      </c>
      <c r="G226" s="197">
        <v>44233</v>
      </c>
      <c r="H226" s="197">
        <v>44261</v>
      </c>
      <c r="I226" s="197">
        <f t="shared" si="24"/>
        <v>44247</v>
      </c>
      <c r="J226" s="197">
        <v>44279</v>
      </c>
      <c r="K226" s="102">
        <f t="shared" si="25"/>
        <v>32</v>
      </c>
      <c r="L226" s="53">
        <f t="shared" si="26"/>
        <v>1248</v>
      </c>
      <c r="M226" s="197">
        <v>44286</v>
      </c>
      <c r="N226" s="55">
        <f t="shared" si="27"/>
        <v>7</v>
      </c>
      <c r="O226" s="198">
        <f t="shared" si="28"/>
        <v>273</v>
      </c>
      <c r="P226" s="53"/>
    </row>
    <row r="227" spans="1:16">
      <c r="A227" s="54">
        <f t="shared" si="23"/>
        <v>219</v>
      </c>
      <c r="B227" s="53" t="s">
        <v>389</v>
      </c>
      <c r="C227" s="197">
        <v>44261</v>
      </c>
      <c r="D227" s="53">
        <v>47.22</v>
      </c>
      <c r="E227" s="53">
        <v>47.22</v>
      </c>
      <c r="F227" s="197" t="s">
        <v>336</v>
      </c>
      <c r="G227" s="197">
        <v>44233</v>
      </c>
      <c r="H227" s="197">
        <v>44261</v>
      </c>
      <c r="I227" s="197">
        <f t="shared" si="24"/>
        <v>44247</v>
      </c>
      <c r="J227" s="197">
        <v>44279</v>
      </c>
      <c r="K227" s="102">
        <f t="shared" si="25"/>
        <v>32</v>
      </c>
      <c r="L227" s="53">
        <f t="shared" si="26"/>
        <v>1511</v>
      </c>
      <c r="M227" s="197">
        <v>44286</v>
      </c>
      <c r="N227" s="55">
        <f t="shared" si="27"/>
        <v>7</v>
      </c>
      <c r="O227" s="198">
        <f t="shared" si="28"/>
        <v>331</v>
      </c>
      <c r="P227" s="53"/>
    </row>
    <row r="228" spans="1:16">
      <c r="A228" s="54">
        <f t="shared" si="23"/>
        <v>220</v>
      </c>
      <c r="B228" s="53" t="s">
        <v>390</v>
      </c>
      <c r="C228" s="197">
        <v>44204</v>
      </c>
      <c r="D228" s="53">
        <v>8652</v>
      </c>
      <c r="E228" s="53">
        <v>8652</v>
      </c>
      <c r="F228" s="197" t="s">
        <v>276</v>
      </c>
      <c r="G228" s="197">
        <v>44166</v>
      </c>
      <c r="H228" s="197">
        <v>44196</v>
      </c>
      <c r="I228" s="197">
        <f t="shared" si="24"/>
        <v>44181</v>
      </c>
      <c r="J228" s="197">
        <v>44229</v>
      </c>
      <c r="K228" s="102">
        <f t="shared" si="25"/>
        <v>48</v>
      </c>
      <c r="L228" s="53">
        <f t="shared" si="26"/>
        <v>415296</v>
      </c>
      <c r="M228" s="197">
        <v>44229</v>
      </c>
      <c r="N228" s="55">
        <f t="shared" si="27"/>
        <v>0</v>
      </c>
      <c r="O228" s="198">
        <f t="shared" si="28"/>
        <v>0</v>
      </c>
      <c r="P228" s="53"/>
    </row>
    <row r="229" spans="1:16">
      <c r="A229" s="54">
        <f t="shared" si="23"/>
        <v>221</v>
      </c>
      <c r="B229" s="53" t="s">
        <v>391</v>
      </c>
      <c r="C229" s="197">
        <v>44202</v>
      </c>
      <c r="D229" s="53">
        <v>200</v>
      </c>
      <c r="E229" s="53">
        <v>200</v>
      </c>
      <c r="F229" s="197" t="s">
        <v>336</v>
      </c>
      <c r="G229" s="197">
        <v>44197</v>
      </c>
      <c r="H229" s="197">
        <v>44561</v>
      </c>
      <c r="I229" s="197">
        <f t="shared" si="24"/>
        <v>44379</v>
      </c>
      <c r="J229" s="197">
        <v>44270</v>
      </c>
      <c r="K229" s="102">
        <f t="shared" si="25"/>
        <v>-109</v>
      </c>
      <c r="L229" s="53">
        <f t="shared" si="26"/>
        <v>-21800</v>
      </c>
      <c r="M229" s="197">
        <v>44281</v>
      </c>
      <c r="N229" s="55">
        <f t="shared" si="27"/>
        <v>11</v>
      </c>
      <c r="O229" s="198">
        <f t="shared" si="28"/>
        <v>2200</v>
      </c>
      <c r="P229" s="53"/>
    </row>
    <row r="230" spans="1:16">
      <c r="A230" s="54">
        <f t="shared" si="23"/>
        <v>222</v>
      </c>
      <c r="B230" s="53" t="s">
        <v>392</v>
      </c>
      <c r="C230" s="197">
        <v>43941</v>
      </c>
      <c r="D230" s="53">
        <v>38.17</v>
      </c>
      <c r="E230" s="53">
        <v>38.17</v>
      </c>
      <c r="F230" s="197" t="s">
        <v>336</v>
      </c>
      <c r="G230" s="197">
        <v>43908</v>
      </c>
      <c r="H230" s="197">
        <v>43938</v>
      </c>
      <c r="I230" s="197">
        <f t="shared" si="24"/>
        <v>43923</v>
      </c>
      <c r="J230" s="197">
        <v>43950</v>
      </c>
      <c r="K230" s="102">
        <f t="shared" si="25"/>
        <v>27</v>
      </c>
      <c r="L230" s="53">
        <f t="shared" si="26"/>
        <v>1031</v>
      </c>
      <c r="M230" s="197">
        <v>43962</v>
      </c>
      <c r="N230" s="55">
        <f t="shared" si="27"/>
        <v>12</v>
      </c>
      <c r="O230" s="198">
        <f t="shared" si="28"/>
        <v>458</v>
      </c>
      <c r="P230" s="53"/>
    </row>
    <row r="231" spans="1:16">
      <c r="A231" s="54">
        <f t="shared" si="23"/>
        <v>223</v>
      </c>
      <c r="B231" s="53" t="s">
        <v>392</v>
      </c>
      <c r="C231" s="197">
        <v>43963</v>
      </c>
      <c r="D231" s="53">
        <v>35.72</v>
      </c>
      <c r="E231" s="53">
        <v>35.72</v>
      </c>
      <c r="F231" s="197" t="s">
        <v>336</v>
      </c>
      <c r="G231" s="197">
        <v>43934</v>
      </c>
      <c r="H231" s="197">
        <v>43962</v>
      </c>
      <c r="I231" s="197">
        <f t="shared" si="24"/>
        <v>43948</v>
      </c>
      <c r="J231" s="197">
        <v>43978</v>
      </c>
      <c r="K231" s="102">
        <f t="shared" si="25"/>
        <v>30</v>
      </c>
      <c r="L231" s="53">
        <f t="shared" si="26"/>
        <v>1072</v>
      </c>
      <c r="M231" s="197">
        <v>43990</v>
      </c>
      <c r="N231" s="55">
        <f t="shared" si="27"/>
        <v>12</v>
      </c>
      <c r="O231" s="198">
        <f t="shared" si="28"/>
        <v>429</v>
      </c>
      <c r="P231" s="53"/>
    </row>
    <row r="232" spans="1:16">
      <c r="A232" s="54">
        <f t="shared" si="23"/>
        <v>224</v>
      </c>
      <c r="B232" s="53" t="s">
        <v>392</v>
      </c>
      <c r="C232" s="197">
        <v>43969</v>
      </c>
      <c r="D232" s="53">
        <v>36.9</v>
      </c>
      <c r="E232" s="53">
        <v>36.9</v>
      </c>
      <c r="F232" s="197" t="s">
        <v>336</v>
      </c>
      <c r="G232" s="197">
        <v>43937</v>
      </c>
      <c r="H232" s="197">
        <v>43966</v>
      </c>
      <c r="I232" s="197">
        <f t="shared" si="24"/>
        <v>43951.5</v>
      </c>
      <c r="J232" s="197">
        <v>43978</v>
      </c>
      <c r="K232" s="102">
        <f t="shared" si="25"/>
        <v>27</v>
      </c>
      <c r="L232" s="53">
        <f t="shared" si="26"/>
        <v>996</v>
      </c>
      <c r="M232" s="197">
        <v>43990</v>
      </c>
      <c r="N232" s="55">
        <f t="shared" si="27"/>
        <v>12</v>
      </c>
      <c r="O232" s="198">
        <f t="shared" si="28"/>
        <v>443</v>
      </c>
      <c r="P232" s="53"/>
    </row>
    <row r="233" spans="1:16">
      <c r="A233" s="54">
        <f t="shared" si="23"/>
        <v>225</v>
      </c>
      <c r="B233" s="53" t="s">
        <v>392</v>
      </c>
      <c r="C233" s="197">
        <v>44005</v>
      </c>
      <c r="D233" s="53">
        <v>12.3</v>
      </c>
      <c r="E233" s="53">
        <v>12.3</v>
      </c>
      <c r="F233" s="197" t="s">
        <v>336</v>
      </c>
      <c r="G233" s="197">
        <v>43973</v>
      </c>
      <c r="H233" s="197">
        <v>44004</v>
      </c>
      <c r="I233" s="197">
        <f t="shared" si="24"/>
        <v>43988.5</v>
      </c>
      <c r="J233" s="197">
        <v>44013</v>
      </c>
      <c r="K233" s="102">
        <f t="shared" si="25"/>
        <v>25</v>
      </c>
      <c r="L233" s="53">
        <f t="shared" si="26"/>
        <v>308</v>
      </c>
      <c r="M233" s="197">
        <v>44025</v>
      </c>
      <c r="N233" s="55">
        <f t="shared" si="27"/>
        <v>12</v>
      </c>
      <c r="O233" s="198">
        <f t="shared" si="28"/>
        <v>148</v>
      </c>
      <c r="P233" s="53"/>
    </row>
    <row r="234" spans="1:16">
      <c r="A234" s="54">
        <f t="shared" si="23"/>
        <v>226</v>
      </c>
      <c r="B234" s="53" t="s">
        <v>392</v>
      </c>
      <c r="C234" s="197">
        <v>44006</v>
      </c>
      <c r="D234" s="53">
        <v>53.52</v>
      </c>
      <c r="E234" s="53">
        <v>53.52</v>
      </c>
      <c r="F234" s="197" t="s">
        <v>336</v>
      </c>
      <c r="G234" s="197">
        <v>43974</v>
      </c>
      <c r="H234" s="197">
        <v>44006</v>
      </c>
      <c r="I234" s="197">
        <f t="shared" si="24"/>
        <v>43990</v>
      </c>
      <c r="J234" s="197">
        <v>44025</v>
      </c>
      <c r="K234" s="102">
        <f t="shared" si="25"/>
        <v>35</v>
      </c>
      <c r="L234" s="53">
        <f t="shared" si="26"/>
        <v>1873</v>
      </c>
      <c r="M234" s="197">
        <v>44040</v>
      </c>
      <c r="N234" s="55">
        <f t="shared" si="27"/>
        <v>15</v>
      </c>
      <c r="O234" s="198">
        <f t="shared" si="28"/>
        <v>803</v>
      </c>
      <c r="P234" s="53"/>
    </row>
    <row r="235" spans="1:16">
      <c r="A235" s="54">
        <f t="shared" si="23"/>
        <v>227</v>
      </c>
      <c r="B235" s="53" t="s">
        <v>392</v>
      </c>
      <c r="C235" s="197">
        <v>44063</v>
      </c>
      <c r="D235" s="53">
        <v>5.07</v>
      </c>
      <c r="E235" s="53">
        <v>5.07</v>
      </c>
      <c r="F235" s="197" t="s">
        <v>336</v>
      </c>
      <c r="G235" s="197">
        <v>44030</v>
      </c>
      <c r="H235" s="197">
        <v>44063</v>
      </c>
      <c r="I235" s="197">
        <f t="shared" si="24"/>
        <v>44046.5</v>
      </c>
      <c r="J235" s="197">
        <v>44083</v>
      </c>
      <c r="K235" s="102">
        <f t="shared" si="25"/>
        <v>37</v>
      </c>
      <c r="L235" s="53">
        <f t="shared" si="26"/>
        <v>188</v>
      </c>
      <c r="M235" s="197">
        <v>44097</v>
      </c>
      <c r="N235" s="55">
        <f t="shared" si="27"/>
        <v>14</v>
      </c>
      <c r="O235" s="198">
        <f t="shared" si="28"/>
        <v>71</v>
      </c>
      <c r="P235" s="53"/>
    </row>
    <row r="236" spans="1:16">
      <c r="A236" s="54">
        <f t="shared" si="23"/>
        <v>228</v>
      </c>
      <c r="B236" s="53" t="s">
        <v>392</v>
      </c>
      <c r="C236" s="197">
        <v>44064</v>
      </c>
      <c r="D236" s="53">
        <v>12.24</v>
      </c>
      <c r="E236" s="53">
        <v>12.24</v>
      </c>
      <c r="F236" s="197" t="s">
        <v>336</v>
      </c>
      <c r="G236" s="197">
        <v>44035</v>
      </c>
      <c r="H236" s="197">
        <v>44063</v>
      </c>
      <c r="I236" s="197">
        <f t="shared" si="24"/>
        <v>44049</v>
      </c>
      <c r="J236" s="197">
        <v>44083</v>
      </c>
      <c r="K236" s="102">
        <f t="shared" si="25"/>
        <v>34</v>
      </c>
      <c r="L236" s="53">
        <f t="shared" si="26"/>
        <v>416</v>
      </c>
      <c r="M236" s="197">
        <v>44097</v>
      </c>
      <c r="N236" s="55">
        <f t="shared" si="27"/>
        <v>14</v>
      </c>
      <c r="O236" s="198">
        <f t="shared" si="28"/>
        <v>171</v>
      </c>
      <c r="P236" s="53"/>
    </row>
    <row r="237" spans="1:16">
      <c r="A237" s="54">
        <f t="shared" si="23"/>
        <v>229</v>
      </c>
      <c r="B237" s="53" t="s">
        <v>392</v>
      </c>
      <c r="C237" s="197">
        <v>44091</v>
      </c>
      <c r="D237" s="53">
        <v>11.79</v>
      </c>
      <c r="E237" s="53">
        <v>11.79</v>
      </c>
      <c r="F237" s="197" t="s">
        <v>336</v>
      </c>
      <c r="G237" s="197">
        <v>44061</v>
      </c>
      <c r="H237" s="197">
        <v>44090</v>
      </c>
      <c r="I237" s="197">
        <f t="shared" si="24"/>
        <v>44075.5</v>
      </c>
      <c r="J237" s="197">
        <v>44102</v>
      </c>
      <c r="K237" s="102">
        <f t="shared" si="25"/>
        <v>27</v>
      </c>
      <c r="L237" s="53">
        <f t="shared" si="26"/>
        <v>318</v>
      </c>
      <c r="M237" s="197">
        <v>44118</v>
      </c>
      <c r="N237" s="55">
        <f t="shared" si="27"/>
        <v>16</v>
      </c>
      <c r="O237" s="198">
        <f t="shared" si="28"/>
        <v>189</v>
      </c>
      <c r="P237" s="53"/>
    </row>
    <row r="238" spans="1:16">
      <c r="A238" s="54">
        <f t="shared" si="23"/>
        <v>230</v>
      </c>
      <c r="B238" s="53" t="s">
        <v>392</v>
      </c>
      <c r="C238" s="197">
        <v>44095</v>
      </c>
      <c r="D238" s="53">
        <v>43.04</v>
      </c>
      <c r="E238" s="53">
        <v>43.04</v>
      </c>
      <c r="F238" s="197" t="s">
        <v>336</v>
      </c>
      <c r="G238" s="197">
        <v>44062</v>
      </c>
      <c r="H238" s="197">
        <v>44092</v>
      </c>
      <c r="I238" s="197">
        <f t="shared" si="24"/>
        <v>44077</v>
      </c>
      <c r="J238" s="197">
        <v>44104</v>
      </c>
      <c r="K238" s="102">
        <f t="shared" si="25"/>
        <v>27</v>
      </c>
      <c r="L238" s="53">
        <f t="shared" si="26"/>
        <v>1162</v>
      </c>
      <c r="M238" s="197">
        <v>44112</v>
      </c>
      <c r="N238" s="55">
        <f t="shared" si="27"/>
        <v>8</v>
      </c>
      <c r="O238" s="198">
        <f t="shared" si="28"/>
        <v>344</v>
      </c>
      <c r="P238" s="53"/>
    </row>
    <row r="239" spans="1:16">
      <c r="A239" s="54">
        <f t="shared" si="23"/>
        <v>231</v>
      </c>
      <c r="B239" s="53" t="s">
        <v>392</v>
      </c>
      <c r="C239" s="197">
        <v>44112</v>
      </c>
      <c r="D239" s="53">
        <v>37.9</v>
      </c>
      <c r="E239" s="53">
        <v>37.9</v>
      </c>
      <c r="F239" s="197" t="s">
        <v>336</v>
      </c>
      <c r="G239" s="197">
        <v>44078</v>
      </c>
      <c r="H239" s="197">
        <v>44111</v>
      </c>
      <c r="I239" s="197">
        <f t="shared" si="24"/>
        <v>44094.5</v>
      </c>
      <c r="J239" s="197">
        <v>44125</v>
      </c>
      <c r="K239" s="102">
        <f t="shared" si="25"/>
        <v>31</v>
      </c>
      <c r="L239" s="53">
        <f t="shared" si="26"/>
        <v>1175</v>
      </c>
      <c r="M239" s="197">
        <v>44131</v>
      </c>
      <c r="N239" s="55">
        <f t="shared" si="27"/>
        <v>6</v>
      </c>
      <c r="O239" s="198">
        <f t="shared" si="28"/>
        <v>227</v>
      </c>
      <c r="P239" s="53"/>
    </row>
    <row r="240" spans="1:16">
      <c r="A240" s="54">
        <f t="shared" si="23"/>
        <v>232</v>
      </c>
      <c r="B240" s="53" t="s">
        <v>392</v>
      </c>
      <c r="C240" s="197">
        <v>44140</v>
      </c>
      <c r="D240" s="53">
        <v>37.049999999999997</v>
      </c>
      <c r="E240" s="53">
        <v>37.049999999999997</v>
      </c>
      <c r="F240" s="197" t="s">
        <v>336</v>
      </c>
      <c r="G240" s="197">
        <v>44110</v>
      </c>
      <c r="H240" s="197">
        <v>44139</v>
      </c>
      <c r="I240" s="197">
        <f t="shared" si="24"/>
        <v>44124.5</v>
      </c>
      <c r="J240" s="197">
        <v>44153</v>
      </c>
      <c r="K240" s="102">
        <f t="shared" si="25"/>
        <v>29</v>
      </c>
      <c r="L240" s="53">
        <f t="shared" si="26"/>
        <v>1074</v>
      </c>
      <c r="M240" s="197">
        <v>44162</v>
      </c>
      <c r="N240" s="55">
        <f t="shared" si="27"/>
        <v>9</v>
      </c>
      <c r="O240" s="198">
        <f t="shared" si="28"/>
        <v>333</v>
      </c>
      <c r="P240" s="53"/>
    </row>
    <row r="241" spans="1:16">
      <c r="A241" s="54">
        <f t="shared" si="23"/>
        <v>233</v>
      </c>
      <c r="B241" s="53" t="s">
        <v>392</v>
      </c>
      <c r="C241" s="197">
        <v>44187</v>
      </c>
      <c r="D241" s="53">
        <v>12.45</v>
      </c>
      <c r="E241" s="53">
        <v>12.45</v>
      </c>
      <c r="F241" s="197" t="s">
        <v>336</v>
      </c>
      <c r="G241" s="197">
        <v>44155</v>
      </c>
      <c r="H241" s="197">
        <v>44186</v>
      </c>
      <c r="I241" s="197">
        <f t="shared" si="24"/>
        <v>44170.5</v>
      </c>
      <c r="J241" s="197">
        <v>44200</v>
      </c>
      <c r="K241" s="102">
        <f t="shared" si="25"/>
        <v>30</v>
      </c>
      <c r="L241" s="53">
        <f t="shared" si="26"/>
        <v>374</v>
      </c>
      <c r="M241" s="197">
        <v>44211</v>
      </c>
      <c r="N241" s="55">
        <f t="shared" si="27"/>
        <v>11</v>
      </c>
      <c r="O241" s="198">
        <f t="shared" si="28"/>
        <v>137</v>
      </c>
      <c r="P241" s="53"/>
    </row>
    <row r="242" spans="1:16">
      <c r="A242" s="54">
        <f t="shared" si="23"/>
        <v>234</v>
      </c>
      <c r="B242" s="53" t="s">
        <v>392</v>
      </c>
      <c r="C242" s="197">
        <v>44244</v>
      </c>
      <c r="D242" s="53">
        <v>42.37</v>
      </c>
      <c r="E242" s="53">
        <v>42.37</v>
      </c>
      <c r="F242" s="197" t="s">
        <v>336</v>
      </c>
      <c r="G242" s="197">
        <v>44211</v>
      </c>
      <c r="H242" s="197">
        <v>44243</v>
      </c>
      <c r="I242" s="197">
        <f t="shared" si="24"/>
        <v>44227</v>
      </c>
      <c r="J242" s="197">
        <v>44256</v>
      </c>
      <c r="K242" s="102">
        <f t="shared" si="25"/>
        <v>29</v>
      </c>
      <c r="L242" s="53">
        <f t="shared" si="26"/>
        <v>1229</v>
      </c>
      <c r="M242" s="197">
        <v>44264</v>
      </c>
      <c r="N242" s="55">
        <f t="shared" si="27"/>
        <v>8</v>
      </c>
      <c r="O242" s="198">
        <f t="shared" si="28"/>
        <v>339</v>
      </c>
      <c r="P242" s="53"/>
    </row>
    <row r="243" spans="1:16">
      <c r="A243" s="54">
        <f t="shared" si="23"/>
        <v>235</v>
      </c>
      <c r="B243" s="53" t="s">
        <v>392</v>
      </c>
      <c r="C243" s="197">
        <v>44274</v>
      </c>
      <c r="D243" s="53">
        <v>11.82</v>
      </c>
      <c r="E243" s="53">
        <v>11.82</v>
      </c>
      <c r="F243" s="197" t="s">
        <v>336</v>
      </c>
      <c r="G243" s="197">
        <v>44245</v>
      </c>
      <c r="H243" s="197">
        <v>44273</v>
      </c>
      <c r="I243" s="197">
        <f t="shared" si="24"/>
        <v>44259</v>
      </c>
      <c r="J243" s="197">
        <v>44286</v>
      </c>
      <c r="K243" s="102">
        <f t="shared" si="25"/>
        <v>27</v>
      </c>
      <c r="L243" s="53">
        <f t="shared" si="26"/>
        <v>319</v>
      </c>
      <c r="M243" s="197">
        <v>44292</v>
      </c>
      <c r="N243" s="55">
        <f t="shared" si="27"/>
        <v>6</v>
      </c>
      <c r="O243" s="198">
        <f t="shared" si="28"/>
        <v>71</v>
      </c>
      <c r="P243" s="53"/>
    </row>
    <row r="244" spans="1:16">
      <c r="A244" s="54">
        <f t="shared" si="23"/>
        <v>236</v>
      </c>
      <c r="B244" s="53" t="s">
        <v>393</v>
      </c>
      <c r="C244" s="197">
        <v>43938</v>
      </c>
      <c r="D244" s="53">
        <v>970.96</v>
      </c>
      <c r="E244" s="53">
        <v>970.96</v>
      </c>
      <c r="F244" s="197" t="s">
        <v>276</v>
      </c>
      <c r="G244" s="197">
        <v>43938</v>
      </c>
      <c r="H244" s="197">
        <v>43938</v>
      </c>
      <c r="I244" s="197">
        <f t="shared" si="24"/>
        <v>43938</v>
      </c>
      <c r="J244" s="197">
        <v>43963</v>
      </c>
      <c r="K244" s="102">
        <f t="shared" si="25"/>
        <v>25</v>
      </c>
      <c r="L244" s="53">
        <f t="shared" si="26"/>
        <v>24274</v>
      </c>
      <c r="M244" s="197">
        <v>43963</v>
      </c>
      <c r="N244" s="55">
        <f t="shared" si="27"/>
        <v>0</v>
      </c>
      <c r="O244" s="198">
        <f t="shared" si="28"/>
        <v>0</v>
      </c>
      <c r="P244" s="53"/>
    </row>
    <row r="245" spans="1:16">
      <c r="A245" s="54">
        <f t="shared" si="23"/>
        <v>237</v>
      </c>
      <c r="B245" s="53" t="s">
        <v>394</v>
      </c>
      <c r="C245" s="197">
        <v>44074</v>
      </c>
      <c r="D245" s="53">
        <v>3540.4</v>
      </c>
      <c r="E245" s="53">
        <v>3540.4</v>
      </c>
      <c r="F245" s="197" t="s">
        <v>336</v>
      </c>
      <c r="G245" s="197">
        <v>44044</v>
      </c>
      <c r="H245" s="197">
        <v>44074</v>
      </c>
      <c r="I245" s="197">
        <f t="shared" si="24"/>
        <v>44059</v>
      </c>
      <c r="J245" s="197">
        <v>44102</v>
      </c>
      <c r="K245" s="102">
        <f t="shared" si="25"/>
        <v>43</v>
      </c>
      <c r="L245" s="53">
        <f t="shared" si="26"/>
        <v>152237</v>
      </c>
      <c r="M245" s="197">
        <v>44111</v>
      </c>
      <c r="N245" s="55">
        <f t="shared" si="27"/>
        <v>9</v>
      </c>
      <c r="O245" s="198">
        <f t="shared" si="28"/>
        <v>31864</v>
      </c>
      <c r="P245" s="53"/>
    </row>
    <row r="246" spans="1:16">
      <c r="A246" s="54">
        <f t="shared" si="23"/>
        <v>238</v>
      </c>
      <c r="B246" s="53" t="s">
        <v>395</v>
      </c>
      <c r="C246" s="197">
        <v>44089</v>
      </c>
      <c r="D246" s="53">
        <v>23.54</v>
      </c>
      <c r="E246" s="53">
        <v>23.54</v>
      </c>
      <c r="F246" s="197" t="s">
        <v>336</v>
      </c>
      <c r="G246" s="197">
        <v>44057</v>
      </c>
      <c r="H246" s="197">
        <v>44089</v>
      </c>
      <c r="I246" s="197">
        <f t="shared" si="24"/>
        <v>44073</v>
      </c>
      <c r="J246" s="197">
        <v>44118</v>
      </c>
      <c r="K246" s="102">
        <f t="shared" si="25"/>
        <v>45</v>
      </c>
      <c r="L246" s="53">
        <f t="shared" si="26"/>
        <v>1059</v>
      </c>
      <c r="M246" s="197">
        <v>44125</v>
      </c>
      <c r="N246" s="55">
        <f t="shared" si="27"/>
        <v>7</v>
      </c>
      <c r="O246" s="198">
        <f t="shared" si="28"/>
        <v>165</v>
      </c>
      <c r="P246" s="53"/>
    </row>
    <row r="247" spans="1:16">
      <c r="A247" s="54">
        <f t="shared" si="23"/>
        <v>239</v>
      </c>
      <c r="B247" s="53" t="s">
        <v>396</v>
      </c>
      <c r="C247" s="197">
        <v>44151</v>
      </c>
      <c r="D247" s="53">
        <v>44.16</v>
      </c>
      <c r="E247" s="53">
        <v>44.16</v>
      </c>
      <c r="F247" s="197" t="s">
        <v>276</v>
      </c>
      <c r="G247" s="197">
        <v>44151</v>
      </c>
      <c r="H247" s="197">
        <v>44151</v>
      </c>
      <c r="I247" s="197">
        <f t="shared" si="24"/>
        <v>44151</v>
      </c>
      <c r="J247" s="197">
        <v>44176</v>
      </c>
      <c r="K247" s="102">
        <f t="shared" si="25"/>
        <v>25</v>
      </c>
      <c r="L247" s="53">
        <f t="shared" si="26"/>
        <v>1104</v>
      </c>
      <c r="M247" s="197">
        <v>44176</v>
      </c>
      <c r="N247" s="55">
        <f t="shared" si="27"/>
        <v>0</v>
      </c>
      <c r="O247" s="198">
        <f t="shared" si="28"/>
        <v>0</v>
      </c>
      <c r="P247" s="53"/>
    </row>
    <row r="248" spans="1:16">
      <c r="A248" s="54">
        <f t="shared" si="23"/>
        <v>240</v>
      </c>
      <c r="B248" s="53" t="s">
        <v>397</v>
      </c>
      <c r="C248" s="197">
        <v>44104</v>
      </c>
      <c r="D248" s="53">
        <v>784.41</v>
      </c>
      <c r="E248" s="53">
        <v>713.91</v>
      </c>
      <c r="F248" s="197" t="s">
        <v>276</v>
      </c>
      <c r="G248" s="197">
        <v>44021</v>
      </c>
      <c r="H248" s="197">
        <v>44104</v>
      </c>
      <c r="I248" s="197">
        <f t="shared" si="24"/>
        <v>44062.5</v>
      </c>
      <c r="J248" s="197">
        <v>44106</v>
      </c>
      <c r="K248" s="102">
        <f t="shared" si="25"/>
        <v>44</v>
      </c>
      <c r="L248" s="53">
        <f t="shared" si="26"/>
        <v>31412</v>
      </c>
      <c r="M248" s="197">
        <v>44106</v>
      </c>
      <c r="N248" s="55">
        <f t="shared" si="27"/>
        <v>0</v>
      </c>
      <c r="O248" s="198">
        <f t="shared" si="28"/>
        <v>0</v>
      </c>
      <c r="P248" s="53"/>
    </row>
    <row r="249" spans="1:16">
      <c r="A249" s="54">
        <f t="shared" si="23"/>
        <v>241</v>
      </c>
      <c r="B249" s="53" t="s">
        <v>398</v>
      </c>
      <c r="C249" s="197">
        <v>43955</v>
      </c>
      <c r="D249" s="53">
        <v>34</v>
      </c>
      <c r="E249" s="53">
        <v>34</v>
      </c>
      <c r="F249" s="197" t="s">
        <v>336</v>
      </c>
      <c r="G249" s="197">
        <v>43926</v>
      </c>
      <c r="H249" s="197">
        <v>43955</v>
      </c>
      <c r="I249" s="197">
        <f t="shared" si="24"/>
        <v>43940.5</v>
      </c>
      <c r="J249" s="197">
        <v>43971</v>
      </c>
      <c r="K249" s="102">
        <f t="shared" si="25"/>
        <v>31</v>
      </c>
      <c r="L249" s="53">
        <f t="shared" si="26"/>
        <v>1054</v>
      </c>
      <c r="M249" s="197">
        <v>43983</v>
      </c>
      <c r="N249" s="55">
        <f t="shared" si="27"/>
        <v>12</v>
      </c>
      <c r="O249" s="198">
        <f t="shared" si="28"/>
        <v>408</v>
      </c>
      <c r="P249" s="53"/>
    </row>
    <row r="250" spans="1:16">
      <c r="A250" s="54">
        <f t="shared" si="23"/>
        <v>242</v>
      </c>
      <c r="B250" s="53" t="s">
        <v>398</v>
      </c>
      <c r="C250" s="197">
        <v>44060</v>
      </c>
      <c r="D250" s="53">
        <v>83.51</v>
      </c>
      <c r="E250" s="53">
        <v>83.51</v>
      </c>
      <c r="F250" s="197" t="s">
        <v>336</v>
      </c>
      <c r="G250" s="197">
        <v>44032</v>
      </c>
      <c r="H250" s="197">
        <v>44060</v>
      </c>
      <c r="I250" s="197">
        <f t="shared" si="24"/>
        <v>44046</v>
      </c>
      <c r="J250" s="197">
        <v>44083</v>
      </c>
      <c r="K250" s="102">
        <f t="shared" si="25"/>
        <v>37</v>
      </c>
      <c r="L250" s="53">
        <f t="shared" si="26"/>
        <v>3090</v>
      </c>
      <c r="M250" s="197">
        <v>44096</v>
      </c>
      <c r="N250" s="55">
        <f t="shared" si="27"/>
        <v>13</v>
      </c>
      <c r="O250" s="198">
        <f t="shared" si="28"/>
        <v>1086</v>
      </c>
      <c r="P250" s="53"/>
    </row>
    <row r="251" spans="1:16">
      <c r="A251" s="54">
        <f t="shared" si="23"/>
        <v>243</v>
      </c>
      <c r="B251" s="53" t="s">
        <v>398</v>
      </c>
      <c r="C251" s="197">
        <v>44230</v>
      </c>
      <c r="D251" s="53">
        <v>38.299999999999997</v>
      </c>
      <c r="E251" s="53">
        <v>38.299999999999997</v>
      </c>
      <c r="F251" s="197" t="s">
        <v>336</v>
      </c>
      <c r="G251" s="197">
        <v>44177</v>
      </c>
      <c r="H251" s="197">
        <v>44217</v>
      </c>
      <c r="I251" s="197">
        <f t="shared" si="24"/>
        <v>44197</v>
      </c>
      <c r="J251" s="197">
        <v>44230</v>
      </c>
      <c r="K251" s="102">
        <f t="shared" si="25"/>
        <v>33</v>
      </c>
      <c r="L251" s="53">
        <f t="shared" si="26"/>
        <v>1264</v>
      </c>
      <c r="M251" s="197">
        <v>44238</v>
      </c>
      <c r="N251" s="55">
        <f t="shared" si="27"/>
        <v>8</v>
      </c>
      <c r="O251" s="198">
        <f t="shared" si="28"/>
        <v>306</v>
      </c>
      <c r="P251" s="53"/>
    </row>
    <row r="252" spans="1:16">
      <c r="A252" s="54">
        <f t="shared" si="23"/>
        <v>244</v>
      </c>
      <c r="B252" s="53" t="s">
        <v>398</v>
      </c>
      <c r="C252" s="197">
        <v>44256</v>
      </c>
      <c r="D252" s="53">
        <v>1229.22</v>
      </c>
      <c r="E252" s="53">
        <v>737.53</v>
      </c>
      <c r="F252" s="197" t="s">
        <v>336</v>
      </c>
      <c r="G252" s="197">
        <v>44230</v>
      </c>
      <c r="H252" s="197">
        <v>44256</v>
      </c>
      <c r="I252" s="197">
        <f t="shared" si="24"/>
        <v>44243</v>
      </c>
      <c r="J252" s="197">
        <v>44277</v>
      </c>
      <c r="K252" s="102">
        <f t="shared" si="25"/>
        <v>34</v>
      </c>
      <c r="L252" s="53">
        <f t="shared" si="26"/>
        <v>25076</v>
      </c>
      <c r="M252" s="197">
        <v>44285</v>
      </c>
      <c r="N252" s="55">
        <f t="shared" si="27"/>
        <v>8</v>
      </c>
      <c r="O252" s="198">
        <f t="shared" si="28"/>
        <v>5900</v>
      </c>
      <c r="P252" s="53"/>
    </row>
    <row r="253" spans="1:16">
      <c r="A253" s="54">
        <f t="shared" si="23"/>
        <v>245</v>
      </c>
      <c r="B253" s="53" t="s">
        <v>399</v>
      </c>
      <c r="C253" s="197">
        <v>44077</v>
      </c>
      <c r="D253" s="53">
        <v>579.98</v>
      </c>
      <c r="E253" s="53">
        <v>579.98</v>
      </c>
      <c r="F253" s="197" t="s">
        <v>336</v>
      </c>
      <c r="G253" s="197">
        <v>44083</v>
      </c>
      <c r="H253" s="197">
        <v>44083</v>
      </c>
      <c r="I253" s="197">
        <f t="shared" si="24"/>
        <v>44083</v>
      </c>
      <c r="J253" s="197">
        <v>44132</v>
      </c>
      <c r="K253" s="102">
        <f t="shared" si="25"/>
        <v>49</v>
      </c>
      <c r="L253" s="53">
        <f t="shared" si="26"/>
        <v>28419</v>
      </c>
      <c r="M253" s="197">
        <v>44137</v>
      </c>
      <c r="N253" s="55">
        <f t="shared" si="27"/>
        <v>5</v>
      </c>
      <c r="O253" s="198">
        <f t="shared" si="28"/>
        <v>2900</v>
      </c>
      <c r="P253" s="53"/>
    </row>
    <row r="254" spans="1:16">
      <c r="A254" s="54">
        <f t="shared" si="23"/>
        <v>246</v>
      </c>
      <c r="B254" s="53" t="s">
        <v>400</v>
      </c>
      <c r="C254" s="197">
        <v>44027</v>
      </c>
      <c r="D254" s="53">
        <v>189.56</v>
      </c>
      <c r="E254" s="53">
        <v>200.93</v>
      </c>
      <c r="F254" s="197" t="s">
        <v>276</v>
      </c>
      <c r="G254" s="197">
        <v>44026</v>
      </c>
      <c r="H254" s="197">
        <v>44026</v>
      </c>
      <c r="I254" s="197">
        <f t="shared" si="24"/>
        <v>44026</v>
      </c>
      <c r="J254" s="197">
        <v>44053</v>
      </c>
      <c r="K254" s="102">
        <f t="shared" si="25"/>
        <v>27</v>
      </c>
      <c r="L254" s="53">
        <f t="shared" si="26"/>
        <v>5425</v>
      </c>
      <c r="M254" s="197">
        <v>44053</v>
      </c>
      <c r="N254" s="55">
        <f t="shared" si="27"/>
        <v>0</v>
      </c>
      <c r="O254" s="198">
        <f t="shared" si="28"/>
        <v>0</v>
      </c>
      <c r="P254" s="53"/>
    </row>
    <row r="255" spans="1:16">
      <c r="A255" s="54">
        <f t="shared" si="23"/>
        <v>247</v>
      </c>
      <c r="B255" s="53" t="s">
        <v>401</v>
      </c>
      <c r="C255" s="197">
        <v>44055</v>
      </c>
      <c r="D255" s="53">
        <v>167.89</v>
      </c>
      <c r="E255" s="53">
        <v>122.81</v>
      </c>
      <c r="F255" s="197" t="s">
        <v>276</v>
      </c>
      <c r="G255" s="197">
        <v>44013</v>
      </c>
      <c r="H255" s="197">
        <v>44048</v>
      </c>
      <c r="I255" s="197">
        <f t="shared" si="24"/>
        <v>44030.5</v>
      </c>
      <c r="J255" s="197">
        <v>44056</v>
      </c>
      <c r="K255" s="102">
        <f t="shared" si="25"/>
        <v>26</v>
      </c>
      <c r="L255" s="53">
        <f t="shared" si="26"/>
        <v>3193</v>
      </c>
      <c r="M255" s="197">
        <v>44056</v>
      </c>
      <c r="N255" s="55">
        <f t="shared" si="27"/>
        <v>0</v>
      </c>
      <c r="O255" s="198">
        <f t="shared" si="28"/>
        <v>0</v>
      </c>
      <c r="P255" s="53"/>
    </row>
    <row r="256" spans="1:16">
      <c r="A256" s="54">
        <f t="shared" si="23"/>
        <v>248</v>
      </c>
      <c r="B256" s="53" t="s">
        <v>401</v>
      </c>
      <c r="C256" s="197">
        <v>44112</v>
      </c>
      <c r="D256" s="53">
        <v>73.209999999999994</v>
      </c>
      <c r="E256" s="53">
        <v>65.89</v>
      </c>
      <c r="F256" s="197" t="s">
        <v>276</v>
      </c>
      <c r="G256" s="197">
        <v>44105</v>
      </c>
      <c r="H256" s="197">
        <v>44111</v>
      </c>
      <c r="I256" s="197">
        <f t="shared" si="24"/>
        <v>44108</v>
      </c>
      <c r="J256" s="197">
        <v>44117</v>
      </c>
      <c r="K256" s="102">
        <f t="shared" si="25"/>
        <v>9</v>
      </c>
      <c r="L256" s="53">
        <f t="shared" si="26"/>
        <v>593</v>
      </c>
      <c r="M256" s="197">
        <v>44117</v>
      </c>
      <c r="N256" s="55">
        <f t="shared" si="27"/>
        <v>0</v>
      </c>
      <c r="O256" s="198">
        <f t="shared" si="28"/>
        <v>0</v>
      </c>
      <c r="P256" s="53"/>
    </row>
    <row r="257" spans="1:16">
      <c r="A257" s="54">
        <f t="shared" si="23"/>
        <v>249</v>
      </c>
      <c r="B257" s="53" t="s">
        <v>402</v>
      </c>
      <c r="C257" s="197">
        <v>44180</v>
      </c>
      <c r="D257" s="53">
        <v>103.78</v>
      </c>
      <c r="E257" s="53">
        <v>103.78</v>
      </c>
      <c r="F257" s="197" t="s">
        <v>276</v>
      </c>
      <c r="G257" s="197">
        <v>44176</v>
      </c>
      <c r="H257" s="197">
        <v>44206</v>
      </c>
      <c r="I257" s="197">
        <f t="shared" si="24"/>
        <v>44191</v>
      </c>
      <c r="J257" s="197">
        <v>44182</v>
      </c>
      <c r="K257" s="102">
        <f t="shared" si="25"/>
        <v>-9</v>
      </c>
      <c r="L257" s="53">
        <f t="shared" si="26"/>
        <v>-934</v>
      </c>
      <c r="M257" s="197">
        <v>44182</v>
      </c>
      <c r="N257" s="55">
        <f t="shared" si="27"/>
        <v>0</v>
      </c>
      <c r="O257" s="198">
        <f t="shared" si="28"/>
        <v>0</v>
      </c>
      <c r="P257" s="53"/>
    </row>
    <row r="258" spans="1:16">
      <c r="A258" s="54">
        <f t="shared" si="23"/>
        <v>250</v>
      </c>
      <c r="B258" s="53" t="s">
        <v>403</v>
      </c>
      <c r="C258" s="197">
        <v>44075</v>
      </c>
      <c r="D258" s="53">
        <v>101.8</v>
      </c>
      <c r="E258" s="53">
        <v>101.8</v>
      </c>
      <c r="F258" s="197" t="s">
        <v>336</v>
      </c>
      <c r="G258" s="197">
        <v>44096</v>
      </c>
      <c r="H258" s="197">
        <v>44461</v>
      </c>
      <c r="I258" s="197">
        <f t="shared" si="24"/>
        <v>44278.5</v>
      </c>
      <c r="J258" s="197">
        <v>44088</v>
      </c>
      <c r="K258" s="102">
        <f t="shared" si="25"/>
        <v>-191</v>
      </c>
      <c r="L258" s="53">
        <f t="shared" si="26"/>
        <v>-19444</v>
      </c>
      <c r="M258" s="197">
        <v>44097</v>
      </c>
      <c r="N258" s="55">
        <f t="shared" si="27"/>
        <v>9</v>
      </c>
      <c r="O258" s="198">
        <f t="shared" si="28"/>
        <v>916</v>
      </c>
      <c r="P258" s="53"/>
    </row>
    <row r="259" spans="1:16">
      <c r="A259" s="54">
        <f t="shared" si="23"/>
        <v>251</v>
      </c>
      <c r="B259" s="53" t="s">
        <v>403</v>
      </c>
      <c r="C259" s="197">
        <v>44229</v>
      </c>
      <c r="D259" s="53">
        <v>800</v>
      </c>
      <c r="E259" s="53">
        <v>800</v>
      </c>
      <c r="F259" s="197" t="s">
        <v>336</v>
      </c>
      <c r="G259" s="197">
        <v>44242</v>
      </c>
      <c r="H259" s="197">
        <v>44607</v>
      </c>
      <c r="I259" s="197">
        <f t="shared" si="24"/>
        <v>44424.5</v>
      </c>
      <c r="J259" s="197">
        <v>44246</v>
      </c>
      <c r="K259" s="102">
        <f t="shared" si="25"/>
        <v>-179</v>
      </c>
      <c r="L259" s="53">
        <f t="shared" si="26"/>
        <v>-143200</v>
      </c>
      <c r="M259" s="197">
        <v>44253</v>
      </c>
      <c r="N259" s="55">
        <f t="shared" si="27"/>
        <v>7</v>
      </c>
      <c r="O259" s="198">
        <f t="shared" si="28"/>
        <v>5600</v>
      </c>
      <c r="P259" s="53"/>
    </row>
    <row r="260" spans="1:16">
      <c r="A260" s="54">
        <f t="shared" si="23"/>
        <v>252</v>
      </c>
      <c r="B260" s="53" t="s">
        <v>403</v>
      </c>
      <c r="C260" s="197">
        <v>44257</v>
      </c>
      <c r="D260" s="53">
        <v>101.8</v>
      </c>
      <c r="E260" s="53">
        <v>101.8</v>
      </c>
      <c r="F260" s="197" t="s">
        <v>336</v>
      </c>
      <c r="G260" s="197">
        <v>44256</v>
      </c>
      <c r="H260" s="197">
        <v>44621</v>
      </c>
      <c r="I260" s="197">
        <f t="shared" si="24"/>
        <v>44438.5</v>
      </c>
      <c r="J260" s="197">
        <v>44263</v>
      </c>
      <c r="K260" s="102">
        <f t="shared" si="25"/>
        <v>-176</v>
      </c>
      <c r="L260" s="53">
        <f t="shared" si="26"/>
        <v>-17917</v>
      </c>
      <c r="M260" s="197">
        <v>44271</v>
      </c>
      <c r="N260" s="55">
        <f t="shared" si="27"/>
        <v>8</v>
      </c>
      <c r="O260" s="198">
        <f t="shared" si="28"/>
        <v>814</v>
      </c>
      <c r="P260" s="53"/>
    </row>
    <row r="261" spans="1:16">
      <c r="A261" s="54">
        <f t="shared" si="23"/>
        <v>253</v>
      </c>
      <c r="B261" s="53" t="s">
        <v>404</v>
      </c>
      <c r="C261" s="197">
        <v>44020</v>
      </c>
      <c r="D261" s="53">
        <v>137.82</v>
      </c>
      <c r="E261" s="53">
        <v>137.82</v>
      </c>
      <c r="F261" s="197" t="s">
        <v>336</v>
      </c>
      <c r="G261" s="197">
        <v>43985</v>
      </c>
      <c r="H261" s="197">
        <v>44015</v>
      </c>
      <c r="I261" s="197">
        <f t="shared" si="24"/>
        <v>44000</v>
      </c>
      <c r="J261" s="197">
        <v>44027</v>
      </c>
      <c r="K261" s="102">
        <f t="shared" si="25"/>
        <v>27</v>
      </c>
      <c r="L261" s="53">
        <f t="shared" si="26"/>
        <v>3721</v>
      </c>
      <c r="M261" s="197">
        <v>44040</v>
      </c>
      <c r="N261" s="55">
        <f t="shared" si="27"/>
        <v>13</v>
      </c>
      <c r="O261" s="198">
        <f t="shared" si="28"/>
        <v>1792</v>
      </c>
      <c r="P261" s="53"/>
    </row>
    <row r="262" spans="1:16">
      <c r="A262" s="54">
        <f t="shared" si="23"/>
        <v>254</v>
      </c>
      <c r="B262" s="53" t="s">
        <v>405</v>
      </c>
      <c r="C262" s="197">
        <v>43984</v>
      </c>
      <c r="D262" s="53">
        <v>800</v>
      </c>
      <c r="E262" s="53">
        <v>800</v>
      </c>
      <c r="F262" s="197" t="s">
        <v>336</v>
      </c>
      <c r="G262" s="197">
        <v>43983</v>
      </c>
      <c r="H262" s="197">
        <v>44012</v>
      </c>
      <c r="I262" s="197">
        <f t="shared" si="24"/>
        <v>43997.5</v>
      </c>
      <c r="J262" s="197">
        <v>44011</v>
      </c>
      <c r="K262" s="102">
        <f t="shared" si="25"/>
        <v>14</v>
      </c>
      <c r="L262" s="53">
        <f t="shared" si="26"/>
        <v>11200</v>
      </c>
      <c r="M262" s="197">
        <v>44025</v>
      </c>
      <c r="N262" s="55">
        <f t="shared" si="27"/>
        <v>14</v>
      </c>
      <c r="O262" s="198">
        <f t="shared" si="28"/>
        <v>11200</v>
      </c>
      <c r="P262" s="53"/>
    </row>
    <row r="263" spans="1:16">
      <c r="A263" s="54">
        <f t="shared" si="23"/>
        <v>255</v>
      </c>
      <c r="B263" s="53" t="s">
        <v>405</v>
      </c>
      <c r="C263" s="197">
        <v>44044</v>
      </c>
      <c r="D263" s="53">
        <v>800</v>
      </c>
      <c r="E263" s="53">
        <v>800</v>
      </c>
      <c r="F263" s="197" t="s">
        <v>336</v>
      </c>
      <c r="G263" s="197">
        <v>44044</v>
      </c>
      <c r="H263" s="197">
        <v>44074</v>
      </c>
      <c r="I263" s="197">
        <f t="shared" si="24"/>
        <v>44059</v>
      </c>
      <c r="J263" s="197">
        <v>44069</v>
      </c>
      <c r="K263" s="102">
        <f t="shared" si="25"/>
        <v>10</v>
      </c>
      <c r="L263" s="53">
        <f t="shared" si="26"/>
        <v>8000</v>
      </c>
      <c r="M263" s="197">
        <v>44076</v>
      </c>
      <c r="N263" s="55">
        <f t="shared" si="27"/>
        <v>7</v>
      </c>
      <c r="O263" s="198">
        <f t="shared" si="28"/>
        <v>5600</v>
      </c>
      <c r="P263" s="53"/>
    </row>
    <row r="264" spans="1:16">
      <c r="A264" s="54">
        <f t="shared" si="23"/>
        <v>256</v>
      </c>
      <c r="B264" s="53" t="s">
        <v>405</v>
      </c>
      <c r="C264" s="197">
        <v>44166</v>
      </c>
      <c r="D264" s="53">
        <v>800</v>
      </c>
      <c r="E264" s="53">
        <v>800</v>
      </c>
      <c r="F264" s="197" t="s">
        <v>336</v>
      </c>
      <c r="G264" s="197">
        <v>44166</v>
      </c>
      <c r="H264" s="197">
        <v>44196</v>
      </c>
      <c r="I264" s="197">
        <f t="shared" si="24"/>
        <v>44181</v>
      </c>
      <c r="J264" s="197">
        <v>44194</v>
      </c>
      <c r="K264" s="102">
        <f t="shared" si="25"/>
        <v>13</v>
      </c>
      <c r="L264" s="53">
        <f t="shared" si="26"/>
        <v>10400</v>
      </c>
      <c r="M264" s="197">
        <v>44203</v>
      </c>
      <c r="N264" s="55">
        <f t="shared" si="27"/>
        <v>9</v>
      </c>
      <c r="O264" s="198">
        <f t="shared" si="28"/>
        <v>7200</v>
      </c>
      <c r="P264" s="53"/>
    </row>
    <row r="265" spans="1:16">
      <c r="A265" s="54">
        <f t="shared" si="23"/>
        <v>257</v>
      </c>
      <c r="B265" s="53" t="s">
        <v>406</v>
      </c>
      <c r="C265" s="197">
        <v>44075</v>
      </c>
      <c r="D265" s="53">
        <v>1000</v>
      </c>
      <c r="E265" s="53">
        <v>1060</v>
      </c>
      <c r="F265" s="197" t="s">
        <v>336</v>
      </c>
      <c r="G265" s="197">
        <v>44109</v>
      </c>
      <c r="H265" s="197">
        <v>44114</v>
      </c>
      <c r="I265" s="197">
        <f t="shared" si="24"/>
        <v>44111.5</v>
      </c>
      <c r="J265" s="197">
        <v>44090</v>
      </c>
      <c r="K265" s="102">
        <f t="shared" si="25"/>
        <v>-22</v>
      </c>
      <c r="L265" s="53">
        <f t="shared" si="26"/>
        <v>-23320</v>
      </c>
      <c r="M265" s="197">
        <v>44105</v>
      </c>
      <c r="N265" s="55">
        <f t="shared" si="27"/>
        <v>15</v>
      </c>
      <c r="O265" s="198">
        <f t="shared" si="28"/>
        <v>15900</v>
      </c>
      <c r="P265" s="53"/>
    </row>
    <row r="266" spans="1:16">
      <c r="A266" s="54">
        <f t="shared" ref="A266:A271" si="29">1+A265</f>
        <v>258</v>
      </c>
      <c r="B266" s="53" t="s">
        <v>407</v>
      </c>
      <c r="C266" s="197">
        <v>44196</v>
      </c>
      <c r="D266" s="53">
        <v>70.400000000000006</v>
      </c>
      <c r="E266" s="53">
        <v>74.62</v>
      </c>
      <c r="F266" s="197" t="s">
        <v>336</v>
      </c>
      <c r="G266" s="197">
        <v>44166</v>
      </c>
      <c r="H266" s="197">
        <v>44196</v>
      </c>
      <c r="I266" s="197">
        <f t="shared" ref="I266:I329" si="30">IF(H266&lt;1," ",(((H266-G266)/2)+G266))</f>
        <v>44181</v>
      </c>
      <c r="J266" s="197">
        <v>44207</v>
      </c>
      <c r="K266" s="102">
        <f t="shared" ref="K266:K329" si="31">(ROUND(IF(H266&lt;1,J266-C266,J266-I266),0))</f>
        <v>26</v>
      </c>
      <c r="L266" s="53">
        <f t="shared" ref="L266:L329" si="32">ROUND(K266*E266,0)</f>
        <v>1940</v>
      </c>
      <c r="M266" s="197">
        <v>44216</v>
      </c>
      <c r="N266" s="55">
        <f t="shared" ref="N266:N329" si="33">IF(M266="",0,M266-J266)</f>
        <v>9</v>
      </c>
      <c r="O266" s="198">
        <f t="shared" ref="O266:O329" si="34">ROUND(+N266*E266,0)</f>
        <v>672</v>
      </c>
      <c r="P266" s="53"/>
    </row>
    <row r="267" spans="1:16">
      <c r="A267" s="54">
        <f t="shared" si="29"/>
        <v>259</v>
      </c>
      <c r="B267" s="53" t="s">
        <v>408</v>
      </c>
      <c r="C267" s="197">
        <v>43977</v>
      </c>
      <c r="D267" s="53">
        <v>226791.55</v>
      </c>
      <c r="E267" s="53">
        <v>4221.53</v>
      </c>
      <c r="F267" s="197" t="s">
        <v>276</v>
      </c>
      <c r="G267" s="197">
        <v>43914</v>
      </c>
      <c r="H267" s="197">
        <v>43977</v>
      </c>
      <c r="I267" s="197">
        <f t="shared" si="30"/>
        <v>43945.5</v>
      </c>
      <c r="J267" s="197">
        <v>43997</v>
      </c>
      <c r="K267" s="102">
        <f t="shared" si="31"/>
        <v>52</v>
      </c>
      <c r="L267" s="53">
        <f t="shared" si="32"/>
        <v>219520</v>
      </c>
      <c r="M267" s="197">
        <v>43997</v>
      </c>
      <c r="N267" s="55">
        <f t="shared" si="33"/>
        <v>0</v>
      </c>
      <c r="O267" s="198">
        <f t="shared" si="34"/>
        <v>0</v>
      </c>
      <c r="P267" s="53"/>
    </row>
    <row r="268" spans="1:16">
      <c r="A268" s="54">
        <f t="shared" si="29"/>
        <v>260</v>
      </c>
      <c r="B268" s="53" t="s">
        <v>408</v>
      </c>
      <c r="C268" s="197">
        <v>44130</v>
      </c>
      <c r="D268" s="53">
        <v>369999.02</v>
      </c>
      <c r="E268" s="53">
        <v>3904.51</v>
      </c>
      <c r="F268" s="197" t="s">
        <v>276</v>
      </c>
      <c r="G268" s="197">
        <v>44046</v>
      </c>
      <c r="H268" s="197">
        <v>44130</v>
      </c>
      <c r="I268" s="197">
        <f t="shared" si="30"/>
        <v>44088</v>
      </c>
      <c r="J268" s="197">
        <v>44151</v>
      </c>
      <c r="K268" s="102">
        <f t="shared" si="31"/>
        <v>63</v>
      </c>
      <c r="L268" s="53">
        <f t="shared" si="32"/>
        <v>245984</v>
      </c>
      <c r="M268" s="197">
        <v>44151</v>
      </c>
      <c r="N268" s="55">
        <f t="shared" si="33"/>
        <v>0</v>
      </c>
      <c r="O268" s="198">
        <f t="shared" si="34"/>
        <v>0</v>
      </c>
      <c r="P268" s="53"/>
    </row>
    <row r="269" spans="1:16">
      <c r="A269" s="54">
        <f t="shared" si="29"/>
        <v>261</v>
      </c>
      <c r="B269" s="53" t="s">
        <v>408</v>
      </c>
      <c r="C269" s="197">
        <v>44200</v>
      </c>
      <c r="D269" s="53">
        <v>198201.66</v>
      </c>
      <c r="E269" s="53">
        <v>1540.21</v>
      </c>
      <c r="F269" s="197" t="s">
        <v>276</v>
      </c>
      <c r="G269" s="197">
        <v>44145</v>
      </c>
      <c r="H269" s="197">
        <v>44200</v>
      </c>
      <c r="I269" s="197">
        <f t="shared" si="30"/>
        <v>44172.5</v>
      </c>
      <c r="J269" s="197">
        <v>44221</v>
      </c>
      <c r="K269" s="102">
        <f t="shared" si="31"/>
        <v>49</v>
      </c>
      <c r="L269" s="53">
        <f t="shared" si="32"/>
        <v>75470</v>
      </c>
      <c r="M269" s="197">
        <v>44221</v>
      </c>
      <c r="N269" s="55">
        <f t="shared" si="33"/>
        <v>0</v>
      </c>
      <c r="O269" s="198">
        <f t="shared" si="34"/>
        <v>0</v>
      </c>
      <c r="P269" s="53"/>
    </row>
    <row r="270" spans="1:16">
      <c r="A270" s="54">
        <f t="shared" si="29"/>
        <v>262</v>
      </c>
      <c r="B270" s="53" t="s">
        <v>408</v>
      </c>
      <c r="C270" s="197">
        <v>44242</v>
      </c>
      <c r="D270" s="53">
        <v>175946.76</v>
      </c>
      <c r="E270" s="53">
        <v>2862.98</v>
      </c>
      <c r="F270" s="197" t="s">
        <v>276</v>
      </c>
      <c r="G270" s="197">
        <v>44215</v>
      </c>
      <c r="H270" s="197">
        <v>44242</v>
      </c>
      <c r="I270" s="197">
        <f t="shared" si="30"/>
        <v>44228.5</v>
      </c>
      <c r="J270" s="197">
        <v>44263</v>
      </c>
      <c r="K270" s="102">
        <f t="shared" si="31"/>
        <v>35</v>
      </c>
      <c r="L270" s="53">
        <f t="shared" si="32"/>
        <v>100204</v>
      </c>
      <c r="M270" s="197">
        <v>44263</v>
      </c>
      <c r="N270" s="55">
        <f t="shared" si="33"/>
        <v>0</v>
      </c>
      <c r="O270" s="198">
        <f t="shared" si="34"/>
        <v>0</v>
      </c>
      <c r="P270" s="53"/>
    </row>
    <row r="271" spans="1:16">
      <c r="A271" s="54">
        <f t="shared" si="29"/>
        <v>263</v>
      </c>
      <c r="B271" s="53" t="s">
        <v>409</v>
      </c>
      <c r="C271" s="197">
        <v>44153</v>
      </c>
      <c r="D271" s="53">
        <v>252.58</v>
      </c>
      <c r="E271" s="53">
        <v>252.58</v>
      </c>
      <c r="F271" s="197" t="s">
        <v>276</v>
      </c>
      <c r="G271" s="197">
        <v>44138</v>
      </c>
      <c r="H271" s="197">
        <v>43839</v>
      </c>
      <c r="I271" s="197">
        <f t="shared" si="30"/>
        <v>43988.5</v>
      </c>
      <c r="J271" s="197">
        <v>44155</v>
      </c>
      <c r="K271" s="102">
        <f t="shared" si="31"/>
        <v>167</v>
      </c>
      <c r="L271" s="53">
        <f t="shared" si="32"/>
        <v>42181</v>
      </c>
      <c r="M271" s="197">
        <v>44155</v>
      </c>
      <c r="N271" s="55">
        <f t="shared" si="33"/>
        <v>0</v>
      </c>
      <c r="O271" s="198">
        <f t="shared" si="34"/>
        <v>0</v>
      </c>
      <c r="P271" s="53"/>
    </row>
    <row r="272" spans="1:16">
      <c r="A272" s="54">
        <v>264</v>
      </c>
      <c r="B272" s="53" t="s">
        <v>410</v>
      </c>
      <c r="C272" s="197">
        <v>43680</v>
      </c>
      <c r="D272" s="53">
        <v>75</v>
      </c>
      <c r="E272" s="53">
        <v>75</v>
      </c>
      <c r="F272" s="197" t="s">
        <v>336</v>
      </c>
      <c r="G272" s="197">
        <v>43700</v>
      </c>
      <c r="H272" s="197">
        <v>43700</v>
      </c>
      <c r="I272" s="197">
        <f t="shared" si="30"/>
        <v>43700</v>
      </c>
      <c r="J272" s="197">
        <v>43999</v>
      </c>
      <c r="K272" s="102">
        <f t="shared" si="31"/>
        <v>299</v>
      </c>
      <c r="L272" s="53">
        <f t="shared" si="32"/>
        <v>22425</v>
      </c>
      <c r="M272" s="197">
        <v>44015</v>
      </c>
      <c r="N272" s="55">
        <f t="shared" si="33"/>
        <v>16</v>
      </c>
      <c r="O272" s="198">
        <f t="shared" si="34"/>
        <v>1200</v>
      </c>
      <c r="P272" s="53"/>
    </row>
    <row r="273" spans="1:16">
      <c r="A273" s="54">
        <v>265</v>
      </c>
      <c r="B273" s="53" t="s">
        <v>410</v>
      </c>
      <c r="C273" s="197">
        <v>44227</v>
      </c>
      <c r="D273" s="53">
        <v>75</v>
      </c>
      <c r="E273" s="53">
        <v>75</v>
      </c>
      <c r="F273" s="197" t="s">
        <v>336</v>
      </c>
      <c r="G273" s="197">
        <v>44201</v>
      </c>
      <c r="H273" s="197">
        <v>44201</v>
      </c>
      <c r="I273" s="197">
        <f t="shared" si="30"/>
        <v>44201</v>
      </c>
      <c r="J273" s="197">
        <v>44246</v>
      </c>
      <c r="K273" s="102">
        <f t="shared" si="31"/>
        <v>45</v>
      </c>
      <c r="L273" s="53">
        <f t="shared" si="32"/>
        <v>3375</v>
      </c>
      <c r="M273" s="197">
        <v>44253</v>
      </c>
      <c r="N273" s="55">
        <f t="shared" si="33"/>
        <v>7</v>
      </c>
      <c r="O273" s="198">
        <f t="shared" si="34"/>
        <v>525</v>
      </c>
      <c r="P273" s="53"/>
    </row>
    <row r="274" spans="1:16">
      <c r="A274" s="54">
        <v>266</v>
      </c>
      <c r="B274" s="53" t="s">
        <v>411</v>
      </c>
      <c r="C274" s="197">
        <v>44183</v>
      </c>
      <c r="D274" s="53">
        <v>55</v>
      </c>
      <c r="E274" s="53">
        <v>55</v>
      </c>
      <c r="F274" s="197" t="s">
        <v>336</v>
      </c>
      <c r="G274" s="197">
        <v>44183</v>
      </c>
      <c r="H274" s="197">
        <v>44183</v>
      </c>
      <c r="I274" s="197">
        <f t="shared" si="30"/>
        <v>44183</v>
      </c>
      <c r="J274" s="197">
        <v>44194</v>
      </c>
      <c r="K274" s="102">
        <f t="shared" si="31"/>
        <v>11</v>
      </c>
      <c r="L274" s="53">
        <f t="shared" si="32"/>
        <v>605</v>
      </c>
      <c r="M274" s="197">
        <v>44202</v>
      </c>
      <c r="N274" s="55">
        <f t="shared" si="33"/>
        <v>8</v>
      </c>
      <c r="O274" s="198">
        <f t="shared" si="34"/>
        <v>440</v>
      </c>
      <c r="P274" s="53"/>
    </row>
    <row r="275" spans="1:16">
      <c r="A275" s="54">
        <v>267</v>
      </c>
      <c r="B275" s="53" t="s">
        <v>412</v>
      </c>
      <c r="C275" s="197">
        <v>44116</v>
      </c>
      <c r="D275" s="53">
        <v>225.65</v>
      </c>
      <c r="E275" s="53">
        <v>225.65</v>
      </c>
      <c r="F275" s="197" t="s">
        <v>336</v>
      </c>
      <c r="G275" s="197">
        <v>44116</v>
      </c>
      <c r="H275" s="197">
        <v>44116</v>
      </c>
      <c r="I275" s="197">
        <f t="shared" si="30"/>
        <v>44116</v>
      </c>
      <c r="J275" s="197">
        <v>44179</v>
      </c>
      <c r="K275" s="102">
        <f t="shared" si="31"/>
        <v>63</v>
      </c>
      <c r="L275" s="53">
        <f t="shared" si="32"/>
        <v>14216</v>
      </c>
      <c r="M275" s="197">
        <v>44187</v>
      </c>
      <c r="N275" s="55">
        <f t="shared" si="33"/>
        <v>8</v>
      </c>
      <c r="O275" s="198">
        <f t="shared" si="34"/>
        <v>1805</v>
      </c>
      <c r="P275" s="53"/>
    </row>
    <row r="276" spans="1:16">
      <c r="A276" s="54">
        <v>268</v>
      </c>
      <c r="B276" s="53" t="s">
        <v>413</v>
      </c>
      <c r="C276" s="197">
        <v>43920</v>
      </c>
      <c r="D276" s="53">
        <v>2200</v>
      </c>
      <c r="E276" s="53">
        <v>2200</v>
      </c>
      <c r="F276" s="197" t="s">
        <v>336</v>
      </c>
      <c r="G276" s="197">
        <v>43920</v>
      </c>
      <c r="H276" s="197">
        <v>43920</v>
      </c>
      <c r="I276" s="197">
        <f t="shared" si="30"/>
        <v>43920</v>
      </c>
      <c r="J276" s="197">
        <v>43948</v>
      </c>
      <c r="K276" s="102">
        <f t="shared" si="31"/>
        <v>28</v>
      </c>
      <c r="L276" s="53">
        <f t="shared" si="32"/>
        <v>61600</v>
      </c>
      <c r="M276" s="197">
        <v>43965</v>
      </c>
      <c r="N276" s="55">
        <f t="shared" si="33"/>
        <v>17</v>
      </c>
      <c r="O276" s="198">
        <f t="shared" si="34"/>
        <v>37400</v>
      </c>
      <c r="P276" s="53"/>
    </row>
    <row r="277" spans="1:16">
      <c r="A277" s="54">
        <v>269</v>
      </c>
      <c r="B277" s="53" t="s">
        <v>413</v>
      </c>
      <c r="C277" s="197">
        <v>44081</v>
      </c>
      <c r="D277" s="53">
        <v>2100</v>
      </c>
      <c r="E277" s="53">
        <v>2100</v>
      </c>
      <c r="F277" s="197" t="s">
        <v>336</v>
      </c>
      <c r="G277" s="197">
        <v>44081</v>
      </c>
      <c r="H277" s="197">
        <v>44081</v>
      </c>
      <c r="I277" s="197">
        <f t="shared" si="30"/>
        <v>44081</v>
      </c>
      <c r="J277" s="197">
        <v>44109</v>
      </c>
      <c r="K277" s="102">
        <f t="shared" si="31"/>
        <v>28</v>
      </c>
      <c r="L277" s="53">
        <f t="shared" si="32"/>
        <v>58800</v>
      </c>
      <c r="M277" s="197">
        <v>44126</v>
      </c>
      <c r="N277" s="55">
        <f t="shared" si="33"/>
        <v>17</v>
      </c>
      <c r="O277" s="198">
        <f t="shared" si="34"/>
        <v>35700</v>
      </c>
      <c r="P277" s="53"/>
    </row>
    <row r="278" spans="1:16">
      <c r="A278" s="54">
        <v>270</v>
      </c>
      <c r="B278" s="53" t="s">
        <v>414</v>
      </c>
      <c r="C278" s="197">
        <v>43938</v>
      </c>
      <c r="D278" s="53">
        <v>33.32</v>
      </c>
      <c r="E278" s="53">
        <v>33.32</v>
      </c>
      <c r="F278" s="197" t="s">
        <v>336</v>
      </c>
      <c r="G278" s="197">
        <v>43903</v>
      </c>
      <c r="H278" s="197">
        <v>43934</v>
      </c>
      <c r="I278" s="197">
        <f t="shared" si="30"/>
        <v>43918.5</v>
      </c>
      <c r="J278" s="197">
        <v>43950</v>
      </c>
      <c r="K278" s="102">
        <f t="shared" si="31"/>
        <v>32</v>
      </c>
      <c r="L278" s="53">
        <f t="shared" si="32"/>
        <v>1066</v>
      </c>
      <c r="M278" s="197">
        <v>43962</v>
      </c>
      <c r="N278" s="55">
        <f t="shared" si="33"/>
        <v>12</v>
      </c>
      <c r="O278" s="198">
        <f t="shared" si="34"/>
        <v>400</v>
      </c>
      <c r="P278" s="53"/>
    </row>
    <row r="279" spans="1:16">
      <c r="A279" s="54">
        <v>271</v>
      </c>
      <c r="B279" s="53" t="s">
        <v>414</v>
      </c>
      <c r="C279" s="197">
        <v>44062</v>
      </c>
      <c r="D279" s="53">
        <v>1036.0999999999999</v>
      </c>
      <c r="E279" s="53">
        <v>1036.0999999999999</v>
      </c>
      <c r="F279" s="197" t="s">
        <v>336</v>
      </c>
      <c r="G279" s="197">
        <v>44032</v>
      </c>
      <c r="H279" s="197">
        <v>44062</v>
      </c>
      <c r="I279" s="197">
        <f t="shared" si="30"/>
        <v>44047</v>
      </c>
      <c r="J279" s="197">
        <v>44074</v>
      </c>
      <c r="K279" s="102">
        <f t="shared" si="31"/>
        <v>27</v>
      </c>
      <c r="L279" s="53">
        <f t="shared" si="32"/>
        <v>27975</v>
      </c>
      <c r="M279" s="197">
        <v>44083</v>
      </c>
      <c r="N279" s="55">
        <f t="shared" si="33"/>
        <v>9</v>
      </c>
      <c r="O279" s="198">
        <f t="shared" si="34"/>
        <v>9325</v>
      </c>
      <c r="P279" s="53"/>
    </row>
    <row r="280" spans="1:16">
      <c r="A280" s="54">
        <v>272</v>
      </c>
      <c r="B280" s="53" t="s">
        <v>414</v>
      </c>
      <c r="C280" s="197">
        <v>44092</v>
      </c>
      <c r="D280" s="53">
        <v>1036.0999999999999</v>
      </c>
      <c r="E280" s="53">
        <v>1036.0999999999999</v>
      </c>
      <c r="F280" s="197" t="s">
        <v>336</v>
      </c>
      <c r="G280" s="197">
        <v>44062</v>
      </c>
      <c r="H280" s="197">
        <v>44092</v>
      </c>
      <c r="I280" s="197">
        <f t="shared" si="30"/>
        <v>44077</v>
      </c>
      <c r="J280" s="197">
        <v>44109</v>
      </c>
      <c r="K280" s="102">
        <f t="shared" si="31"/>
        <v>32</v>
      </c>
      <c r="L280" s="53">
        <f t="shared" si="32"/>
        <v>33155</v>
      </c>
      <c r="M280" s="197">
        <v>44113</v>
      </c>
      <c r="N280" s="55">
        <f t="shared" si="33"/>
        <v>4</v>
      </c>
      <c r="O280" s="198">
        <f t="shared" si="34"/>
        <v>4144</v>
      </c>
      <c r="P280" s="53"/>
    </row>
    <row r="281" spans="1:16">
      <c r="A281" s="54">
        <v>273</v>
      </c>
      <c r="B281" s="53" t="s">
        <v>414</v>
      </c>
      <c r="C281" s="197">
        <v>44137</v>
      </c>
      <c r="D281" s="53">
        <v>38.159999999999997</v>
      </c>
      <c r="E281" s="53">
        <v>38.159999999999997</v>
      </c>
      <c r="F281" s="197" t="s">
        <v>336</v>
      </c>
      <c r="G281" s="197">
        <v>44103</v>
      </c>
      <c r="H281" s="197">
        <v>44131</v>
      </c>
      <c r="I281" s="197">
        <f t="shared" si="30"/>
        <v>44117</v>
      </c>
      <c r="J281" s="197">
        <v>44151</v>
      </c>
      <c r="K281" s="102">
        <f t="shared" si="31"/>
        <v>34</v>
      </c>
      <c r="L281" s="53">
        <f t="shared" si="32"/>
        <v>1297</v>
      </c>
      <c r="M281" s="197">
        <v>44158</v>
      </c>
      <c r="N281" s="55">
        <f t="shared" si="33"/>
        <v>7</v>
      </c>
      <c r="O281" s="198">
        <f t="shared" si="34"/>
        <v>267</v>
      </c>
      <c r="P281" s="53"/>
    </row>
    <row r="282" spans="1:16">
      <c r="A282" s="54">
        <v>274</v>
      </c>
      <c r="B282" s="53" t="s">
        <v>414</v>
      </c>
      <c r="C282" s="197">
        <v>44249</v>
      </c>
      <c r="D282" s="53">
        <v>36.03</v>
      </c>
      <c r="E282" s="53">
        <v>36.03</v>
      </c>
      <c r="F282" s="197" t="s">
        <v>336</v>
      </c>
      <c r="G282" s="197">
        <v>44189</v>
      </c>
      <c r="H282" s="197">
        <v>44222</v>
      </c>
      <c r="I282" s="197">
        <f t="shared" si="30"/>
        <v>44205.5</v>
      </c>
      <c r="J282" s="197">
        <v>44251</v>
      </c>
      <c r="K282" s="102">
        <f t="shared" si="31"/>
        <v>46</v>
      </c>
      <c r="L282" s="53">
        <f t="shared" si="32"/>
        <v>1657</v>
      </c>
      <c r="M282" s="197">
        <v>44257</v>
      </c>
      <c r="N282" s="55">
        <f t="shared" si="33"/>
        <v>6</v>
      </c>
      <c r="O282" s="198">
        <f t="shared" si="34"/>
        <v>216</v>
      </c>
      <c r="P282" s="53"/>
    </row>
    <row r="283" spans="1:16">
      <c r="A283" s="54">
        <v>275</v>
      </c>
      <c r="B283" s="53" t="s">
        <v>415</v>
      </c>
      <c r="C283" s="197">
        <v>44179</v>
      </c>
      <c r="D283" s="53">
        <v>300</v>
      </c>
      <c r="E283" s="53">
        <v>300</v>
      </c>
      <c r="F283" s="197" t="s">
        <v>336</v>
      </c>
      <c r="G283" s="197">
        <v>44197</v>
      </c>
      <c r="H283" s="197">
        <v>44561</v>
      </c>
      <c r="I283" s="197">
        <f t="shared" si="30"/>
        <v>44379</v>
      </c>
      <c r="J283" s="197">
        <v>44200</v>
      </c>
      <c r="K283" s="102">
        <f t="shared" si="31"/>
        <v>-179</v>
      </c>
      <c r="L283" s="53">
        <f t="shared" si="32"/>
        <v>-53700</v>
      </c>
      <c r="M283" s="197">
        <v>44209</v>
      </c>
      <c r="N283" s="55">
        <f t="shared" si="33"/>
        <v>9</v>
      </c>
      <c r="O283" s="198">
        <f t="shared" si="34"/>
        <v>2700</v>
      </c>
      <c r="P283" s="53"/>
    </row>
    <row r="284" spans="1:16">
      <c r="A284" s="54">
        <v>276</v>
      </c>
      <c r="B284" s="53" t="s">
        <v>416</v>
      </c>
      <c r="C284" s="197">
        <v>43914</v>
      </c>
      <c r="D284" s="53">
        <v>41.92</v>
      </c>
      <c r="E284" s="53">
        <v>41.92</v>
      </c>
      <c r="F284" s="197" t="s">
        <v>336</v>
      </c>
      <c r="G284" s="197">
        <v>43884</v>
      </c>
      <c r="H284" s="197">
        <v>43913</v>
      </c>
      <c r="I284" s="197">
        <f t="shared" si="30"/>
        <v>43898.5</v>
      </c>
      <c r="J284" s="197">
        <v>43927</v>
      </c>
      <c r="K284" s="102">
        <f t="shared" si="31"/>
        <v>29</v>
      </c>
      <c r="L284" s="53">
        <f t="shared" si="32"/>
        <v>1216</v>
      </c>
      <c r="M284" s="197">
        <v>43935</v>
      </c>
      <c r="N284" s="55">
        <f t="shared" si="33"/>
        <v>8</v>
      </c>
      <c r="O284" s="198">
        <f t="shared" si="34"/>
        <v>335</v>
      </c>
      <c r="P284" s="53"/>
    </row>
    <row r="285" spans="1:16">
      <c r="A285" s="54">
        <v>277</v>
      </c>
      <c r="B285" s="53" t="s">
        <v>416</v>
      </c>
      <c r="C285" s="197">
        <v>43917</v>
      </c>
      <c r="D285" s="53">
        <v>781.01</v>
      </c>
      <c r="E285" s="53">
        <v>781.01</v>
      </c>
      <c r="F285" s="197" t="s">
        <v>336</v>
      </c>
      <c r="G285" s="197">
        <v>43886</v>
      </c>
      <c r="H285" s="197">
        <v>43915</v>
      </c>
      <c r="I285" s="197">
        <f t="shared" si="30"/>
        <v>43900.5</v>
      </c>
      <c r="J285" s="197">
        <v>43934</v>
      </c>
      <c r="K285" s="102">
        <f t="shared" si="31"/>
        <v>34</v>
      </c>
      <c r="L285" s="53">
        <f t="shared" si="32"/>
        <v>26554</v>
      </c>
      <c r="M285" s="197">
        <v>43941</v>
      </c>
      <c r="N285" s="55">
        <f t="shared" si="33"/>
        <v>7</v>
      </c>
      <c r="O285" s="198">
        <f t="shared" si="34"/>
        <v>5467</v>
      </c>
      <c r="P285" s="53"/>
    </row>
    <row r="286" spans="1:16">
      <c r="A286" s="54">
        <v>278</v>
      </c>
      <c r="B286" s="53" t="s">
        <v>416</v>
      </c>
      <c r="C286" s="197">
        <v>43965</v>
      </c>
      <c r="D286" s="53">
        <v>39.1</v>
      </c>
      <c r="E286" s="53">
        <v>39.1</v>
      </c>
      <c r="F286" s="197" t="s">
        <v>336</v>
      </c>
      <c r="G286" s="197">
        <v>43935</v>
      </c>
      <c r="H286" s="197">
        <v>43964</v>
      </c>
      <c r="I286" s="197">
        <f t="shared" si="30"/>
        <v>43949.5</v>
      </c>
      <c r="J286" s="197">
        <v>43978</v>
      </c>
      <c r="K286" s="102">
        <f t="shared" si="31"/>
        <v>29</v>
      </c>
      <c r="L286" s="53">
        <f t="shared" si="32"/>
        <v>1134</v>
      </c>
      <c r="M286" s="197">
        <v>43986</v>
      </c>
      <c r="N286" s="55">
        <f t="shared" si="33"/>
        <v>8</v>
      </c>
      <c r="O286" s="198">
        <f t="shared" si="34"/>
        <v>313</v>
      </c>
      <c r="P286" s="53"/>
    </row>
    <row r="287" spans="1:16">
      <c r="A287" s="54">
        <v>279</v>
      </c>
      <c r="B287" s="53" t="s">
        <v>416</v>
      </c>
      <c r="C287" s="197">
        <v>44028</v>
      </c>
      <c r="D287" s="53">
        <v>38.97</v>
      </c>
      <c r="E287" s="53">
        <v>38.97</v>
      </c>
      <c r="F287" s="197" t="s">
        <v>336</v>
      </c>
      <c r="G287" s="197">
        <v>43993</v>
      </c>
      <c r="H287" s="197">
        <v>44026</v>
      </c>
      <c r="I287" s="197">
        <f t="shared" si="30"/>
        <v>44009.5</v>
      </c>
      <c r="J287" s="197">
        <v>44041</v>
      </c>
      <c r="K287" s="102">
        <f t="shared" si="31"/>
        <v>32</v>
      </c>
      <c r="L287" s="53">
        <f t="shared" si="32"/>
        <v>1247</v>
      </c>
      <c r="M287" s="197">
        <v>44050</v>
      </c>
      <c r="N287" s="55">
        <f t="shared" si="33"/>
        <v>9</v>
      </c>
      <c r="O287" s="198">
        <f t="shared" si="34"/>
        <v>351</v>
      </c>
      <c r="P287" s="53"/>
    </row>
    <row r="288" spans="1:16">
      <c r="A288" s="54">
        <v>280</v>
      </c>
      <c r="B288" s="53" t="s">
        <v>416</v>
      </c>
      <c r="C288" s="197">
        <v>44117</v>
      </c>
      <c r="D288" s="53">
        <v>35.89</v>
      </c>
      <c r="E288" s="53">
        <v>35.89</v>
      </c>
      <c r="F288" s="197" t="s">
        <v>336</v>
      </c>
      <c r="G288" s="197">
        <v>44084</v>
      </c>
      <c r="H288" s="197">
        <v>44115</v>
      </c>
      <c r="I288" s="197">
        <f t="shared" si="30"/>
        <v>44099.5</v>
      </c>
      <c r="J288" s="197">
        <v>44146</v>
      </c>
      <c r="K288" s="102">
        <f t="shared" si="31"/>
        <v>47</v>
      </c>
      <c r="L288" s="53">
        <f t="shared" si="32"/>
        <v>1687</v>
      </c>
      <c r="M288" s="197">
        <v>44153</v>
      </c>
      <c r="N288" s="55">
        <f t="shared" si="33"/>
        <v>7</v>
      </c>
      <c r="O288" s="198">
        <f t="shared" si="34"/>
        <v>251</v>
      </c>
      <c r="P288" s="53"/>
    </row>
    <row r="289" spans="1:16">
      <c r="A289" s="54">
        <v>281</v>
      </c>
      <c r="B289" s="53" t="s">
        <v>416</v>
      </c>
      <c r="C289" s="197">
        <v>44138</v>
      </c>
      <c r="D289" s="53">
        <v>30.81</v>
      </c>
      <c r="E289" s="53">
        <v>30.81</v>
      </c>
      <c r="F289" s="197" t="s">
        <v>336</v>
      </c>
      <c r="G289" s="197">
        <v>44104</v>
      </c>
      <c r="H289" s="197">
        <v>44136</v>
      </c>
      <c r="I289" s="197">
        <f t="shared" si="30"/>
        <v>44120</v>
      </c>
      <c r="J289" s="197">
        <v>44153</v>
      </c>
      <c r="K289" s="102">
        <f t="shared" si="31"/>
        <v>33</v>
      </c>
      <c r="L289" s="53">
        <f t="shared" si="32"/>
        <v>1017</v>
      </c>
      <c r="M289" s="197">
        <v>44162</v>
      </c>
      <c r="N289" s="55">
        <f t="shared" si="33"/>
        <v>9</v>
      </c>
      <c r="O289" s="198">
        <f t="shared" si="34"/>
        <v>277</v>
      </c>
      <c r="P289" s="53"/>
    </row>
    <row r="290" spans="1:16">
      <c r="A290" s="54">
        <v>282</v>
      </c>
      <c r="B290" s="53" t="s">
        <v>416</v>
      </c>
      <c r="C290" s="197">
        <v>44152</v>
      </c>
      <c r="D290" s="53">
        <v>24.02</v>
      </c>
      <c r="E290" s="53">
        <v>24.02</v>
      </c>
      <c r="F290" s="197" t="s">
        <v>336</v>
      </c>
      <c r="G290" s="197">
        <v>44118</v>
      </c>
      <c r="H290" s="197">
        <v>44150</v>
      </c>
      <c r="I290" s="197">
        <f t="shared" si="30"/>
        <v>44134</v>
      </c>
      <c r="J290" s="197">
        <v>44181</v>
      </c>
      <c r="K290" s="102">
        <f t="shared" si="31"/>
        <v>47</v>
      </c>
      <c r="L290" s="53">
        <f t="shared" si="32"/>
        <v>1129</v>
      </c>
      <c r="M290" s="197">
        <v>44188</v>
      </c>
      <c r="N290" s="55">
        <f t="shared" si="33"/>
        <v>7</v>
      </c>
      <c r="O290" s="198">
        <f t="shared" si="34"/>
        <v>168</v>
      </c>
      <c r="P290" s="53"/>
    </row>
    <row r="291" spans="1:16">
      <c r="A291" s="54">
        <v>283</v>
      </c>
      <c r="B291" s="53" t="s">
        <v>416</v>
      </c>
      <c r="C291" s="197">
        <v>44173</v>
      </c>
      <c r="D291" s="53">
        <v>36.049999999999997</v>
      </c>
      <c r="E291" s="53">
        <v>36.049999999999997</v>
      </c>
      <c r="F291" s="197" t="s">
        <v>336</v>
      </c>
      <c r="G291" s="197">
        <v>44140</v>
      </c>
      <c r="H291" s="197">
        <v>44171</v>
      </c>
      <c r="I291" s="197">
        <f t="shared" si="30"/>
        <v>44155.5</v>
      </c>
      <c r="J291" s="197">
        <v>44186</v>
      </c>
      <c r="K291" s="102">
        <f t="shared" si="31"/>
        <v>31</v>
      </c>
      <c r="L291" s="53">
        <f t="shared" si="32"/>
        <v>1118</v>
      </c>
      <c r="M291" s="197">
        <v>44194</v>
      </c>
      <c r="N291" s="55">
        <f t="shared" si="33"/>
        <v>8</v>
      </c>
      <c r="O291" s="198">
        <f t="shared" si="34"/>
        <v>288</v>
      </c>
      <c r="P291" s="53"/>
    </row>
    <row r="292" spans="1:16">
      <c r="A292" s="54">
        <v>284</v>
      </c>
      <c r="B292" s="53" t="s">
        <v>416</v>
      </c>
      <c r="C292" s="197">
        <v>44223</v>
      </c>
      <c r="D292" s="53">
        <v>40.51</v>
      </c>
      <c r="E292" s="53">
        <v>40.51</v>
      </c>
      <c r="F292" s="197" t="s">
        <v>336</v>
      </c>
      <c r="G292" s="197">
        <v>44186</v>
      </c>
      <c r="H292" s="197">
        <v>44218</v>
      </c>
      <c r="I292" s="197">
        <f t="shared" si="30"/>
        <v>44202</v>
      </c>
      <c r="J292" s="197">
        <v>44235</v>
      </c>
      <c r="K292" s="102">
        <f t="shared" si="31"/>
        <v>33</v>
      </c>
      <c r="L292" s="53">
        <f t="shared" si="32"/>
        <v>1337</v>
      </c>
      <c r="M292" s="197">
        <v>44246</v>
      </c>
      <c r="N292" s="55">
        <f t="shared" si="33"/>
        <v>11</v>
      </c>
      <c r="O292" s="198">
        <f t="shared" si="34"/>
        <v>446</v>
      </c>
      <c r="P292" s="53"/>
    </row>
    <row r="293" spans="1:16">
      <c r="A293" s="54">
        <v>285</v>
      </c>
      <c r="B293" s="53" t="s">
        <v>416</v>
      </c>
      <c r="C293" s="197">
        <v>44225</v>
      </c>
      <c r="D293" s="53">
        <v>691.05</v>
      </c>
      <c r="E293" s="53">
        <v>691.05</v>
      </c>
      <c r="F293" s="197" t="s">
        <v>336</v>
      </c>
      <c r="G293" s="197">
        <v>44190</v>
      </c>
      <c r="H293" s="197">
        <v>43855</v>
      </c>
      <c r="I293" s="197">
        <f t="shared" si="30"/>
        <v>44022.5</v>
      </c>
      <c r="J293" s="197">
        <v>44239</v>
      </c>
      <c r="K293" s="102">
        <f t="shared" si="31"/>
        <v>217</v>
      </c>
      <c r="L293" s="53">
        <f t="shared" si="32"/>
        <v>149958</v>
      </c>
      <c r="M293" s="197">
        <v>44246</v>
      </c>
      <c r="N293" s="55">
        <f t="shared" si="33"/>
        <v>7</v>
      </c>
      <c r="O293" s="198">
        <f t="shared" si="34"/>
        <v>4837</v>
      </c>
      <c r="P293" s="53"/>
    </row>
    <row r="294" spans="1:16">
      <c r="A294" s="54">
        <v>286</v>
      </c>
      <c r="B294" s="53" t="s">
        <v>416</v>
      </c>
      <c r="C294" s="197">
        <v>44266</v>
      </c>
      <c r="D294" s="53">
        <v>28.3</v>
      </c>
      <c r="E294" s="53">
        <v>28.3</v>
      </c>
      <c r="F294" s="197" t="s">
        <v>336</v>
      </c>
      <c r="G294" s="197">
        <v>44238</v>
      </c>
      <c r="H294" s="197">
        <v>44266</v>
      </c>
      <c r="I294" s="197">
        <f t="shared" si="30"/>
        <v>44252</v>
      </c>
      <c r="J294" s="197">
        <v>44284</v>
      </c>
      <c r="K294" s="102">
        <f t="shared" si="31"/>
        <v>32</v>
      </c>
      <c r="L294" s="53">
        <f t="shared" si="32"/>
        <v>906</v>
      </c>
      <c r="M294" s="197">
        <v>44288</v>
      </c>
      <c r="N294" s="55">
        <f t="shared" si="33"/>
        <v>4</v>
      </c>
      <c r="O294" s="198">
        <f t="shared" si="34"/>
        <v>113</v>
      </c>
      <c r="P294" s="53"/>
    </row>
    <row r="295" spans="1:16">
      <c r="A295" s="54">
        <v>287</v>
      </c>
      <c r="B295" s="53" t="s">
        <v>417</v>
      </c>
      <c r="C295" s="197">
        <v>44136</v>
      </c>
      <c r="D295" s="53">
        <v>565</v>
      </c>
      <c r="E295" s="53">
        <v>565</v>
      </c>
      <c r="F295" s="197" t="s">
        <v>336</v>
      </c>
      <c r="G295" s="197">
        <v>44136</v>
      </c>
      <c r="H295" s="197">
        <v>44136</v>
      </c>
      <c r="I295" s="197">
        <f t="shared" si="30"/>
        <v>44136</v>
      </c>
      <c r="J295" s="197">
        <v>44153</v>
      </c>
      <c r="K295" s="102">
        <f t="shared" si="31"/>
        <v>17</v>
      </c>
      <c r="L295" s="53">
        <f t="shared" si="32"/>
        <v>9605</v>
      </c>
      <c r="M295" s="197">
        <v>44159</v>
      </c>
      <c r="N295" s="55">
        <f t="shared" si="33"/>
        <v>6</v>
      </c>
      <c r="O295" s="198">
        <f t="shared" si="34"/>
        <v>3390</v>
      </c>
      <c r="P295" s="53"/>
    </row>
    <row r="296" spans="1:16">
      <c r="A296" s="54">
        <v>288</v>
      </c>
      <c r="B296" s="53" t="s">
        <v>418</v>
      </c>
      <c r="C296" s="197">
        <v>44099</v>
      </c>
      <c r="D296" s="53">
        <v>111.91</v>
      </c>
      <c r="E296" s="53">
        <v>118.62</v>
      </c>
      <c r="F296" s="197" t="s">
        <v>336</v>
      </c>
      <c r="G296" s="197">
        <v>44068</v>
      </c>
      <c r="H296" s="197">
        <v>44099</v>
      </c>
      <c r="I296" s="197">
        <f t="shared" si="30"/>
        <v>44083.5</v>
      </c>
      <c r="J296" s="197">
        <v>44125</v>
      </c>
      <c r="K296" s="102">
        <f t="shared" si="31"/>
        <v>42</v>
      </c>
      <c r="L296" s="53">
        <f t="shared" si="32"/>
        <v>4982</v>
      </c>
      <c r="M296" s="197">
        <v>44131</v>
      </c>
      <c r="N296" s="55">
        <f t="shared" si="33"/>
        <v>6</v>
      </c>
      <c r="O296" s="198">
        <f t="shared" si="34"/>
        <v>712</v>
      </c>
      <c r="P296" s="53"/>
    </row>
    <row r="297" spans="1:16">
      <c r="A297" s="54">
        <v>289</v>
      </c>
      <c r="B297" s="53" t="s">
        <v>419</v>
      </c>
      <c r="C297" s="197">
        <v>44236</v>
      </c>
      <c r="D297" s="53">
        <v>12</v>
      </c>
      <c r="E297" s="53">
        <v>12</v>
      </c>
      <c r="F297" s="197" t="s">
        <v>276</v>
      </c>
      <c r="G297" s="197">
        <v>44235</v>
      </c>
      <c r="H297" s="197">
        <v>44235</v>
      </c>
      <c r="I297" s="197">
        <f t="shared" si="30"/>
        <v>44235</v>
      </c>
      <c r="J297" s="197">
        <v>44237</v>
      </c>
      <c r="K297" s="102">
        <f t="shared" si="31"/>
        <v>2</v>
      </c>
      <c r="L297" s="53">
        <f t="shared" si="32"/>
        <v>24</v>
      </c>
      <c r="M297" s="197">
        <v>44237</v>
      </c>
      <c r="N297" s="55">
        <f t="shared" si="33"/>
        <v>0</v>
      </c>
      <c r="O297" s="198">
        <f t="shared" si="34"/>
        <v>0</v>
      </c>
      <c r="P297" s="53"/>
    </row>
    <row r="298" spans="1:16">
      <c r="A298" s="54">
        <v>290</v>
      </c>
      <c r="B298" s="53" t="s">
        <v>420</v>
      </c>
      <c r="C298" s="197">
        <v>44036</v>
      </c>
      <c r="D298" s="53">
        <v>390.45</v>
      </c>
      <c r="E298" s="53">
        <v>390.45</v>
      </c>
      <c r="F298" s="197" t="s">
        <v>276</v>
      </c>
      <c r="G298" s="197">
        <v>44020</v>
      </c>
      <c r="H298" s="197">
        <v>44035</v>
      </c>
      <c r="I298" s="197">
        <f t="shared" si="30"/>
        <v>44027.5</v>
      </c>
      <c r="J298" s="197">
        <v>44041</v>
      </c>
      <c r="K298" s="102">
        <f t="shared" si="31"/>
        <v>14</v>
      </c>
      <c r="L298" s="53">
        <f t="shared" si="32"/>
        <v>5466</v>
      </c>
      <c r="M298" s="197">
        <v>44041</v>
      </c>
      <c r="N298" s="55">
        <f t="shared" si="33"/>
        <v>0</v>
      </c>
      <c r="O298" s="198">
        <f t="shared" si="34"/>
        <v>0</v>
      </c>
      <c r="P298" s="53"/>
    </row>
    <row r="299" spans="1:16">
      <c r="A299" s="54">
        <v>291</v>
      </c>
      <c r="B299" s="53" t="s">
        <v>420</v>
      </c>
      <c r="C299" s="197">
        <v>44175</v>
      </c>
      <c r="D299" s="53">
        <v>394.45</v>
      </c>
      <c r="E299" s="53">
        <v>394.45</v>
      </c>
      <c r="F299" s="197" t="s">
        <v>276</v>
      </c>
      <c r="G299" s="197">
        <v>44154</v>
      </c>
      <c r="H299" s="197">
        <v>44174</v>
      </c>
      <c r="I299" s="197">
        <f t="shared" si="30"/>
        <v>44164</v>
      </c>
      <c r="J299" s="197">
        <v>44179</v>
      </c>
      <c r="K299" s="102">
        <f t="shared" si="31"/>
        <v>15</v>
      </c>
      <c r="L299" s="53">
        <f t="shared" si="32"/>
        <v>5917</v>
      </c>
      <c r="M299" s="197">
        <v>44179</v>
      </c>
      <c r="N299" s="55">
        <f t="shared" si="33"/>
        <v>0</v>
      </c>
      <c r="O299" s="198">
        <f t="shared" si="34"/>
        <v>0</v>
      </c>
      <c r="P299" s="53"/>
    </row>
    <row r="300" spans="1:16">
      <c r="A300" s="54">
        <v>292</v>
      </c>
      <c r="B300" s="53" t="s">
        <v>421</v>
      </c>
      <c r="C300" s="197">
        <v>43968</v>
      </c>
      <c r="D300" s="53">
        <v>38.020000000000003</v>
      </c>
      <c r="E300" s="53">
        <v>38.020000000000003</v>
      </c>
      <c r="F300" s="197" t="s">
        <v>336</v>
      </c>
      <c r="G300" s="197">
        <v>43938</v>
      </c>
      <c r="H300" s="197">
        <v>43968</v>
      </c>
      <c r="I300" s="197">
        <f t="shared" si="30"/>
        <v>43953</v>
      </c>
      <c r="J300" s="197">
        <v>43978</v>
      </c>
      <c r="K300" s="102">
        <f t="shared" si="31"/>
        <v>25</v>
      </c>
      <c r="L300" s="53">
        <f t="shared" si="32"/>
        <v>951</v>
      </c>
      <c r="M300" s="197">
        <v>43985</v>
      </c>
      <c r="N300" s="55">
        <f t="shared" si="33"/>
        <v>7</v>
      </c>
      <c r="O300" s="198">
        <f t="shared" si="34"/>
        <v>266</v>
      </c>
      <c r="P300" s="53"/>
    </row>
    <row r="301" spans="1:16">
      <c r="A301" s="54">
        <v>293</v>
      </c>
      <c r="B301" s="53" t="s">
        <v>421</v>
      </c>
      <c r="C301" s="197">
        <v>43977</v>
      </c>
      <c r="D301" s="53">
        <v>38.14</v>
      </c>
      <c r="E301" s="53">
        <v>38.14</v>
      </c>
      <c r="F301" s="197" t="s">
        <v>336</v>
      </c>
      <c r="G301" s="197">
        <v>43947</v>
      </c>
      <c r="H301" s="197">
        <v>43977</v>
      </c>
      <c r="I301" s="197">
        <f t="shared" si="30"/>
        <v>43962</v>
      </c>
      <c r="J301" s="197">
        <v>43986</v>
      </c>
      <c r="K301" s="102">
        <f t="shared" si="31"/>
        <v>24</v>
      </c>
      <c r="L301" s="53">
        <f t="shared" si="32"/>
        <v>915</v>
      </c>
      <c r="M301" s="197">
        <v>43994</v>
      </c>
      <c r="N301" s="55">
        <f t="shared" si="33"/>
        <v>8</v>
      </c>
      <c r="O301" s="198">
        <f t="shared" si="34"/>
        <v>305</v>
      </c>
      <c r="P301" s="53"/>
    </row>
    <row r="302" spans="1:16">
      <c r="A302" s="54">
        <v>294</v>
      </c>
      <c r="B302" s="53" t="s">
        <v>421</v>
      </c>
      <c r="C302" s="197">
        <v>43999</v>
      </c>
      <c r="D302" s="53">
        <v>34.6</v>
      </c>
      <c r="E302" s="53">
        <v>34.6</v>
      </c>
      <c r="F302" s="197" t="s">
        <v>336</v>
      </c>
      <c r="G302" s="197">
        <v>43968</v>
      </c>
      <c r="H302" s="197">
        <v>43999</v>
      </c>
      <c r="I302" s="197">
        <f t="shared" si="30"/>
        <v>43983.5</v>
      </c>
      <c r="J302" s="197">
        <v>44004</v>
      </c>
      <c r="K302" s="102">
        <f t="shared" si="31"/>
        <v>21</v>
      </c>
      <c r="L302" s="53">
        <f t="shared" si="32"/>
        <v>727</v>
      </c>
      <c r="M302" s="197">
        <v>44012</v>
      </c>
      <c r="N302" s="55">
        <f t="shared" si="33"/>
        <v>8</v>
      </c>
      <c r="O302" s="198">
        <f t="shared" si="34"/>
        <v>277</v>
      </c>
      <c r="P302" s="53"/>
    </row>
    <row r="303" spans="1:16">
      <c r="A303" s="54">
        <v>295</v>
      </c>
      <c r="B303" s="53" t="s">
        <v>421</v>
      </c>
      <c r="C303" s="197">
        <v>44005</v>
      </c>
      <c r="D303" s="53">
        <v>34.479999999999997</v>
      </c>
      <c r="E303" s="53">
        <v>34.479999999999997</v>
      </c>
      <c r="F303" s="197" t="s">
        <v>336</v>
      </c>
      <c r="G303" s="197">
        <v>43974</v>
      </c>
      <c r="H303" s="197">
        <v>44005</v>
      </c>
      <c r="I303" s="197">
        <f t="shared" si="30"/>
        <v>43989.5</v>
      </c>
      <c r="J303" s="197">
        <v>44011</v>
      </c>
      <c r="K303" s="102">
        <f t="shared" si="31"/>
        <v>22</v>
      </c>
      <c r="L303" s="53">
        <f t="shared" si="32"/>
        <v>759</v>
      </c>
      <c r="M303" s="197">
        <v>44019</v>
      </c>
      <c r="N303" s="55">
        <f t="shared" si="33"/>
        <v>8</v>
      </c>
      <c r="O303" s="198">
        <f t="shared" si="34"/>
        <v>276</v>
      </c>
      <c r="P303" s="53"/>
    </row>
    <row r="304" spans="1:16">
      <c r="A304" s="54">
        <v>296</v>
      </c>
      <c r="B304" s="53" t="s">
        <v>421</v>
      </c>
      <c r="C304" s="197">
        <v>44060</v>
      </c>
      <c r="D304" s="53">
        <v>34.72</v>
      </c>
      <c r="E304" s="53">
        <v>34.72</v>
      </c>
      <c r="F304" s="197" t="s">
        <v>336</v>
      </c>
      <c r="G304" s="197">
        <v>44029</v>
      </c>
      <c r="H304" s="197">
        <v>44060</v>
      </c>
      <c r="I304" s="197">
        <f t="shared" si="30"/>
        <v>44044.5</v>
      </c>
      <c r="J304" s="197">
        <v>44067</v>
      </c>
      <c r="K304" s="102">
        <f t="shared" si="31"/>
        <v>23</v>
      </c>
      <c r="L304" s="53">
        <f t="shared" si="32"/>
        <v>799</v>
      </c>
      <c r="M304" s="197">
        <v>44075</v>
      </c>
      <c r="N304" s="55">
        <f t="shared" si="33"/>
        <v>8</v>
      </c>
      <c r="O304" s="198">
        <f t="shared" si="34"/>
        <v>278</v>
      </c>
      <c r="P304" s="53"/>
    </row>
    <row r="305" spans="1:16">
      <c r="A305" s="54">
        <v>297</v>
      </c>
      <c r="B305" s="53" t="s">
        <v>421</v>
      </c>
      <c r="C305" s="197">
        <v>44060</v>
      </c>
      <c r="D305" s="53">
        <v>69.92</v>
      </c>
      <c r="E305" s="53">
        <v>69.92</v>
      </c>
      <c r="F305" s="197" t="s">
        <v>336</v>
      </c>
      <c r="G305" s="197">
        <v>44029</v>
      </c>
      <c r="H305" s="197">
        <v>44060</v>
      </c>
      <c r="I305" s="197">
        <f t="shared" si="30"/>
        <v>44044.5</v>
      </c>
      <c r="J305" s="197">
        <v>44067</v>
      </c>
      <c r="K305" s="102">
        <f t="shared" si="31"/>
        <v>23</v>
      </c>
      <c r="L305" s="53">
        <f t="shared" si="32"/>
        <v>1608</v>
      </c>
      <c r="M305" s="197">
        <v>44075</v>
      </c>
      <c r="N305" s="55">
        <f t="shared" si="33"/>
        <v>8</v>
      </c>
      <c r="O305" s="198">
        <f t="shared" si="34"/>
        <v>559</v>
      </c>
      <c r="P305" s="53"/>
    </row>
    <row r="306" spans="1:16">
      <c r="A306" s="54">
        <v>298</v>
      </c>
      <c r="B306" s="53" t="s">
        <v>421</v>
      </c>
      <c r="C306" s="197">
        <v>44125</v>
      </c>
      <c r="D306" s="53">
        <v>36.58</v>
      </c>
      <c r="E306" s="53">
        <v>36.58</v>
      </c>
      <c r="F306" s="197" t="s">
        <v>336</v>
      </c>
      <c r="G306" s="197">
        <v>44094</v>
      </c>
      <c r="H306" s="197">
        <v>44125</v>
      </c>
      <c r="I306" s="197">
        <f t="shared" si="30"/>
        <v>44109.5</v>
      </c>
      <c r="J306" s="197">
        <v>44130</v>
      </c>
      <c r="K306" s="102">
        <f t="shared" si="31"/>
        <v>21</v>
      </c>
      <c r="L306" s="53">
        <f t="shared" si="32"/>
        <v>768</v>
      </c>
      <c r="M306" s="197">
        <v>44137</v>
      </c>
      <c r="N306" s="55">
        <f t="shared" si="33"/>
        <v>7</v>
      </c>
      <c r="O306" s="198">
        <f t="shared" si="34"/>
        <v>256</v>
      </c>
      <c r="P306" s="53"/>
    </row>
    <row r="307" spans="1:16">
      <c r="A307" s="54">
        <v>299</v>
      </c>
      <c r="B307" s="53" t="s">
        <v>421</v>
      </c>
      <c r="C307" s="197">
        <v>44152</v>
      </c>
      <c r="D307" s="53">
        <v>34.380000000000003</v>
      </c>
      <c r="E307" s="53">
        <v>34.380000000000003</v>
      </c>
      <c r="F307" s="197" t="s">
        <v>336</v>
      </c>
      <c r="G307" s="197">
        <v>44122</v>
      </c>
      <c r="H307" s="197">
        <v>44152</v>
      </c>
      <c r="I307" s="197">
        <f t="shared" si="30"/>
        <v>44137</v>
      </c>
      <c r="J307" s="197">
        <v>44158</v>
      </c>
      <c r="K307" s="102">
        <f t="shared" si="31"/>
        <v>21</v>
      </c>
      <c r="L307" s="53">
        <f t="shared" si="32"/>
        <v>722</v>
      </c>
      <c r="M307" s="197">
        <v>44166</v>
      </c>
      <c r="N307" s="55">
        <f t="shared" si="33"/>
        <v>8</v>
      </c>
      <c r="O307" s="198">
        <f t="shared" si="34"/>
        <v>275</v>
      </c>
      <c r="P307" s="53"/>
    </row>
    <row r="308" spans="1:16">
      <c r="A308" s="54">
        <v>300</v>
      </c>
      <c r="B308" s="53" t="s">
        <v>421</v>
      </c>
      <c r="C308" s="197">
        <v>44161</v>
      </c>
      <c r="D308" s="53">
        <v>32.9</v>
      </c>
      <c r="E308" s="53">
        <v>32.9</v>
      </c>
      <c r="F308" s="197" t="s">
        <v>336</v>
      </c>
      <c r="G308" s="197">
        <v>44130</v>
      </c>
      <c r="H308" s="197">
        <v>44161</v>
      </c>
      <c r="I308" s="197">
        <f t="shared" si="30"/>
        <v>44145.5</v>
      </c>
      <c r="J308" s="197">
        <v>44167</v>
      </c>
      <c r="K308" s="102">
        <f t="shared" si="31"/>
        <v>22</v>
      </c>
      <c r="L308" s="53">
        <f t="shared" si="32"/>
        <v>724</v>
      </c>
      <c r="M308" s="197">
        <v>44173</v>
      </c>
      <c r="N308" s="55">
        <f t="shared" si="33"/>
        <v>6</v>
      </c>
      <c r="O308" s="198">
        <f t="shared" si="34"/>
        <v>197</v>
      </c>
      <c r="P308" s="53"/>
    </row>
    <row r="309" spans="1:16">
      <c r="A309" s="54">
        <v>301</v>
      </c>
      <c r="B309" s="53" t="s">
        <v>421</v>
      </c>
      <c r="C309" s="197">
        <v>44182</v>
      </c>
      <c r="D309" s="53">
        <v>32.35</v>
      </c>
      <c r="E309" s="53">
        <v>32.35</v>
      </c>
      <c r="F309" s="197" t="s">
        <v>336</v>
      </c>
      <c r="G309" s="197">
        <v>44152</v>
      </c>
      <c r="H309" s="197">
        <v>44182</v>
      </c>
      <c r="I309" s="197">
        <f t="shared" si="30"/>
        <v>44167</v>
      </c>
      <c r="J309" s="197">
        <v>44194</v>
      </c>
      <c r="K309" s="102">
        <f t="shared" si="31"/>
        <v>27</v>
      </c>
      <c r="L309" s="53">
        <f t="shared" si="32"/>
        <v>873</v>
      </c>
      <c r="M309" s="197">
        <v>44201</v>
      </c>
      <c r="N309" s="55">
        <f t="shared" si="33"/>
        <v>7</v>
      </c>
      <c r="O309" s="198">
        <f t="shared" si="34"/>
        <v>226</v>
      </c>
      <c r="P309" s="53"/>
    </row>
    <row r="310" spans="1:16">
      <c r="A310" s="54">
        <v>302</v>
      </c>
      <c r="B310" s="53" t="s">
        <v>421</v>
      </c>
      <c r="C310" s="197">
        <v>44194</v>
      </c>
      <c r="D310" s="53">
        <v>143.82</v>
      </c>
      <c r="E310" s="53">
        <v>143.82</v>
      </c>
      <c r="F310" s="197" t="s">
        <v>336</v>
      </c>
      <c r="G310" s="197">
        <v>44164</v>
      </c>
      <c r="H310" s="197">
        <v>44194</v>
      </c>
      <c r="I310" s="197">
        <f t="shared" si="30"/>
        <v>44179</v>
      </c>
      <c r="J310" s="197">
        <v>44200</v>
      </c>
      <c r="K310" s="102">
        <f t="shared" si="31"/>
        <v>21</v>
      </c>
      <c r="L310" s="53">
        <f t="shared" si="32"/>
        <v>3020</v>
      </c>
      <c r="M310" s="197">
        <v>44207</v>
      </c>
      <c r="N310" s="55">
        <f t="shared" si="33"/>
        <v>7</v>
      </c>
      <c r="O310" s="198">
        <f t="shared" si="34"/>
        <v>1007</v>
      </c>
      <c r="P310" s="53"/>
    </row>
    <row r="311" spans="1:16">
      <c r="A311" s="54">
        <v>303</v>
      </c>
      <c r="B311" s="53" t="s">
        <v>421</v>
      </c>
      <c r="C311" s="197">
        <v>44213</v>
      </c>
      <c r="D311" s="53">
        <v>28.23</v>
      </c>
      <c r="E311" s="53">
        <v>28.23</v>
      </c>
      <c r="F311" s="197" t="s">
        <v>336</v>
      </c>
      <c r="G311" s="197">
        <v>44182</v>
      </c>
      <c r="H311" s="197">
        <v>44213</v>
      </c>
      <c r="I311" s="197">
        <f t="shared" si="30"/>
        <v>44197.5</v>
      </c>
      <c r="J311" s="197">
        <v>44221</v>
      </c>
      <c r="K311" s="102">
        <f t="shared" si="31"/>
        <v>24</v>
      </c>
      <c r="L311" s="53">
        <f t="shared" si="32"/>
        <v>678</v>
      </c>
      <c r="M311" s="197">
        <v>44228</v>
      </c>
      <c r="N311" s="55">
        <f t="shared" si="33"/>
        <v>7</v>
      </c>
      <c r="O311" s="198">
        <f t="shared" si="34"/>
        <v>198</v>
      </c>
      <c r="P311" s="53"/>
    </row>
    <row r="312" spans="1:16">
      <c r="A312" s="54">
        <v>304</v>
      </c>
      <c r="B312" s="53" t="s">
        <v>421</v>
      </c>
      <c r="C312" s="197">
        <v>44213</v>
      </c>
      <c r="D312" s="53">
        <v>13.18</v>
      </c>
      <c r="E312" s="53">
        <v>13.18</v>
      </c>
      <c r="F312" s="197" t="s">
        <v>336</v>
      </c>
      <c r="G312" s="197">
        <v>44182</v>
      </c>
      <c r="H312" s="197">
        <v>44213</v>
      </c>
      <c r="I312" s="197">
        <f t="shared" si="30"/>
        <v>44197.5</v>
      </c>
      <c r="J312" s="197">
        <v>44221</v>
      </c>
      <c r="K312" s="102">
        <f t="shared" si="31"/>
        <v>24</v>
      </c>
      <c r="L312" s="53">
        <f t="shared" si="32"/>
        <v>316</v>
      </c>
      <c r="M312" s="197">
        <v>44228</v>
      </c>
      <c r="N312" s="55">
        <f t="shared" si="33"/>
        <v>7</v>
      </c>
      <c r="O312" s="198">
        <f t="shared" si="34"/>
        <v>92</v>
      </c>
      <c r="P312" s="53"/>
    </row>
    <row r="313" spans="1:16">
      <c r="A313" s="54">
        <v>305</v>
      </c>
      <c r="B313" s="53" t="s">
        <v>421</v>
      </c>
      <c r="C313" s="197">
        <v>44213</v>
      </c>
      <c r="D313" s="53">
        <v>64.52</v>
      </c>
      <c r="E313" s="53">
        <v>64.52</v>
      </c>
      <c r="F313" s="197" t="s">
        <v>336</v>
      </c>
      <c r="G313" s="197">
        <v>44182</v>
      </c>
      <c r="H313" s="197">
        <v>44213</v>
      </c>
      <c r="I313" s="197">
        <f t="shared" si="30"/>
        <v>44197.5</v>
      </c>
      <c r="J313" s="197">
        <v>44221</v>
      </c>
      <c r="K313" s="102">
        <f t="shared" si="31"/>
        <v>24</v>
      </c>
      <c r="L313" s="53">
        <f t="shared" si="32"/>
        <v>1548</v>
      </c>
      <c r="M313" s="197">
        <v>44228</v>
      </c>
      <c r="N313" s="55">
        <f t="shared" si="33"/>
        <v>7</v>
      </c>
      <c r="O313" s="198">
        <f t="shared" si="34"/>
        <v>452</v>
      </c>
      <c r="P313" s="53"/>
    </row>
    <row r="314" spans="1:16">
      <c r="A314" s="54">
        <v>306</v>
      </c>
      <c r="B314" s="53" t="s">
        <v>421</v>
      </c>
      <c r="C314" s="197">
        <v>44216</v>
      </c>
      <c r="D314" s="53">
        <v>36.520000000000003</v>
      </c>
      <c r="E314" s="53">
        <v>36.520000000000003</v>
      </c>
      <c r="F314" s="197" t="s">
        <v>336</v>
      </c>
      <c r="G314" s="197">
        <v>44185</v>
      </c>
      <c r="H314" s="197">
        <v>44217</v>
      </c>
      <c r="I314" s="197">
        <f t="shared" si="30"/>
        <v>44201</v>
      </c>
      <c r="J314" s="197">
        <v>44221</v>
      </c>
      <c r="K314" s="102">
        <f t="shared" si="31"/>
        <v>20</v>
      </c>
      <c r="L314" s="53">
        <f t="shared" si="32"/>
        <v>730</v>
      </c>
      <c r="M314" s="197">
        <v>44228</v>
      </c>
      <c r="N314" s="55">
        <f t="shared" si="33"/>
        <v>7</v>
      </c>
      <c r="O314" s="198">
        <f t="shared" si="34"/>
        <v>256</v>
      </c>
      <c r="P314" s="53"/>
    </row>
    <row r="315" spans="1:16">
      <c r="A315" s="54">
        <v>307</v>
      </c>
      <c r="B315" s="53" t="s">
        <v>421</v>
      </c>
      <c r="C315" s="197">
        <v>44272</v>
      </c>
      <c r="D315" s="53">
        <v>34.78</v>
      </c>
      <c r="E315" s="53">
        <v>34.78</v>
      </c>
      <c r="F315" s="197" t="s">
        <v>336</v>
      </c>
      <c r="G315" s="197">
        <v>44243</v>
      </c>
      <c r="H315" s="197">
        <v>44272</v>
      </c>
      <c r="I315" s="197">
        <f t="shared" si="30"/>
        <v>44257.5</v>
      </c>
      <c r="J315" s="197">
        <v>44277</v>
      </c>
      <c r="K315" s="102">
        <f t="shared" si="31"/>
        <v>20</v>
      </c>
      <c r="L315" s="53">
        <f t="shared" si="32"/>
        <v>696</v>
      </c>
      <c r="M315" s="197">
        <v>44281</v>
      </c>
      <c r="N315" s="55">
        <f t="shared" si="33"/>
        <v>4</v>
      </c>
      <c r="O315" s="198">
        <f t="shared" si="34"/>
        <v>139</v>
      </c>
      <c r="P315" s="53"/>
    </row>
    <row r="316" spans="1:16">
      <c r="A316" s="54">
        <v>308</v>
      </c>
      <c r="B316" s="53" t="s">
        <v>422</v>
      </c>
      <c r="C316" s="197">
        <v>43941</v>
      </c>
      <c r="D316" s="53">
        <v>455</v>
      </c>
      <c r="E316" s="53">
        <v>455</v>
      </c>
      <c r="F316" s="197" t="s">
        <v>336</v>
      </c>
      <c r="G316" s="197">
        <v>43941</v>
      </c>
      <c r="H316" s="197">
        <v>43941</v>
      </c>
      <c r="I316" s="197">
        <f t="shared" si="30"/>
        <v>43941</v>
      </c>
      <c r="J316" s="197">
        <v>43969</v>
      </c>
      <c r="K316" s="102">
        <f t="shared" si="31"/>
        <v>28</v>
      </c>
      <c r="L316" s="53">
        <f t="shared" si="32"/>
        <v>12740</v>
      </c>
      <c r="M316" s="197">
        <v>43978</v>
      </c>
      <c r="N316" s="55">
        <f t="shared" si="33"/>
        <v>9</v>
      </c>
      <c r="O316" s="198">
        <f t="shared" si="34"/>
        <v>4095</v>
      </c>
      <c r="P316" s="53"/>
    </row>
    <row r="317" spans="1:16">
      <c r="A317" s="54">
        <v>309</v>
      </c>
      <c r="B317" s="53" t="s">
        <v>423</v>
      </c>
      <c r="C317" s="197">
        <v>44042</v>
      </c>
      <c r="D317" s="53">
        <v>23500</v>
      </c>
      <c r="E317" s="53">
        <v>23500</v>
      </c>
      <c r="F317" s="197" t="s">
        <v>336</v>
      </c>
      <c r="G317" s="197">
        <v>44042</v>
      </c>
      <c r="H317" s="197">
        <v>44042</v>
      </c>
      <c r="I317" s="197">
        <f t="shared" si="30"/>
        <v>44042</v>
      </c>
      <c r="J317" s="197">
        <v>44060</v>
      </c>
      <c r="K317" s="102">
        <f t="shared" si="31"/>
        <v>18</v>
      </c>
      <c r="L317" s="53">
        <f t="shared" si="32"/>
        <v>423000</v>
      </c>
      <c r="M317" s="197">
        <v>44071</v>
      </c>
      <c r="N317" s="55">
        <f t="shared" si="33"/>
        <v>11</v>
      </c>
      <c r="O317" s="198">
        <f t="shared" si="34"/>
        <v>258500</v>
      </c>
      <c r="P317" s="53"/>
    </row>
    <row r="318" spans="1:16">
      <c r="A318" s="54">
        <v>310</v>
      </c>
      <c r="B318" s="53" t="s">
        <v>423</v>
      </c>
      <c r="C318" s="197">
        <v>44095</v>
      </c>
      <c r="D318" s="53">
        <v>300</v>
      </c>
      <c r="E318" s="53">
        <v>300</v>
      </c>
      <c r="F318" s="197" t="s">
        <v>336</v>
      </c>
      <c r="G318" s="197">
        <v>44095</v>
      </c>
      <c r="H318" s="197">
        <v>44095</v>
      </c>
      <c r="I318" s="197">
        <f t="shared" si="30"/>
        <v>44095</v>
      </c>
      <c r="J318" s="197">
        <v>44097</v>
      </c>
      <c r="K318" s="102">
        <f t="shared" si="31"/>
        <v>2</v>
      </c>
      <c r="L318" s="53">
        <f t="shared" si="32"/>
        <v>600</v>
      </c>
      <c r="M318" s="197">
        <v>44130</v>
      </c>
      <c r="N318" s="55">
        <f t="shared" si="33"/>
        <v>33</v>
      </c>
      <c r="O318" s="198">
        <f t="shared" si="34"/>
        <v>9900</v>
      </c>
      <c r="P318" s="53"/>
    </row>
    <row r="319" spans="1:16">
      <c r="A319" s="54">
        <v>311</v>
      </c>
      <c r="B319" s="53" t="s">
        <v>424</v>
      </c>
      <c r="C319" s="197">
        <v>44002</v>
      </c>
      <c r="D319" s="53">
        <v>99.62</v>
      </c>
      <c r="E319" s="53">
        <v>99.62</v>
      </c>
      <c r="F319" s="197" t="s">
        <v>276</v>
      </c>
      <c r="G319" s="197">
        <v>44013</v>
      </c>
      <c r="H319" s="197">
        <v>44043</v>
      </c>
      <c r="I319" s="197">
        <f t="shared" si="30"/>
        <v>44028</v>
      </c>
      <c r="J319" s="197">
        <v>44018</v>
      </c>
      <c r="K319" s="102">
        <f t="shared" si="31"/>
        <v>-10</v>
      </c>
      <c r="L319" s="53">
        <f t="shared" si="32"/>
        <v>-996</v>
      </c>
      <c r="M319" s="197">
        <v>44018</v>
      </c>
      <c r="N319" s="55">
        <f t="shared" si="33"/>
        <v>0</v>
      </c>
      <c r="O319" s="198">
        <f t="shared" si="34"/>
        <v>0</v>
      </c>
      <c r="P319" s="53"/>
    </row>
    <row r="320" spans="1:16">
      <c r="A320" s="54">
        <v>312</v>
      </c>
      <c r="B320" s="53" t="s">
        <v>424</v>
      </c>
      <c r="C320" s="197">
        <v>44032</v>
      </c>
      <c r="D320" s="53">
        <v>115.1</v>
      </c>
      <c r="E320" s="53">
        <v>115.1</v>
      </c>
      <c r="F320" s="197" t="s">
        <v>276</v>
      </c>
      <c r="G320" s="197">
        <v>44044</v>
      </c>
      <c r="H320" s="197">
        <v>44074</v>
      </c>
      <c r="I320" s="197">
        <f t="shared" si="30"/>
        <v>44059</v>
      </c>
      <c r="J320" s="197">
        <v>44043</v>
      </c>
      <c r="K320" s="102">
        <f t="shared" si="31"/>
        <v>-16</v>
      </c>
      <c r="L320" s="53">
        <f t="shared" si="32"/>
        <v>-1842</v>
      </c>
      <c r="M320" s="197">
        <v>44043</v>
      </c>
      <c r="N320" s="55">
        <f t="shared" si="33"/>
        <v>0</v>
      </c>
      <c r="O320" s="198">
        <f t="shared" si="34"/>
        <v>0</v>
      </c>
      <c r="P320" s="53"/>
    </row>
    <row r="321" spans="1:16">
      <c r="A321" s="54">
        <v>313</v>
      </c>
      <c r="B321" s="53" t="s">
        <v>424</v>
      </c>
      <c r="C321" s="197">
        <v>44089</v>
      </c>
      <c r="D321" s="53">
        <v>521</v>
      </c>
      <c r="E321" s="53">
        <v>521</v>
      </c>
      <c r="F321" s="197" t="s">
        <v>276</v>
      </c>
      <c r="G321" s="197">
        <v>44105</v>
      </c>
      <c r="H321" s="197">
        <v>44135</v>
      </c>
      <c r="I321" s="197">
        <f t="shared" si="30"/>
        <v>44120</v>
      </c>
      <c r="J321" s="197">
        <v>44103</v>
      </c>
      <c r="K321" s="102">
        <f t="shared" si="31"/>
        <v>-17</v>
      </c>
      <c r="L321" s="53">
        <f t="shared" si="32"/>
        <v>-8857</v>
      </c>
      <c r="M321" s="197">
        <v>44103</v>
      </c>
      <c r="N321" s="55">
        <f t="shared" si="33"/>
        <v>0</v>
      </c>
      <c r="O321" s="198">
        <f t="shared" si="34"/>
        <v>0</v>
      </c>
      <c r="P321" s="53"/>
    </row>
    <row r="322" spans="1:16">
      <c r="A322" s="54">
        <v>314</v>
      </c>
      <c r="B322" s="53" t="s">
        <v>424</v>
      </c>
      <c r="C322" s="197">
        <v>44099</v>
      </c>
      <c r="D322" s="53">
        <v>1220.68</v>
      </c>
      <c r="E322" s="53">
        <v>1220.68</v>
      </c>
      <c r="F322" s="197" t="s">
        <v>276</v>
      </c>
      <c r="G322" s="197">
        <v>44105</v>
      </c>
      <c r="H322" s="197">
        <v>44135</v>
      </c>
      <c r="I322" s="197">
        <f t="shared" si="30"/>
        <v>44120</v>
      </c>
      <c r="J322" s="197">
        <v>44117</v>
      </c>
      <c r="K322" s="102">
        <f t="shared" si="31"/>
        <v>-3</v>
      </c>
      <c r="L322" s="53">
        <f t="shared" si="32"/>
        <v>-3662</v>
      </c>
      <c r="M322" s="197">
        <v>44117</v>
      </c>
      <c r="N322" s="55">
        <f t="shared" si="33"/>
        <v>0</v>
      </c>
      <c r="O322" s="198">
        <f t="shared" si="34"/>
        <v>0</v>
      </c>
      <c r="P322" s="53"/>
    </row>
    <row r="323" spans="1:16">
      <c r="A323" s="54">
        <v>315</v>
      </c>
      <c r="B323" s="53" t="s">
        <v>424</v>
      </c>
      <c r="C323" s="197">
        <v>44099</v>
      </c>
      <c r="D323" s="53">
        <v>919.82</v>
      </c>
      <c r="E323" s="53">
        <v>919.82</v>
      </c>
      <c r="F323" s="197" t="s">
        <v>276</v>
      </c>
      <c r="G323" s="197">
        <v>44105</v>
      </c>
      <c r="H323" s="197">
        <v>44135</v>
      </c>
      <c r="I323" s="197">
        <f t="shared" si="30"/>
        <v>44120</v>
      </c>
      <c r="J323" s="197">
        <v>44113</v>
      </c>
      <c r="K323" s="102">
        <f t="shared" si="31"/>
        <v>-7</v>
      </c>
      <c r="L323" s="53">
        <f t="shared" si="32"/>
        <v>-6439</v>
      </c>
      <c r="M323" s="197">
        <v>44113</v>
      </c>
      <c r="N323" s="55">
        <f t="shared" si="33"/>
        <v>0</v>
      </c>
      <c r="O323" s="198">
        <f t="shared" si="34"/>
        <v>0</v>
      </c>
      <c r="P323" s="53"/>
    </row>
    <row r="324" spans="1:16">
      <c r="A324" s="54">
        <v>316</v>
      </c>
      <c r="B324" s="53" t="s">
        <v>424</v>
      </c>
      <c r="C324" s="197">
        <v>44160</v>
      </c>
      <c r="D324" s="53">
        <v>1217.01</v>
      </c>
      <c r="E324" s="53">
        <v>1217.01</v>
      </c>
      <c r="F324" s="197" t="s">
        <v>276</v>
      </c>
      <c r="G324" s="197">
        <v>44166</v>
      </c>
      <c r="H324" s="197">
        <v>44196</v>
      </c>
      <c r="I324" s="197">
        <f t="shared" si="30"/>
        <v>44181</v>
      </c>
      <c r="J324" s="197">
        <v>44182</v>
      </c>
      <c r="K324" s="102">
        <f t="shared" si="31"/>
        <v>1</v>
      </c>
      <c r="L324" s="53">
        <f t="shared" si="32"/>
        <v>1217</v>
      </c>
      <c r="M324" s="197">
        <v>44182</v>
      </c>
      <c r="N324" s="55">
        <f t="shared" si="33"/>
        <v>0</v>
      </c>
      <c r="O324" s="198">
        <f t="shared" si="34"/>
        <v>0</v>
      </c>
      <c r="P324" s="53"/>
    </row>
    <row r="325" spans="1:16">
      <c r="A325" s="54">
        <v>317</v>
      </c>
      <c r="B325" s="53" t="s">
        <v>424</v>
      </c>
      <c r="C325" s="197">
        <v>44255</v>
      </c>
      <c r="D325" s="53">
        <v>373.6</v>
      </c>
      <c r="E325" s="53">
        <v>373.6</v>
      </c>
      <c r="F325" s="197" t="s">
        <v>276</v>
      </c>
      <c r="G325" s="197">
        <v>44256</v>
      </c>
      <c r="H325" s="197">
        <v>44286</v>
      </c>
      <c r="I325" s="197">
        <f t="shared" si="30"/>
        <v>44271</v>
      </c>
      <c r="J325" s="197">
        <v>44270</v>
      </c>
      <c r="K325" s="102">
        <f t="shared" si="31"/>
        <v>-1</v>
      </c>
      <c r="L325" s="53">
        <f t="shared" si="32"/>
        <v>-374</v>
      </c>
      <c r="M325" s="197">
        <v>44270</v>
      </c>
      <c r="N325" s="55">
        <f t="shared" si="33"/>
        <v>0</v>
      </c>
      <c r="O325" s="198">
        <f t="shared" si="34"/>
        <v>0</v>
      </c>
      <c r="P325" s="53"/>
    </row>
    <row r="326" spans="1:16">
      <c r="A326" s="54">
        <v>318</v>
      </c>
      <c r="B326" s="53" t="s">
        <v>425</v>
      </c>
      <c r="C326" s="197">
        <v>44018</v>
      </c>
      <c r="D326" s="53">
        <v>3717.64</v>
      </c>
      <c r="E326" s="53">
        <v>3717.64</v>
      </c>
      <c r="F326" s="197" t="s">
        <v>336</v>
      </c>
      <c r="G326" s="197">
        <v>43952</v>
      </c>
      <c r="H326" s="197">
        <v>44043</v>
      </c>
      <c r="I326" s="197">
        <f t="shared" si="30"/>
        <v>43997.5</v>
      </c>
      <c r="J326" s="197">
        <v>44046</v>
      </c>
      <c r="K326" s="102">
        <f t="shared" si="31"/>
        <v>49</v>
      </c>
      <c r="L326" s="53">
        <f t="shared" si="32"/>
        <v>182164</v>
      </c>
      <c r="M326" s="197">
        <v>44054</v>
      </c>
      <c r="N326" s="55">
        <f t="shared" si="33"/>
        <v>8</v>
      </c>
      <c r="O326" s="198">
        <f t="shared" si="34"/>
        <v>29741</v>
      </c>
      <c r="P326" s="53"/>
    </row>
    <row r="327" spans="1:16">
      <c r="A327" s="54">
        <v>319</v>
      </c>
      <c r="B327" s="53" t="s">
        <v>426</v>
      </c>
      <c r="C327" s="197">
        <v>43980</v>
      </c>
      <c r="D327" s="53">
        <v>32.9</v>
      </c>
      <c r="E327" s="53">
        <v>32.9</v>
      </c>
      <c r="F327" s="197" t="s">
        <v>276</v>
      </c>
      <c r="G327" s="197">
        <v>43969</v>
      </c>
      <c r="H327" s="197">
        <v>43969</v>
      </c>
      <c r="I327" s="197">
        <f t="shared" si="30"/>
        <v>43969</v>
      </c>
      <c r="J327" s="197">
        <v>43984</v>
      </c>
      <c r="K327" s="102">
        <f t="shared" si="31"/>
        <v>15</v>
      </c>
      <c r="L327" s="53">
        <f t="shared" si="32"/>
        <v>494</v>
      </c>
      <c r="M327" s="197">
        <v>43984</v>
      </c>
      <c r="N327" s="55">
        <f t="shared" si="33"/>
        <v>0</v>
      </c>
      <c r="O327" s="198">
        <f t="shared" si="34"/>
        <v>0</v>
      </c>
      <c r="P327" s="53"/>
    </row>
    <row r="328" spans="1:16">
      <c r="A328" s="54">
        <v>320</v>
      </c>
      <c r="B328" s="53" t="s">
        <v>426</v>
      </c>
      <c r="C328" s="197">
        <v>44034</v>
      </c>
      <c r="D328" s="53">
        <v>71.3</v>
      </c>
      <c r="E328" s="53">
        <v>71.3</v>
      </c>
      <c r="F328" s="197" t="s">
        <v>276</v>
      </c>
      <c r="G328" s="197">
        <v>44022</v>
      </c>
      <c r="H328" s="197">
        <v>44033</v>
      </c>
      <c r="I328" s="197">
        <f t="shared" si="30"/>
        <v>44027.5</v>
      </c>
      <c r="J328" s="197">
        <v>44036</v>
      </c>
      <c r="K328" s="102">
        <f t="shared" si="31"/>
        <v>9</v>
      </c>
      <c r="L328" s="53">
        <f t="shared" si="32"/>
        <v>642</v>
      </c>
      <c r="M328" s="197">
        <v>44036</v>
      </c>
      <c r="N328" s="55">
        <f t="shared" si="33"/>
        <v>0</v>
      </c>
      <c r="O328" s="198">
        <f t="shared" si="34"/>
        <v>0</v>
      </c>
      <c r="P328" s="53"/>
    </row>
    <row r="329" spans="1:16">
      <c r="A329" s="54">
        <v>321</v>
      </c>
      <c r="B329" s="53" t="s">
        <v>427</v>
      </c>
      <c r="C329" s="197">
        <v>44070</v>
      </c>
      <c r="D329" s="53">
        <v>61.3</v>
      </c>
      <c r="E329" s="53">
        <v>61.3</v>
      </c>
      <c r="F329" s="197" t="s">
        <v>336</v>
      </c>
      <c r="G329" s="197">
        <v>44044</v>
      </c>
      <c r="H329" s="197">
        <v>44074</v>
      </c>
      <c r="I329" s="197">
        <f t="shared" si="30"/>
        <v>44059</v>
      </c>
      <c r="J329" s="197">
        <v>44090</v>
      </c>
      <c r="K329" s="102">
        <f t="shared" si="31"/>
        <v>31</v>
      </c>
      <c r="L329" s="53">
        <f t="shared" si="32"/>
        <v>1900</v>
      </c>
      <c r="M329" s="197">
        <v>44103</v>
      </c>
      <c r="N329" s="55">
        <f t="shared" si="33"/>
        <v>13</v>
      </c>
      <c r="O329" s="198">
        <f t="shared" si="34"/>
        <v>797</v>
      </c>
      <c r="P329" s="53"/>
    </row>
    <row r="330" spans="1:16">
      <c r="A330" s="54">
        <v>322</v>
      </c>
      <c r="B330" s="53" t="s">
        <v>428</v>
      </c>
      <c r="C330" s="197">
        <v>43948</v>
      </c>
      <c r="D330" s="53">
        <v>225</v>
      </c>
      <c r="E330" s="53">
        <v>225</v>
      </c>
      <c r="F330" s="197" t="s">
        <v>336</v>
      </c>
      <c r="G330" s="197">
        <v>43948</v>
      </c>
      <c r="H330" s="197">
        <v>43948</v>
      </c>
      <c r="I330" s="197">
        <f t="shared" ref="I330:I388" si="35">IF(H330&lt;1," ",(((H330-G330)/2)+G330))</f>
        <v>43948</v>
      </c>
      <c r="J330" s="197">
        <v>43969</v>
      </c>
      <c r="K330" s="102">
        <f t="shared" ref="K330:K388" si="36">(ROUND(IF(H330&lt;1,J330-C330,J330-I330),0))</f>
        <v>21</v>
      </c>
      <c r="L330" s="53">
        <f t="shared" ref="L330:L388" si="37">ROUND(K330*E330,0)</f>
        <v>4725</v>
      </c>
      <c r="M330" s="197">
        <v>43978</v>
      </c>
      <c r="N330" s="55">
        <f t="shared" ref="N330:N388" si="38">IF(M330="",0,M330-J330)</f>
        <v>9</v>
      </c>
      <c r="O330" s="198">
        <f t="shared" ref="O330:O388" si="39">ROUND(+N330*E330,0)</f>
        <v>2025</v>
      </c>
      <c r="P330" s="53"/>
    </row>
    <row r="331" spans="1:16">
      <c r="A331" s="54">
        <v>323</v>
      </c>
      <c r="B331" s="53" t="s">
        <v>428</v>
      </c>
      <c r="C331" s="197">
        <v>43949</v>
      </c>
      <c r="D331" s="53">
        <v>132</v>
      </c>
      <c r="E331" s="53">
        <v>132</v>
      </c>
      <c r="F331" s="197" t="s">
        <v>336</v>
      </c>
      <c r="G331" s="197">
        <v>43917</v>
      </c>
      <c r="H331" s="197">
        <v>43917</v>
      </c>
      <c r="I331" s="197">
        <f t="shared" si="35"/>
        <v>43917</v>
      </c>
      <c r="J331" s="197">
        <v>43969</v>
      </c>
      <c r="K331" s="102">
        <f t="shared" si="36"/>
        <v>52</v>
      </c>
      <c r="L331" s="53">
        <f t="shared" si="37"/>
        <v>6864</v>
      </c>
      <c r="M331" s="197">
        <v>43978</v>
      </c>
      <c r="N331" s="55">
        <f t="shared" si="38"/>
        <v>9</v>
      </c>
      <c r="O331" s="198">
        <f t="shared" si="39"/>
        <v>1188</v>
      </c>
      <c r="P331" s="53"/>
    </row>
    <row r="332" spans="1:16">
      <c r="A332" s="54">
        <v>324</v>
      </c>
      <c r="B332" s="53" t="s">
        <v>429</v>
      </c>
      <c r="C332" s="197">
        <v>44134</v>
      </c>
      <c r="D332" s="53">
        <v>264.41000000000003</v>
      </c>
      <c r="E332" s="53">
        <v>280.27</v>
      </c>
      <c r="F332" s="197" t="s">
        <v>336</v>
      </c>
      <c r="G332" s="197">
        <v>44134</v>
      </c>
      <c r="H332" s="197">
        <v>44134</v>
      </c>
      <c r="I332" s="197">
        <f t="shared" si="35"/>
        <v>44134</v>
      </c>
      <c r="J332" s="197">
        <v>44151</v>
      </c>
      <c r="K332" s="102">
        <f t="shared" si="36"/>
        <v>17</v>
      </c>
      <c r="L332" s="53">
        <f t="shared" si="37"/>
        <v>4765</v>
      </c>
      <c r="M332" s="197">
        <v>44159</v>
      </c>
      <c r="N332" s="55">
        <f t="shared" si="38"/>
        <v>8</v>
      </c>
      <c r="O332" s="198">
        <f t="shared" si="39"/>
        <v>2242</v>
      </c>
      <c r="P332" s="53"/>
    </row>
    <row r="333" spans="1:16">
      <c r="A333" s="54">
        <v>325</v>
      </c>
      <c r="B333" s="53" t="s">
        <v>430</v>
      </c>
      <c r="C333" s="197">
        <v>44057</v>
      </c>
      <c r="D333" s="53">
        <v>50</v>
      </c>
      <c r="E333" s="53">
        <v>50</v>
      </c>
      <c r="F333" s="197" t="s">
        <v>276</v>
      </c>
      <c r="G333" s="197">
        <v>44057</v>
      </c>
      <c r="H333" s="197">
        <v>44057</v>
      </c>
      <c r="I333" s="197">
        <f t="shared" si="35"/>
        <v>44057</v>
      </c>
      <c r="J333" s="197">
        <v>44064</v>
      </c>
      <c r="K333" s="102">
        <f t="shared" si="36"/>
        <v>7</v>
      </c>
      <c r="L333" s="53">
        <f t="shared" si="37"/>
        <v>350</v>
      </c>
      <c r="M333" s="197">
        <v>44064</v>
      </c>
      <c r="N333" s="55">
        <f t="shared" si="38"/>
        <v>0</v>
      </c>
      <c r="O333" s="198">
        <f t="shared" si="39"/>
        <v>0</v>
      </c>
      <c r="P333" s="53"/>
    </row>
    <row r="334" spans="1:16">
      <c r="A334" s="54">
        <v>326</v>
      </c>
      <c r="B334" s="53" t="s">
        <v>431</v>
      </c>
      <c r="C334" s="197">
        <v>44195</v>
      </c>
      <c r="D334" s="53">
        <v>28.82</v>
      </c>
      <c r="E334" s="53">
        <v>28.82</v>
      </c>
      <c r="F334" s="197" t="s">
        <v>336</v>
      </c>
      <c r="G334" s="197">
        <v>44148</v>
      </c>
      <c r="H334" s="197">
        <v>44179</v>
      </c>
      <c r="I334" s="197">
        <f t="shared" si="35"/>
        <v>44163.5</v>
      </c>
      <c r="J334" s="197">
        <v>44207</v>
      </c>
      <c r="K334" s="102">
        <f t="shared" si="36"/>
        <v>44</v>
      </c>
      <c r="L334" s="53">
        <f t="shared" si="37"/>
        <v>1268</v>
      </c>
      <c r="M334" s="197">
        <v>44215</v>
      </c>
      <c r="N334" s="55">
        <f t="shared" si="38"/>
        <v>8</v>
      </c>
      <c r="O334" s="198">
        <f t="shared" si="39"/>
        <v>231</v>
      </c>
      <c r="P334" s="53"/>
    </row>
    <row r="335" spans="1:16">
      <c r="A335" s="54">
        <v>327</v>
      </c>
      <c r="B335" s="53" t="s">
        <v>432</v>
      </c>
      <c r="C335" s="197">
        <v>44246</v>
      </c>
      <c r="D335" s="53">
        <v>125</v>
      </c>
      <c r="E335" s="53">
        <v>125</v>
      </c>
      <c r="F335" s="197" t="s">
        <v>336</v>
      </c>
      <c r="G335" s="197">
        <v>44246</v>
      </c>
      <c r="H335" s="197">
        <v>44246</v>
      </c>
      <c r="I335" s="197">
        <f t="shared" si="35"/>
        <v>44246</v>
      </c>
      <c r="J335" s="197">
        <v>44256</v>
      </c>
      <c r="K335" s="102">
        <f t="shared" si="36"/>
        <v>10</v>
      </c>
      <c r="L335" s="53">
        <f t="shared" si="37"/>
        <v>1250</v>
      </c>
      <c r="M335" s="197">
        <v>44260</v>
      </c>
      <c r="N335" s="55">
        <f t="shared" si="38"/>
        <v>4</v>
      </c>
      <c r="O335" s="198">
        <f t="shared" si="39"/>
        <v>500</v>
      </c>
      <c r="P335" s="53"/>
    </row>
    <row r="336" spans="1:16">
      <c r="A336" s="54">
        <v>328</v>
      </c>
      <c r="B336" s="53" t="s">
        <v>433</v>
      </c>
      <c r="C336" s="197">
        <v>44012</v>
      </c>
      <c r="D336" s="53">
        <v>1789</v>
      </c>
      <c r="E336" s="53">
        <v>1789</v>
      </c>
      <c r="F336" s="197" t="s">
        <v>336</v>
      </c>
      <c r="G336" s="197">
        <v>43983</v>
      </c>
      <c r="H336" s="197">
        <v>44012</v>
      </c>
      <c r="I336" s="197">
        <f t="shared" si="35"/>
        <v>43997.5</v>
      </c>
      <c r="J336" s="197">
        <v>44039</v>
      </c>
      <c r="K336" s="102">
        <f t="shared" si="36"/>
        <v>42</v>
      </c>
      <c r="L336" s="53">
        <f t="shared" si="37"/>
        <v>75138</v>
      </c>
      <c r="M336" s="197">
        <v>44047</v>
      </c>
      <c r="N336" s="55">
        <f t="shared" si="38"/>
        <v>8</v>
      </c>
      <c r="O336" s="198">
        <f t="shared" si="39"/>
        <v>14312</v>
      </c>
      <c r="P336" s="53"/>
    </row>
    <row r="337" spans="1:16">
      <c r="A337" s="54">
        <v>329</v>
      </c>
      <c r="B337" s="53" t="s">
        <v>433</v>
      </c>
      <c r="C337" s="197">
        <v>44196</v>
      </c>
      <c r="D337" s="53">
        <v>1461.12</v>
      </c>
      <c r="E337" s="53">
        <v>1461.12</v>
      </c>
      <c r="F337" s="197" t="s">
        <v>336</v>
      </c>
      <c r="G337" s="197">
        <v>44172</v>
      </c>
      <c r="H337" s="197">
        <v>44193</v>
      </c>
      <c r="I337" s="197">
        <f t="shared" si="35"/>
        <v>44182.5</v>
      </c>
      <c r="J337" s="197">
        <v>44221</v>
      </c>
      <c r="K337" s="102">
        <f t="shared" si="36"/>
        <v>39</v>
      </c>
      <c r="L337" s="53">
        <f t="shared" si="37"/>
        <v>56984</v>
      </c>
      <c r="M337" s="197">
        <v>44228</v>
      </c>
      <c r="N337" s="55">
        <f t="shared" si="38"/>
        <v>7</v>
      </c>
      <c r="O337" s="198">
        <f t="shared" si="39"/>
        <v>10228</v>
      </c>
      <c r="P337" s="53"/>
    </row>
    <row r="338" spans="1:16">
      <c r="A338" s="54">
        <v>330</v>
      </c>
      <c r="B338" s="53" t="s">
        <v>434</v>
      </c>
      <c r="C338" s="197">
        <v>43993</v>
      </c>
      <c r="D338" s="53">
        <v>46.43</v>
      </c>
      <c r="E338" s="53">
        <v>46.43</v>
      </c>
      <c r="F338" s="197" t="s">
        <v>276</v>
      </c>
      <c r="G338" s="197">
        <v>43993</v>
      </c>
      <c r="H338" s="197">
        <v>43994</v>
      </c>
      <c r="I338" s="197">
        <f t="shared" si="35"/>
        <v>43993.5</v>
      </c>
      <c r="J338" s="197">
        <v>44014</v>
      </c>
      <c r="K338" s="102">
        <f t="shared" si="36"/>
        <v>21</v>
      </c>
      <c r="L338" s="53">
        <f t="shared" si="37"/>
        <v>975</v>
      </c>
      <c r="M338" s="197">
        <v>44014</v>
      </c>
      <c r="N338" s="55">
        <f t="shared" si="38"/>
        <v>0</v>
      </c>
      <c r="O338" s="198">
        <f t="shared" si="39"/>
        <v>0</v>
      </c>
      <c r="P338" s="53"/>
    </row>
    <row r="339" spans="1:16">
      <c r="A339" s="54">
        <v>331</v>
      </c>
      <c r="B339" s="53" t="s">
        <v>435</v>
      </c>
      <c r="C339" s="197">
        <v>43998</v>
      </c>
      <c r="D339" s="53">
        <v>27.1</v>
      </c>
      <c r="E339" s="53">
        <v>27.1</v>
      </c>
      <c r="F339" s="197" t="s">
        <v>336</v>
      </c>
      <c r="G339" s="197">
        <v>43972</v>
      </c>
      <c r="H339" s="197">
        <v>43998</v>
      </c>
      <c r="I339" s="197">
        <f t="shared" si="35"/>
        <v>43985</v>
      </c>
      <c r="J339" s="197">
        <v>44013</v>
      </c>
      <c r="K339" s="102">
        <f t="shared" si="36"/>
        <v>28</v>
      </c>
      <c r="L339" s="53">
        <f t="shared" si="37"/>
        <v>759</v>
      </c>
      <c r="M339" s="197">
        <v>44021</v>
      </c>
      <c r="N339" s="55">
        <f t="shared" si="38"/>
        <v>8</v>
      </c>
      <c r="O339" s="198">
        <f t="shared" si="39"/>
        <v>217</v>
      </c>
      <c r="P339" s="53"/>
    </row>
    <row r="340" spans="1:16">
      <c r="A340" s="54">
        <v>332</v>
      </c>
      <c r="B340" s="53" t="s">
        <v>435</v>
      </c>
      <c r="C340" s="197">
        <v>44028</v>
      </c>
      <c r="D340" s="53">
        <v>13.13</v>
      </c>
      <c r="E340" s="53">
        <v>13.13</v>
      </c>
      <c r="F340" s="197" t="s">
        <v>336</v>
      </c>
      <c r="G340" s="197">
        <v>43998</v>
      </c>
      <c r="H340" s="197">
        <v>44028</v>
      </c>
      <c r="I340" s="197">
        <f t="shared" si="35"/>
        <v>44013</v>
      </c>
      <c r="J340" s="197">
        <v>44055</v>
      </c>
      <c r="K340" s="102">
        <f t="shared" si="36"/>
        <v>42</v>
      </c>
      <c r="L340" s="53">
        <f t="shared" si="37"/>
        <v>551</v>
      </c>
      <c r="M340" s="197">
        <v>44063</v>
      </c>
      <c r="N340" s="55">
        <f t="shared" si="38"/>
        <v>8</v>
      </c>
      <c r="O340" s="198">
        <f t="shared" si="39"/>
        <v>105</v>
      </c>
      <c r="P340" s="53"/>
    </row>
    <row r="341" spans="1:16">
      <c r="A341" s="54">
        <v>333</v>
      </c>
      <c r="B341" s="53" t="s">
        <v>436</v>
      </c>
      <c r="C341" s="197">
        <v>44166</v>
      </c>
      <c r="D341" s="53">
        <v>700</v>
      </c>
      <c r="E341" s="53">
        <v>700</v>
      </c>
      <c r="F341" s="197" t="s">
        <v>276</v>
      </c>
      <c r="G341" s="197">
        <v>44166</v>
      </c>
      <c r="H341" s="197">
        <v>44166</v>
      </c>
      <c r="I341" s="197">
        <f t="shared" si="35"/>
        <v>44166</v>
      </c>
      <c r="J341" s="197">
        <v>44193</v>
      </c>
      <c r="K341" s="102">
        <f t="shared" si="36"/>
        <v>27</v>
      </c>
      <c r="L341" s="53">
        <f t="shared" si="37"/>
        <v>18900</v>
      </c>
      <c r="M341" s="197">
        <v>44193</v>
      </c>
      <c r="N341" s="55">
        <f t="shared" si="38"/>
        <v>0</v>
      </c>
      <c r="O341" s="198">
        <f t="shared" si="39"/>
        <v>0</v>
      </c>
      <c r="P341" s="53"/>
    </row>
    <row r="342" spans="1:16">
      <c r="A342" s="54">
        <v>334</v>
      </c>
      <c r="B342" s="53" t="s">
        <v>437</v>
      </c>
      <c r="C342" s="197">
        <v>44209</v>
      </c>
      <c r="D342" s="53">
        <v>848</v>
      </c>
      <c r="E342" s="53">
        <v>848</v>
      </c>
      <c r="F342" s="197" t="s">
        <v>336</v>
      </c>
      <c r="G342" s="197">
        <v>44209</v>
      </c>
      <c r="H342" s="197">
        <v>44209</v>
      </c>
      <c r="I342" s="197">
        <f t="shared" si="35"/>
        <v>44209</v>
      </c>
      <c r="J342" s="197">
        <v>44230</v>
      </c>
      <c r="K342" s="102">
        <f t="shared" si="36"/>
        <v>21</v>
      </c>
      <c r="L342" s="53">
        <f t="shared" si="37"/>
        <v>17808</v>
      </c>
      <c r="M342" s="197">
        <v>44237</v>
      </c>
      <c r="N342" s="55">
        <f t="shared" si="38"/>
        <v>7</v>
      </c>
      <c r="O342" s="198">
        <f t="shared" si="39"/>
        <v>5936</v>
      </c>
      <c r="P342" s="53"/>
    </row>
    <row r="343" spans="1:16">
      <c r="A343" s="54">
        <v>335</v>
      </c>
      <c r="B343" s="53" t="s">
        <v>438</v>
      </c>
      <c r="C343" s="197">
        <v>44041</v>
      </c>
      <c r="D343" s="53">
        <v>26767.119999999999</v>
      </c>
      <c r="E343" s="53">
        <v>26767.119999999999</v>
      </c>
      <c r="F343" s="197" t="s">
        <v>276</v>
      </c>
      <c r="G343" s="197">
        <v>44042</v>
      </c>
      <c r="H343" s="197">
        <v>44042</v>
      </c>
      <c r="I343" s="197">
        <f t="shared" si="35"/>
        <v>44042</v>
      </c>
      <c r="J343" s="197">
        <v>44067</v>
      </c>
      <c r="K343" s="102">
        <f t="shared" si="36"/>
        <v>25</v>
      </c>
      <c r="L343" s="53">
        <f t="shared" si="37"/>
        <v>669178</v>
      </c>
      <c r="M343" s="197">
        <v>44067</v>
      </c>
      <c r="N343" s="55">
        <f t="shared" si="38"/>
        <v>0</v>
      </c>
      <c r="O343" s="198">
        <f t="shared" si="39"/>
        <v>0</v>
      </c>
      <c r="P343" s="53"/>
    </row>
    <row r="344" spans="1:16">
      <c r="A344" s="54">
        <v>336</v>
      </c>
      <c r="B344" s="53" t="s">
        <v>439</v>
      </c>
      <c r="C344" s="197">
        <v>44064</v>
      </c>
      <c r="D344" s="53">
        <v>159</v>
      </c>
      <c r="E344" s="53">
        <v>159</v>
      </c>
      <c r="F344" s="197" t="s">
        <v>336</v>
      </c>
      <c r="G344" s="197">
        <v>44064</v>
      </c>
      <c r="H344" s="197">
        <v>44064</v>
      </c>
      <c r="I344" s="197">
        <f t="shared" si="35"/>
        <v>44064</v>
      </c>
      <c r="J344" s="197">
        <v>44074</v>
      </c>
      <c r="K344" s="102">
        <f t="shared" si="36"/>
        <v>10</v>
      </c>
      <c r="L344" s="53">
        <f t="shared" si="37"/>
        <v>1590</v>
      </c>
      <c r="M344" s="197">
        <v>44088</v>
      </c>
      <c r="N344" s="55">
        <f t="shared" si="38"/>
        <v>14</v>
      </c>
      <c r="O344" s="198">
        <f t="shared" si="39"/>
        <v>2226</v>
      </c>
      <c r="P344" s="53"/>
    </row>
    <row r="345" spans="1:16">
      <c r="A345" s="54">
        <v>337</v>
      </c>
      <c r="B345" s="53" t="s">
        <v>440</v>
      </c>
      <c r="C345" s="197">
        <v>43927</v>
      </c>
      <c r="D345" s="53">
        <v>18.48</v>
      </c>
      <c r="E345" s="53">
        <v>18.48</v>
      </c>
      <c r="F345" s="197" t="s">
        <v>336</v>
      </c>
      <c r="G345" s="197">
        <v>43890</v>
      </c>
      <c r="H345" s="197">
        <v>43911</v>
      </c>
      <c r="I345" s="197">
        <f t="shared" si="35"/>
        <v>43900.5</v>
      </c>
      <c r="J345" s="197">
        <v>43950</v>
      </c>
      <c r="K345" s="102">
        <f t="shared" si="36"/>
        <v>50</v>
      </c>
      <c r="L345" s="53">
        <f t="shared" si="37"/>
        <v>924</v>
      </c>
      <c r="M345" s="197">
        <v>43958</v>
      </c>
      <c r="N345" s="55">
        <f t="shared" si="38"/>
        <v>8</v>
      </c>
      <c r="O345" s="198">
        <f t="shared" si="39"/>
        <v>148</v>
      </c>
      <c r="P345" s="53"/>
    </row>
    <row r="346" spans="1:16">
      <c r="A346" s="54">
        <v>338</v>
      </c>
      <c r="B346" s="53" t="s">
        <v>440</v>
      </c>
      <c r="C346" s="197">
        <v>44227</v>
      </c>
      <c r="D346" s="53">
        <v>30.78</v>
      </c>
      <c r="E346" s="53">
        <v>30.78</v>
      </c>
      <c r="F346" s="197" t="s">
        <v>336</v>
      </c>
      <c r="G346" s="197">
        <v>44196</v>
      </c>
      <c r="H346" s="197">
        <v>44227</v>
      </c>
      <c r="I346" s="197">
        <f t="shared" si="35"/>
        <v>44211.5</v>
      </c>
      <c r="J346" s="197">
        <v>44251</v>
      </c>
      <c r="K346" s="102">
        <f t="shared" si="36"/>
        <v>40</v>
      </c>
      <c r="L346" s="53">
        <f t="shared" si="37"/>
        <v>1231</v>
      </c>
      <c r="M346" s="197">
        <v>44258</v>
      </c>
      <c r="N346" s="55">
        <f t="shared" si="38"/>
        <v>7</v>
      </c>
      <c r="O346" s="198">
        <f t="shared" si="39"/>
        <v>215</v>
      </c>
      <c r="P346" s="53"/>
    </row>
    <row r="347" spans="1:16">
      <c r="A347" s="54">
        <v>339</v>
      </c>
      <c r="B347" s="53" t="s">
        <v>440</v>
      </c>
      <c r="C347" s="197">
        <v>44230</v>
      </c>
      <c r="D347" s="53">
        <v>15.04</v>
      </c>
      <c r="E347" s="53">
        <v>15.04</v>
      </c>
      <c r="F347" s="197" t="s">
        <v>336</v>
      </c>
      <c r="G347" s="197">
        <v>44196</v>
      </c>
      <c r="H347" s="197">
        <v>44227</v>
      </c>
      <c r="I347" s="197">
        <f t="shared" si="35"/>
        <v>44211.5</v>
      </c>
      <c r="J347" s="197">
        <v>44251</v>
      </c>
      <c r="K347" s="102">
        <f t="shared" si="36"/>
        <v>40</v>
      </c>
      <c r="L347" s="53">
        <f t="shared" si="37"/>
        <v>602</v>
      </c>
      <c r="M347" s="197">
        <v>44258</v>
      </c>
      <c r="N347" s="55">
        <f t="shared" si="38"/>
        <v>7</v>
      </c>
      <c r="O347" s="198">
        <f t="shared" si="39"/>
        <v>105</v>
      </c>
      <c r="P347" s="53"/>
    </row>
    <row r="348" spans="1:16">
      <c r="A348" s="54">
        <v>340</v>
      </c>
      <c r="B348" s="53" t="s">
        <v>441</v>
      </c>
      <c r="C348" s="197">
        <v>44098</v>
      </c>
      <c r="D348" s="53">
        <v>94.9</v>
      </c>
      <c r="E348" s="53">
        <v>94.9</v>
      </c>
      <c r="F348" s="197" t="s">
        <v>336</v>
      </c>
      <c r="G348" s="197">
        <v>44067</v>
      </c>
      <c r="H348" s="197">
        <v>44098</v>
      </c>
      <c r="I348" s="197">
        <f t="shared" si="35"/>
        <v>44082.5</v>
      </c>
      <c r="J348" s="197">
        <v>44109</v>
      </c>
      <c r="K348" s="102">
        <f t="shared" si="36"/>
        <v>27</v>
      </c>
      <c r="L348" s="53">
        <f t="shared" si="37"/>
        <v>2562</v>
      </c>
      <c r="M348" s="197">
        <v>44118</v>
      </c>
      <c r="N348" s="55">
        <f t="shared" si="38"/>
        <v>9</v>
      </c>
      <c r="O348" s="198">
        <f t="shared" si="39"/>
        <v>854</v>
      </c>
      <c r="P348" s="53"/>
    </row>
    <row r="349" spans="1:16">
      <c r="A349" s="54">
        <v>341</v>
      </c>
      <c r="B349" s="53" t="s">
        <v>441</v>
      </c>
      <c r="C349" s="197">
        <v>44107</v>
      </c>
      <c r="D349" s="53">
        <v>29021.05</v>
      </c>
      <c r="E349" s="53">
        <v>1085.47</v>
      </c>
      <c r="F349" s="197" t="s">
        <v>336</v>
      </c>
      <c r="G349" s="197">
        <v>44077</v>
      </c>
      <c r="H349" s="197">
        <v>44107</v>
      </c>
      <c r="I349" s="197">
        <f t="shared" si="35"/>
        <v>44092</v>
      </c>
      <c r="J349" s="197">
        <v>44116</v>
      </c>
      <c r="K349" s="102">
        <f t="shared" si="36"/>
        <v>24</v>
      </c>
      <c r="L349" s="53">
        <f t="shared" si="37"/>
        <v>26051</v>
      </c>
      <c r="M349" s="197">
        <v>44123</v>
      </c>
      <c r="N349" s="55">
        <f t="shared" si="38"/>
        <v>7</v>
      </c>
      <c r="O349" s="198">
        <f t="shared" si="39"/>
        <v>7598</v>
      </c>
      <c r="P349" s="53"/>
    </row>
    <row r="350" spans="1:16">
      <c r="A350" s="54">
        <v>342</v>
      </c>
      <c r="B350" s="53" t="s">
        <v>442</v>
      </c>
      <c r="C350" s="197">
        <v>43944</v>
      </c>
      <c r="D350" s="53">
        <v>120.06</v>
      </c>
      <c r="E350" s="53">
        <v>120.06</v>
      </c>
      <c r="F350" s="197" t="s">
        <v>276</v>
      </c>
      <c r="G350" s="197">
        <v>43944</v>
      </c>
      <c r="H350" s="197">
        <v>43944</v>
      </c>
      <c r="I350" s="197">
        <f t="shared" si="35"/>
        <v>43944</v>
      </c>
      <c r="J350" s="197">
        <v>43948</v>
      </c>
      <c r="K350" s="102">
        <f t="shared" si="36"/>
        <v>4</v>
      </c>
      <c r="L350" s="53">
        <f t="shared" si="37"/>
        <v>480</v>
      </c>
      <c r="M350" s="197">
        <v>43948</v>
      </c>
      <c r="N350" s="55">
        <f t="shared" si="38"/>
        <v>0</v>
      </c>
      <c r="O350" s="198">
        <f t="shared" si="39"/>
        <v>0</v>
      </c>
      <c r="P350" s="53"/>
    </row>
    <row r="351" spans="1:16">
      <c r="A351" s="54">
        <v>343</v>
      </c>
      <c r="B351" s="53" t="s">
        <v>443</v>
      </c>
      <c r="C351" s="197">
        <v>44062</v>
      </c>
      <c r="D351" s="53">
        <v>40</v>
      </c>
      <c r="E351" s="53">
        <v>42.4</v>
      </c>
      <c r="F351" s="197" t="s">
        <v>336</v>
      </c>
      <c r="G351" s="197">
        <v>44061</v>
      </c>
      <c r="H351" s="197">
        <v>44061</v>
      </c>
      <c r="I351" s="197">
        <f t="shared" si="35"/>
        <v>44061</v>
      </c>
      <c r="J351" s="197">
        <v>44088</v>
      </c>
      <c r="K351" s="102">
        <f t="shared" si="36"/>
        <v>27</v>
      </c>
      <c r="L351" s="53">
        <f t="shared" si="37"/>
        <v>1145</v>
      </c>
      <c r="M351" s="197">
        <v>44096</v>
      </c>
      <c r="N351" s="55">
        <f t="shared" si="38"/>
        <v>8</v>
      </c>
      <c r="O351" s="198">
        <f t="shared" si="39"/>
        <v>339</v>
      </c>
      <c r="P351" s="53"/>
    </row>
    <row r="352" spans="1:16">
      <c r="A352" s="54">
        <v>344</v>
      </c>
      <c r="B352" s="53" t="s">
        <v>444</v>
      </c>
      <c r="C352" s="197">
        <v>44230</v>
      </c>
      <c r="D352" s="53">
        <v>664.22</v>
      </c>
      <c r="E352" s="53">
        <v>664.22</v>
      </c>
      <c r="F352" s="197" t="s">
        <v>336</v>
      </c>
      <c r="G352" s="197">
        <v>44230</v>
      </c>
      <c r="H352" s="197">
        <v>44230</v>
      </c>
      <c r="I352" s="197">
        <f t="shared" si="35"/>
        <v>44230</v>
      </c>
      <c r="J352" s="197">
        <v>44256</v>
      </c>
      <c r="K352" s="102">
        <f t="shared" si="36"/>
        <v>26</v>
      </c>
      <c r="L352" s="53">
        <f t="shared" si="37"/>
        <v>17270</v>
      </c>
      <c r="M352" s="197">
        <v>44263</v>
      </c>
      <c r="N352" s="55">
        <f t="shared" si="38"/>
        <v>7</v>
      </c>
      <c r="O352" s="198">
        <f t="shared" si="39"/>
        <v>4650</v>
      </c>
      <c r="P352" s="53"/>
    </row>
    <row r="353" spans="1:16">
      <c r="A353" s="54">
        <v>345</v>
      </c>
      <c r="B353" s="53" t="s">
        <v>445</v>
      </c>
      <c r="C353" s="197">
        <v>43972</v>
      </c>
      <c r="D353" s="53">
        <v>395</v>
      </c>
      <c r="E353" s="53">
        <v>395</v>
      </c>
      <c r="F353" s="197" t="s">
        <v>276</v>
      </c>
      <c r="G353" s="197">
        <v>43956</v>
      </c>
      <c r="H353" s="197">
        <v>43956</v>
      </c>
      <c r="I353" s="197">
        <f t="shared" si="35"/>
        <v>43956</v>
      </c>
      <c r="J353" s="197">
        <v>43973</v>
      </c>
      <c r="K353" s="102">
        <f t="shared" si="36"/>
        <v>17</v>
      </c>
      <c r="L353" s="53">
        <f t="shared" si="37"/>
        <v>6715</v>
      </c>
      <c r="M353" s="197">
        <v>43973</v>
      </c>
      <c r="N353" s="55">
        <f t="shared" si="38"/>
        <v>0</v>
      </c>
      <c r="O353" s="198">
        <f t="shared" si="39"/>
        <v>0</v>
      </c>
      <c r="P353" s="53"/>
    </row>
    <row r="354" spans="1:16">
      <c r="A354" s="54">
        <v>346</v>
      </c>
      <c r="B354" s="53" t="s">
        <v>446</v>
      </c>
      <c r="C354" s="197">
        <v>44172</v>
      </c>
      <c r="D354" s="53">
        <v>1516.3</v>
      </c>
      <c r="E354" s="53">
        <v>1607.28</v>
      </c>
      <c r="F354" s="197" t="s">
        <v>336</v>
      </c>
      <c r="G354" s="197">
        <v>44172</v>
      </c>
      <c r="H354" s="197">
        <v>44172</v>
      </c>
      <c r="I354" s="197">
        <f t="shared" si="35"/>
        <v>44172</v>
      </c>
      <c r="J354" s="197">
        <v>44277</v>
      </c>
      <c r="K354" s="102">
        <f t="shared" si="36"/>
        <v>105</v>
      </c>
      <c r="L354" s="53">
        <f t="shared" si="37"/>
        <v>168764</v>
      </c>
      <c r="M354" s="197">
        <v>44281</v>
      </c>
      <c r="N354" s="55">
        <f t="shared" si="38"/>
        <v>4</v>
      </c>
      <c r="O354" s="198">
        <f t="shared" si="39"/>
        <v>6429</v>
      </c>
      <c r="P354" s="53"/>
    </row>
    <row r="355" spans="1:16">
      <c r="A355" s="54">
        <v>347</v>
      </c>
      <c r="B355" s="53" t="s">
        <v>447</v>
      </c>
      <c r="C355" s="197">
        <v>43936</v>
      </c>
      <c r="D355" s="53">
        <v>59.49</v>
      </c>
      <c r="E355" s="53">
        <v>59.49</v>
      </c>
      <c r="F355" s="197" t="s">
        <v>276</v>
      </c>
      <c r="G355" s="197">
        <v>43936</v>
      </c>
      <c r="H355" s="197">
        <v>43936</v>
      </c>
      <c r="I355" s="197">
        <f t="shared" si="35"/>
        <v>43936</v>
      </c>
      <c r="J355" s="197">
        <v>43962</v>
      </c>
      <c r="K355" s="102">
        <f t="shared" si="36"/>
        <v>26</v>
      </c>
      <c r="L355" s="53">
        <f t="shared" si="37"/>
        <v>1547</v>
      </c>
      <c r="M355" s="197">
        <v>43962</v>
      </c>
      <c r="N355" s="55">
        <f t="shared" si="38"/>
        <v>0</v>
      </c>
      <c r="O355" s="198">
        <f t="shared" si="39"/>
        <v>0</v>
      </c>
      <c r="P355" s="53"/>
    </row>
    <row r="356" spans="1:16">
      <c r="A356" s="54">
        <v>348</v>
      </c>
      <c r="B356" s="53" t="s">
        <v>447</v>
      </c>
      <c r="C356" s="197">
        <v>43983</v>
      </c>
      <c r="D356" s="53">
        <v>157.86000000000001</v>
      </c>
      <c r="E356" s="53">
        <v>157.86000000000001</v>
      </c>
      <c r="F356" s="197" t="s">
        <v>276</v>
      </c>
      <c r="G356" s="197">
        <v>43983</v>
      </c>
      <c r="H356" s="197">
        <v>43983</v>
      </c>
      <c r="I356" s="197">
        <f t="shared" si="35"/>
        <v>43983</v>
      </c>
      <c r="J356" s="197">
        <v>44008</v>
      </c>
      <c r="K356" s="102">
        <f t="shared" si="36"/>
        <v>25</v>
      </c>
      <c r="L356" s="53">
        <f t="shared" si="37"/>
        <v>3947</v>
      </c>
      <c r="M356" s="197">
        <v>44008</v>
      </c>
      <c r="N356" s="55">
        <f t="shared" si="38"/>
        <v>0</v>
      </c>
      <c r="O356" s="198">
        <f t="shared" si="39"/>
        <v>0</v>
      </c>
      <c r="P356" s="53"/>
    </row>
    <row r="357" spans="1:16">
      <c r="A357" s="54">
        <v>349</v>
      </c>
      <c r="B357" s="53" t="s">
        <v>447</v>
      </c>
      <c r="C357" s="197">
        <v>44000</v>
      </c>
      <c r="D357" s="53">
        <v>321.77</v>
      </c>
      <c r="E357" s="53">
        <v>321.77</v>
      </c>
      <c r="F357" s="197" t="s">
        <v>276</v>
      </c>
      <c r="G357" s="197">
        <v>44000</v>
      </c>
      <c r="H357" s="197">
        <v>44000</v>
      </c>
      <c r="I357" s="197">
        <f t="shared" si="35"/>
        <v>44000</v>
      </c>
      <c r="J357" s="197">
        <v>44025</v>
      </c>
      <c r="K357" s="102">
        <f t="shared" si="36"/>
        <v>25</v>
      </c>
      <c r="L357" s="53">
        <f t="shared" si="37"/>
        <v>8044</v>
      </c>
      <c r="M357" s="197">
        <v>44025</v>
      </c>
      <c r="N357" s="55">
        <f t="shared" si="38"/>
        <v>0</v>
      </c>
      <c r="O357" s="198">
        <f t="shared" si="39"/>
        <v>0</v>
      </c>
      <c r="P357" s="53"/>
    </row>
    <row r="358" spans="1:16">
      <c r="A358" s="54">
        <v>350</v>
      </c>
      <c r="B358" s="53" t="s">
        <v>447</v>
      </c>
      <c r="C358" s="197">
        <v>44090</v>
      </c>
      <c r="D358" s="53">
        <v>299.95999999999998</v>
      </c>
      <c r="E358" s="53">
        <v>299.95999999999998</v>
      </c>
      <c r="F358" s="197" t="s">
        <v>276</v>
      </c>
      <c r="G358" s="197">
        <v>44090</v>
      </c>
      <c r="H358" s="197">
        <v>44090</v>
      </c>
      <c r="I358" s="197">
        <f t="shared" si="35"/>
        <v>44090</v>
      </c>
      <c r="J358" s="197">
        <v>44117</v>
      </c>
      <c r="K358" s="102">
        <f t="shared" si="36"/>
        <v>27</v>
      </c>
      <c r="L358" s="53">
        <f t="shared" si="37"/>
        <v>8099</v>
      </c>
      <c r="M358" s="197">
        <v>44117</v>
      </c>
      <c r="N358" s="55">
        <f t="shared" si="38"/>
        <v>0</v>
      </c>
      <c r="O358" s="198">
        <f t="shared" si="39"/>
        <v>0</v>
      </c>
      <c r="P358" s="53"/>
    </row>
    <row r="359" spans="1:16">
      <c r="A359" s="54">
        <v>351</v>
      </c>
      <c r="B359" s="53" t="s">
        <v>447</v>
      </c>
      <c r="C359" s="197">
        <v>44111</v>
      </c>
      <c r="D359" s="53">
        <v>262.08</v>
      </c>
      <c r="E359" s="53">
        <v>262.08</v>
      </c>
      <c r="F359" s="197" t="s">
        <v>276</v>
      </c>
      <c r="G359" s="197">
        <v>44111</v>
      </c>
      <c r="H359" s="197">
        <v>44111</v>
      </c>
      <c r="I359" s="197">
        <f t="shared" si="35"/>
        <v>44111</v>
      </c>
      <c r="J359" s="197">
        <v>44137</v>
      </c>
      <c r="K359" s="102">
        <f t="shared" si="36"/>
        <v>26</v>
      </c>
      <c r="L359" s="53">
        <f t="shared" si="37"/>
        <v>6814</v>
      </c>
      <c r="M359" s="197">
        <v>44137</v>
      </c>
      <c r="N359" s="55">
        <f t="shared" si="38"/>
        <v>0</v>
      </c>
      <c r="O359" s="198">
        <f t="shared" si="39"/>
        <v>0</v>
      </c>
      <c r="P359" s="53"/>
    </row>
    <row r="360" spans="1:16">
      <c r="A360" s="54">
        <v>352</v>
      </c>
      <c r="B360" s="53" t="s">
        <v>447</v>
      </c>
      <c r="C360" s="197">
        <v>44118</v>
      </c>
      <c r="D360" s="53">
        <v>147.99</v>
      </c>
      <c r="E360" s="53">
        <v>147.99</v>
      </c>
      <c r="F360" s="197" t="s">
        <v>276</v>
      </c>
      <c r="G360" s="197">
        <v>44118</v>
      </c>
      <c r="H360" s="197">
        <v>44118</v>
      </c>
      <c r="I360" s="197">
        <f t="shared" si="35"/>
        <v>44118</v>
      </c>
      <c r="J360" s="197">
        <v>44144</v>
      </c>
      <c r="K360" s="102">
        <f t="shared" si="36"/>
        <v>26</v>
      </c>
      <c r="L360" s="53">
        <f t="shared" si="37"/>
        <v>3848</v>
      </c>
      <c r="M360" s="197">
        <v>44144</v>
      </c>
      <c r="N360" s="55">
        <f t="shared" si="38"/>
        <v>0</v>
      </c>
      <c r="O360" s="198">
        <f t="shared" si="39"/>
        <v>0</v>
      </c>
      <c r="P360" s="53"/>
    </row>
    <row r="361" spans="1:16">
      <c r="A361" s="54">
        <v>353</v>
      </c>
      <c r="B361" s="53" t="s">
        <v>447</v>
      </c>
      <c r="C361" s="197">
        <v>44126</v>
      </c>
      <c r="D361" s="53">
        <v>129.22999999999999</v>
      </c>
      <c r="E361" s="53">
        <v>129.22999999999999</v>
      </c>
      <c r="F361" s="197" t="s">
        <v>276</v>
      </c>
      <c r="G361" s="197">
        <v>44126</v>
      </c>
      <c r="H361" s="197">
        <v>44126</v>
      </c>
      <c r="I361" s="197">
        <f t="shared" si="35"/>
        <v>44126</v>
      </c>
      <c r="J361" s="197">
        <v>44151</v>
      </c>
      <c r="K361" s="102">
        <f t="shared" si="36"/>
        <v>25</v>
      </c>
      <c r="L361" s="53">
        <f t="shared" si="37"/>
        <v>3231</v>
      </c>
      <c r="M361" s="197">
        <v>44151</v>
      </c>
      <c r="N361" s="55">
        <f t="shared" si="38"/>
        <v>0</v>
      </c>
      <c r="O361" s="198">
        <f t="shared" si="39"/>
        <v>0</v>
      </c>
      <c r="P361" s="53"/>
    </row>
    <row r="362" spans="1:16">
      <c r="A362" s="54">
        <v>354</v>
      </c>
      <c r="B362" s="53" t="s">
        <v>447</v>
      </c>
      <c r="C362" s="197">
        <v>44130</v>
      </c>
      <c r="D362" s="53">
        <v>295.74</v>
      </c>
      <c r="E362" s="53">
        <v>295.74</v>
      </c>
      <c r="F362" s="197" t="s">
        <v>276</v>
      </c>
      <c r="G362" s="197">
        <v>44130</v>
      </c>
      <c r="H362" s="197">
        <v>44130</v>
      </c>
      <c r="I362" s="197">
        <f t="shared" si="35"/>
        <v>44130</v>
      </c>
      <c r="J362" s="197">
        <v>44155</v>
      </c>
      <c r="K362" s="102">
        <f t="shared" si="36"/>
        <v>25</v>
      </c>
      <c r="L362" s="53">
        <f t="shared" si="37"/>
        <v>7394</v>
      </c>
      <c r="M362" s="197">
        <v>44155</v>
      </c>
      <c r="N362" s="55">
        <f t="shared" si="38"/>
        <v>0</v>
      </c>
      <c r="O362" s="198">
        <f t="shared" si="39"/>
        <v>0</v>
      </c>
      <c r="P362" s="53"/>
    </row>
    <row r="363" spans="1:16">
      <c r="A363" s="54">
        <v>355</v>
      </c>
      <c r="B363" s="53" t="s">
        <v>447</v>
      </c>
      <c r="C363" s="197">
        <v>44132</v>
      </c>
      <c r="D363" s="53">
        <v>141.49</v>
      </c>
      <c r="E363" s="53">
        <v>141.49</v>
      </c>
      <c r="F363" s="197" t="s">
        <v>276</v>
      </c>
      <c r="G363" s="197">
        <v>44132</v>
      </c>
      <c r="H363" s="197">
        <v>44132</v>
      </c>
      <c r="I363" s="197">
        <f t="shared" si="35"/>
        <v>44132</v>
      </c>
      <c r="J363" s="197">
        <v>44158</v>
      </c>
      <c r="K363" s="102">
        <f t="shared" si="36"/>
        <v>26</v>
      </c>
      <c r="L363" s="53">
        <f t="shared" si="37"/>
        <v>3679</v>
      </c>
      <c r="M363" s="197">
        <v>44158</v>
      </c>
      <c r="N363" s="55">
        <f t="shared" si="38"/>
        <v>0</v>
      </c>
      <c r="O363" s="198">
        <f t="shared" si="39"/>
        <v>0</v>
      </c>
      <c r="P363" s="53"/>
    </row>
    <row r="364" spans="1:16">
      <c r="A364" s="54">
        <v>356</v>
      </c>
      <c r="B364" s="53" t="s">
        <v>447</v>
      </c>
      <c r="C364" s="197">
        <v>44132</v>
      </c>
      <c r="D364" s="53">
        <v>238.02</v>
      </c>
      <c r="E364" s="53">
        <v>238.02</v>
      </c>
      <c r="F364" s="197" t="s">
        <v>276</v>
      </c>
      <c r="G364" s="197">
        <v>44132</v>
      </c>
      <c r="H364" s="197">
        <v>44132</v>
      </c>
      <c r="I364" s="197">
        <f t="shared" si="35"/>
        <v>44132</v>
      </c>
      <c r="J364" s="197">
        <v>44158</v>
      </c>
      <c r="K364" s="102">
        <f t="shared" si="36"/>
        <v>26</v>
      </c>
      <c r="L364" s="53">
        <f t="shared" si="37"/>
        <v>6189</v>
      </c>
      <c r="M364" s="197">
        <v>44158</v>
      </c>
      <c r="N364" s="55">
        <f t="shared" si="38"/>
        <v>0</v>
      </c>
      <c r="O364" s="198">
        <f t="shared" si="39"/>
        <v>0</v>
      </c>
      <c r="P364" s="53"/>
    </row>
    <row r="365" spans="1:16">
      <c r="A365" s="54">
        <v>357</v>
      </c>
      <c r="B365" s="53" t="s">
        <v>447</v>
      </c>
      <c r="C365" s="197">
        <v>44145</v>
      </c>
      <c r="D365" s="53">
        <v>251.77</v>
      </c>
      <c r="E365" s="53">
        <v>251.77</v>
      </c>
      <c r="F365" s="197" t="s">
        <v>276</v>
      </c>
      <c r="G365" s="197">
        <v>44145</v>
      </c>
      <c r="H365" s="197">
        <v>44145</v>
      </c>
      <c r="I365" s="197">
        <f t="shared" si="35"/>
        <v>44145</v>
      </c>
      <c r="J365" s="197">
        <v>44172</v>
      </c>
      <c r="K365" s="102">
        <f t="shared" si="36"/>
        <v>27</v>
      </c>
      <c r="L365" s="53">
        <f t="shared" si="37"/>
        <v>6798</v>
      </c>
      <c r="M365" s="197">
        <v>44172</v>
      </c>
      <c r="N365" s="55">
        <f t="shared" si="38"/>
        <v>0</v>
      </c>
      <c r="O365" s="198">
        <f t="shared" si="39"/>
        <v>0</v>
      </c>
      <c r="P365" s="53"/>
    </row>
    <row r="366" spans="1:16">
      <c r="A366" s="54">
        <v>358</v>
      </c>
      <c r="B366" s="53" t="s">
        <v>447</v>
      </c>
      <c r="C366" s="197">
        <v>44145</v>
      </c>
      <c r="D366" s="53">
        <v>288.36</v>
      </c>
      <c r="E366" s="53">
        <v>288.36</v>
      </c>
      <c r="F366" s="197" t="s">
        <v>276</v>
      </c>
      <c r="G366" s="197">
        <v>44145</v>
      </c>
      <c r="H366" s="197">
        <v>44145</v>
      </c>
      <c r="I366" s="197">
        <f t="shared" si="35"/>
        <v>44145</v>
      </c>
      <c r="J366" s="197">
        <v>44172</v>
      </c>
      <c r="K366" s="102">
        <f t="shared" si="36"/>
        <v>27</v>
      </c>
      <c r="L366" s="53">
        <f t="shared" si="37"/>
        <v>7786</v>
      </c>
      <c r="M366" s="197">
        <v>44172</v>
      </c>
      <c r="N366" s="55">
        <f t="shared" si="38"/>
        <v>0</v>
      </c>
      <c r="O366" s="198">
        <f t="shared" si="39"/>
        <v>0</v>
      </c>
      <c r="P366" s="53"/>
    </row>
    <row r="367" spans="1:16">
      <c r="A367" s="54">
        <v>359</v>
      </c>
      <c r="B367" s="53" t="s">
        <v>447</v>
      </c>
      <c r="C367" s="197">
        <v>44172</v>
      </c>
      <c r="D367" s="53">
        <v>144.52000000000001</v>
      </c>
      <c r="E367" s="53">
        <v>144.52000000000001</v>
      </c>
      <c r="F367" s="197" t="s">
        <v>276</v>
      </c>
      <c r="G367" s="197">
        <v>44172</v>
      </c>
      <c r="H367" s="197">
        <v>44172</v>
      </c>
      <c r="I367" s="197">
        <f t="shared" si="35"/>
        <v>44172</v>
      </c>
      <c r="J367" s="197">
        <v>44200</v>
      </c>
      <c r="K367" s="102">
        <f t="shared" si="36"/>
        <v>28</v>
      </c>
      <c r="L367" s="53">
        <f t="shared" si="37"/>
        <v>4047</v>
      </c>
      <c r="M367" s="197">
        <v>44200</v>
      </c>
      <c r="N367" s="55">
        <f t="shared" si="38"/>
        <v>0</v>
      </c>
      <c r="O367" s="198">
        <f t="shared" si="39"/>
        <v>0</v>
      </c>
      <c r="P367" s="53"/>
    </row>
    <row r="368" spans="1:16">
      <c r="A368" s="54">
        <v>360</v>
      </c>
      <c r="B368" s="53" t="s">
        <v>447</v>
      </c>
      <c r="C368" s="197">
        <v>44183</v>
      </c>
      <c r="D368" s="53">
        <v>534.19000000000005</v>
      </c>
      <c r="E368" s="53">
        <v>534.19000000000005</v>
      </c>
      <c r="F368" s="197" t="s">
        <v>276</v>
      </c>
      <c r="G368" s="197">
        <v>44183</v>
      </c>
      <c r="H368" s="197">
        <v>44183</v>
      </c>
      <c r="I368" s="197">
        <f t="shared" si="35"/>
        <v>44183</v>
      </c>
      <c r="J368" s="197">
        <v>44208</v>
      </c>
      <c r="K368" s="102">
        <f t="shared" si="36"/>
        <v>25</v>
      </c>
      <c r="L368" s="53">
        <f t="shared" si="37"/>
        <v>13355</v>
      </c>
      <c r="M368" s="197">
        <v>44208</v>
      </c>
      <c r="N368" s="55">
        <f t="shared" si="38"/>
        <v>0</v>
      </c>
      <c r="O368" s="198">
        <f t="shared" si="39"/>
        <v>0</v>
      </c>
      <c r="P368" s="53"/>
    </row>
    <row r="369" spans="1:16">
      <c r="A369" s="54">
        <v>361</v>
      </c>
      <c r="B369" s="53" t="s">
        <v>447</v>
      </c>
      <c r="C369" s="197">
        <v>44208</v>
      </c>
      <c r="D369" s="53">
        <v>155.63</v>
      </c>
      <c r="E369" s="53">
        <v>155.63</v>
      </c>
      <c r="F369" s="197" t="s">
        <v>276</v>
      </c>
      <c r="G369" s="197">
        <v>44208</v>
      </c>
      <c r="H369" s="197">
        <v>44208</v>
      </c>
      <c r="I369" s="197">
        <f t="shared" si="35"/>
        <v>44208</v>
      </c>
      <c r="J369" s="197">
        <v>44235</v>
      </c>
      <c r="K369" s="102">
        <f t="shared" si="36"/>
        <v>27</v>
      </c>
      <c r="L369" s="53">
        <f t="shared" si="37"/>
        <v>4202</v>
      </c>
      <c r="M369" s="197">
        <v>44235</v>
      </c>
      <c r="N369" s="55">
        <f t="shared" si="38"/>
        <v>0</v>
      </c>
      <c r="O369" s="198">
        <f t="shared" si="39"/>
        <v>0</v>
      </c>
      <c r="P369" s="53"/>
    </row>
    <row r="370" spans="1:16">
      <c r="A370" s="54">
        <v>362</v>
      </c>
      <c r="B370" s="53" t="s">
        <v>447</v>
      </c>
      <c r="C370" s="197">
        <v>44236</v>
      </c>
      <c r="D370" s="53">
        <v>438.11</v>
      </c>
      <c r="E370" s="53">
        <v>438.11</v>
      </c>
      <c r="F370" s="197" t="s">
        <v>276</v>
      </c>
      <c r="G370" s="197">
        <v>44236</v>
      </c>
      <c r="H370" s="197">
        <v>44236</v>
      </c>
      <c r="I370" s="197">
        <f t="shared" si="35"/>
        <v>44236</v>
      </c>
      <c r="J370" s="197">
        <v>44263</v>
      </c>
      <c r="K370" s="102">
        <f t="shared" si="36"/>
        <v>27</v>
      </c>
      <c r="L370" s="53">
        <f t="shared" si="37"/>
        <v>11829</v>
      </c>
      <c r="M370" s="197">
        <v>44263</v>
      </c>
      <c r="N370" s="55">
        <f t="shared" si="38"/>
        <v>0</v>
      </c>
      <c r="O370" s="198">
        <f t="shared" si="39"/>
        <v>0</v>
      </c>
      <c r="P370" s="53"/>
    </row>
    <row r="371" spans="1:16">
      <c r="A371" s="54">
        <v>363</v>
      </c>
      <c r="B371" s="53" t="s">
        <v>447</v>
      </c>
      <c r="C371" s="197">
        <v>44249</v>
      </c>
      <c r="D371" s="53">
        <v>410.32</v>
      </c>
      <c r="E371" s="53">
        <v>410.32</v>
      </c>
      <c r="F371" s="197" t="s">
        <v>276</v>
      </c>
      <c r="G371" s="197">
        <v>44249</v>
      </c>
      <c r="H371" s="197">
        <v>44249</v>
      </c>
      <c r="I371" s="197">
        <f t="shared" si="35"/>
        <v>44249</v>
      </c>
      <c r="J371" s="197">
        <v>44274</v>
      </c>
      <c r="K371" s="102">
        <f t="shared" si="36"/>
        <v>25</v>
      </c>
      <c r="L371" s="53">
        <f t="shared" si="37"/>
        <v>10258</v>
      </c>
      <c r="M371" s="197">
        <v>44274</v>
      </c>
      <c r="N371" s="55">
        <f t="shared" si="38"/>
        <v>0</v>
      </c>
      <c r="O371" s="198">
        <f t="shared" si="39"/>
        <v>0</v>
      </c>
      <c r="P371" s="53"/>
    </row>
    <row r="372" spans="1:16">
      <c r="A372" s="54">
        <v>364</v>
      </c>
      <c r="B372" s="53" t="s">
        <v>448</v>
      </c>
      <c r="C372" s="197">
        <v>43935</v>
      </c>
      <c r="D372" s="53">
        <v>253.45</v>
      </c>
      <c r="E372" s="53">
        <v>253.45</v>
      </c>
      <c r="F372" s="197" t="s">
        <v>276</v>
      </c>
      <c r="G372" s="197">
        <v>43935</v>
      </c>
      <c r="H372" s="197">
        <v>43935</v>
      </c>
      <c r="I372" s="197">
        <f t="shared" si="35"/>
        <v>43935</v>
      </c>
      <c r="J372" s="197">
        <v>43962</v>
      </c>
      <c r="K372" s="102">
        <f t="shared" si="36"/>
        <v>27</v>
      </c>
      <c r="L372" s="53">
        <f t="shared" si="37"/>
        <v>6843</v>
      </c>
      <c r="M372" s="197">
        <v>43962</v>
      </c>
      <c r="N372" s="55">
        <f t="shared" si="38"/>
        <v>0</v>
      </c>
      <c r="O372" s="198">
        <f t="shared" si="39"/>
        <v>0</v>
      </c>
      <c r="P372" s="53"/>
    </row>
    <row r="373" spans="1:16">
      <c r="A373" s="54">
        <v>365</v>
      </c>
      <c r="B373" s="53" t="s">
        <v>449</v>
      </c>
      <c r="C373" s="197">
        <v>44155</v>
      </c>
      <c r="D373" s="53">
        <v>159</v>
      </c>
      <c r="E373" s="53">
        <v>159</v>
      </c>
      <c r="F373" s="197" t="s">
        <v>336</v>
      </c>
      <c r="G373" s="197">
        <v>44136</v>
      </c>
      <c r="H373" s="197">
        <v>44165</v>
      </c>
      <c r="I373" s="197">
        <f t="shared" si="35"/>
        <v>44150.5</v>
      </c>
      <c r="J373" s="197">
        <v>44179</v>
      </c>
      <c r="K373" s="102">
        <f t="shared" si="36"/>
        <v>29</v>
      </c>
      <c r="L373" s="53">
        <f t="shared" si="37"/>
        <v>4611</v>
      </c>
      <c r="M373" s="197">
        <v>44189</v>
      </c>
      <c r="N373" s="55">
        <f t="shared" si="38"/>
        <v>10</v>
      </c>
      <c r="O373" s="198">
        <f t="shared" si="39"/>
        <v>1590</v>
      </c>
      <c r="P373" s="53"/>
    </row>
    <row r="374" spans="1:16">
      <c r="A374" s="54">
        <v>366</v>
      </c>
      <c r="B374" s="53" t="s">
        <v>450</v>
      </c>
      <c r="C374" s="197">
        <v>44250</v>
      </c>
      <c r="D374" s="53">
        <v>425</v>
      </c>
      <c r="E374" s="53">
        <v>450.5</v>
      </c>
      <c r="F374" s="197" t="s">
        <v>336</v>
      </c>
      <c r="G374" s="197">
        <v>44250</v>
      </c>
      <c r="H374" s="197">
        <v>44250</v>
      </c>
      <c r="I374" s="197">
        <f t="shared" si="35"/>
        <v>44250</v>
      </c>
      <c r="J374" s="197">
        <v>44277</v>
      </c>
      <c r="K374" s="102">
        <f t="shared" si="36"/>
        <v>27</v>
      </c>
      <c r="L374" s="53">
        <f t="shared" si="37"/>
        <v>12164</v>
      </c>
      <c r="M374" s="197">
        <v>44294</v>
      </c>
      <c r="N374" s="55">
        <f t="shared" si="38"/>
        <v>17</v>
      </c>
      <c r="O374" s="198">
        <f t="shared" si="39"/>
        <v>7659</v>
      </c>
      <c r="P374" s="53"/>
    </row>
    <row r="375" spans="1:16">
      <c r="A375" s="54">
        <v>367</v>
      </c>
      <c r="B375" s="53" t="s">
        <v>451</v>
      </c>
      <c r="C375" s="197">
        <v>43920</v>
      </c>
      <c r="D375" s="53">
        <v>25.34</v>
      </c>
      <c r="E375" s="53">
        <v>25.34</v>
      </c>
      <c r="F375" s="197" t="s">
        <v>336</v>
      </c>
      <c r="G375" s="197">
        <v>43883</v>
      </c>
      <c r="H375" s="197">
        <v>43912</v>
      </c>
      <c r="I375" s="197">
        <f t="shared" si="35"/>
        <v>43897.5</v>
      </c>
      <c r="J375" s="197">
        <v>43934</v>
      </c>
      <c r="K375" s="102">
        <f t="shared" si="36"/>
        <v>37</v>
      </c>
      <c r="L375" s="53">
        <f t="shared" si="37"/>
        <v>938</v>
      </c>
      <c r="M375" s="197">
        <v>43942</v>
      </c>
      <c r="N375" s="55">
        <f t="shared" si="38"/>
        <v>8</v>
      </c>
      <c r="O375" s="198">
        <f t="shared" si="39"/>
        <v>203</v>
      </c>
      <c r="P375" s="53"/>
    </row>
    <row r="376" spans="1:16">
      <c r="A376" s="54">
        <v>368</v>
      </c>
      <c r="B376" s="53" t="s">
        <v>451</v>
      </c>
      <c r="C376" s="197">
        <v>43944</v>
      </c>
      <c r="D376" s="53">
        <v>23.29</v>
      </c>
      <c r="E376" s="53">
        <v>23.29</v>
      </c>
      <c r="F376" s="197" t="s">
        <v>336</v>
      </c>
      <c r="G376" s="197">
        <v>43907</v>
      </c>
      <c r="H376" s="197">
        <v>43938</v>
      </c>
      <c r="I376" s="197">
        <f t="shared" si="35"/>
        <v>43922.5</v>
      </c>
      <c r="J376" s="197">
        <v>43955</v>
      </c>
      <c r="K376" s="102">
        <f t="shared" si="36"/>
        <v>33</v>
      </c>
      <c r="L376" s="53">
        <f t="shared" si="37"/>
        <v>769</v>
      </c>
      <c r="M376" s="197">
        <v>43962</v>
      </c>
      <c r="N376" s="55">
        <f t="shared" si="38"/>
        <v>7</v>
      </c>
      <c r="O376" s="198">
        <f t="shared" si="39"/>
        <v>163</v>
      </c>
      <c r="P376" s="53"/>
    </row>
    <row r="377" spans="1:16">
      <c r="A377" s="54">
        <v>369</v>
      </c>
      <c r="B377" s="53" t="s">
        <v>451</v>
      </c>
      <c r="C377" s="197">
        <v>43973</v>
      </c>
      <c r="D377" s="53">
        <v>22.27</v>
      </c>
      <c r="E377" s="53">
        <v>22.27</v>
      </c>
      <c r="F377" s="197" t="s">
        <v>336</v>
      </c>
      <c r="G377" s="197">
        <v>43938</v>
      </c>
      <c r="H377" s="197">
        <v>43968</v>
      </c>
      <c r="I377" s="197">
        <f t="shared" si="35"/>
        <v>43953</v>
      </c>
      <c r="J377" s="197">
        <v>43983</v>
      </c>
      <c r="K377" s="102">
        <f t="shared" si="36"/>
        <v>30</v>
      </c>
      <c r="L377" s="53">
        <f t="shared" si="37"/>
        <v>668</v>
      </c>
      <c r="M377" s="197">
        <v>43991</v>
      </c>
      <c r="N377" s="55">
        <f t="shared" si="38"/>
        <v>8</v>
      </c>
      <c r="O377" s="198">
        <f t="shared" si="39"/>
        <v>178</v>
      </c>
      <c r="P377" s="53"/>
    </row>
    <row r="378" spans="1:16">
      <c r="A378" s="54">
        <v>370</v>
      </c>
      <c r="B378" s="53" t="s">
        <v>451</v>
      </c>
      <c r="C378" s="197">
        <v>43991</v>
      </c>
      <c r="D378" s="53">
        <v>23.5</v>
      </c>
      <c r="E378" s="53">
        <v>23.5</v>
      </c>
      <c r="F378" s="197" t="s">
        <v>336</v>
      </c>
      <c r="G378" s="197">
        <v>43953</v>
      </c>
      <c r="H378" s="197">
        <v>43984</v>
      </c>
      <c r="I378" s="197">
        <f t="shared" si="35"/>
        <v>43968.5</v>
      </c>
      <c r="J378" s="197">
        <v>44004</v>
      </c>
      <c r="K378" s="102">
        <f t="shared" si="36"/>
        <v>36</v>
      </c>
      <c r="L378" s="53">
        <f t="shared" si="37"/>
        <v>846</v>
      </c>
      <c r="M378" s="197">
        <v>44012</v>
      </c>
      <c r="N378" s="55">
        <f t="shared" si="38"/>
        <v>8</v>
      </c>
      <c r="O378" s="198">
        <f t="shared" si="39"/>
        <v>188</v>
      </c>
      <c r="P378" s="53"/>
    </row>
    <row r="379" spans="1:16">
      <c r="A379" s="54">
        <v>371</v>
      </c>
      <c r="B379" s="53" t="s">
        <v>451</v>
      </c>
      <c r="C379" s="197">
        <v>43994</v>
      </c>
      <c r="D379" s="53">
        <v>22.83</v>
      </c>
      <c r="E379" s="53">
        <v>22.83</v>
      </c>
      <c r="F379" s="197" t="s">
        <v>336</v>
      </c>
      <c r="G379" s="197">
        <v>43958</v>
      </c>
      <c r="H379" s="197">
        <v>43989</v>
      </c>
      <c r="I379" s="197">
        <f t="shared" si="35"/>
        <v>43973.5</v>
      </c>
      <c r="J379" s="197">
        <v>44004</v>
      </c>
      <c r="K379" s="102">
        <f t="shared" si="36"/>
        <v>31</v>
      </c>
      <c r="L379" s="53">
        <f t="shared" si="37"/>
        <v>708</v>
      </c>
      <c r="M379" s="197">
        <v>44012</v>
      </c>
      <c r="N379" s="55">
        <f t="shared" si="38"/>
        <v>8</v>
      </c>
      <c r="O379" s="198">
        <f t="shared" si="39"/>
        <v>183</v>
      </c>
      <c r="P379" s="53"/>
    </row>
    <row r="380" spans="1:16">
      <c r="A380" s="54">
        <v>372</v>
      </c>
      <c r="B380" s="53" t="s">
        <v>451</v>
      </c>
      <c r="C380" s="197">
        <v>44049</v>
      </c>
      <c r="D380" s="53">
        <v>27.04</v>
      </c>
      <c r="E380" s="53">
        <v>27.04</v>
      </c>
      <c r="F380" s="197" t="s">
        <v>336</v>
      </c>
      <c r="G380" s="197">
        <v>44011</v>
      </c>
      <c r="H380" s="197">
        <v>44041</v>
      </c>
      <c r="I380" s="197">
        <f t="shared" si="35"/>
        <v>44026</v>
      </c>
      <c r="J380" s="197">
        <v>44062</v>
      </c>
      <c r="K380" s="102">
        <f t="shared" si="36"/>
        <v>36</v>
      </c>
      <c r="L380" s="53">
        <f t="shared" si="37"/>
        <v>973</v>
      </c>
      <c r="M380" s="197">
        <v>44069</v>
      </c>
      <c r="N380" s="55">
        <f t="shared" si="38"/>
        <v>7</v>
      </c>
      <c r="O380" s="198">
        <f t="shared" si="39"/>
        <v>189</v>
      </c>
      <c r="P380" s="53"/>
    </row>
    <row r="381" spans="1:16">
      <c r="A381" s="54">
        <v>373</v>
      </c>
      <c r="B381" s="53" t="s">
        <v>451</v>
      </c>
      <c r="C381" s="197">
        <v>44124</v>
      </c>
      <c r="D381" s="53">
        <v>48.88</v>
      </c>
      <c r="E381" s="53">
        <v>48.88</v>
      </c>
      <c r="F381" s="197" t="s">
        <v>336</v>
      </c>
      <c r="G381" s="197">
        <v>44086</v>
      </c>
      <c r="H381" s="197">
        <v>44116</v>
      </c>
      <c r="I381" s="197">
        <f t="shared" si="35"/>
        <v>44101</v>
      </c>
      <c r="J381" s="197">
        <v>44137</v>
      </c>
      <c r="K381" s="102">
        <f t="shared" si="36"/>
        <v>36</v>
      </c>
      <c r="L381" s="53">
        <f t="shared" si="37"/>
        <v>1760</v>
      </c>
      <c r="M381" s="197">
        <v>44141</v>
      </c>
      <c r="N381" s="55">
        <f t="shared" si="38"/>
        <v>4</v>
      </c>
      <c r="O381" s="198">
        <f t="shared" si="39"/>
        <v>196</v>
      </c>
      <c r="P381" s="53"/>
    </row>
    <row r="382" spans="1:16">
      <c r="A382" s="54">
        <v>374</v>
      </c>
      <c r="B382" s="53" t="s">
        <v>451</v>
      </c>
      <c r="C382" s="197">
        <v>44153</v>
      </c>
      <c r="D382" s="53">
        <v>48.05</v>
      </c>
      <c r="E382" s="53">
        <v>48.05</v>
      </c>
      <c r="F382" s="197" t="s">
        <v>336</v>
      </c>
      <c r="G382" s="197">
        <v>44116</v>
      </c>
      <c r="H382" s="197">
        <v>44147</v>
      </c>
      <c r="I382" s="197">
        <f t="shared" si="35"/>
        <v>44131.5</v>
      </c>
      <c r="J382" s="197">
        <v>44167</v>
      </c>
      <c r="K382" s="102">
        <f t="shared" si="36"/>
        <v>36</v>
      </c>
      <c r="L382" s="53">
        <f t="shared" si="37"/>
        <v>1730</v>
      </c>
      <c r="M382" s="197">
        <v>44173</v>
      </c>
      <c r="N382" s="55">
        <f t="shared" si="38"/>
        <v>6</v>
      </c>
      <c r="O382" s="198">
        <f t="shared" si="39"/>
        <v>288</v>
      </c>
      <c r="P382" s="53"/>
    </row>
    <row r="383" spans="1:16">
      <c r="A383" s="54">
        <v>375</v>
      </c>
      <c r="B383" s="53" t="s">
        <v>452</v>
      </c>
      <c r="C383" s="197">
        <v>44074</v>
      </c>
      <c r="D383" s="53">
        <v>3.55</v>
      </c>
      <c r="E383" s="53">
        <v>3.55</v>
      </c>
      <c r="F383" s="197" t="s">
        <v>336</v>
      </c>
      <c r="G383" s="197">
        <v>44036</v>
      </c>
      <c r="H383" s="197">
        <v>44067</v>
      </c>
      <c r="I383" s="197">
        <f t="shared" si="35"/>
        <v>44051.5</v>
      </c>
      <c r="J383" s="197">
        <v>44088</v>
      </c>
      <c r="K383" s="102">
        <f t="shared" si="36"/>
        <v>37</v>
      </c>
      <c r="L383" s="53">
        <f t="shared" si="37"/>
        <v>131</v>
      </c>
      <c r="M383" s="197">
        <v>44097</v>
      </c>
      <c r="N383" s="55">
        <f t="shared" si="38"/>
        <v>9</v>
      </c>
      <c r="O383" s="198">
        <f t="shared" si="39"/>
        <v>32</v>
      </c>
      <c r="P383" s="53"/>
    </row>
    <row r="384" spans="1:16">
      <c r="A384" s="54">
        <v>376</v>
      </c>
      <c r="B384" s="53" t="s">
        <v>453</v>
      </c>
      <c r="C384" s="197">
        <v>43953</v>
      </c>
      <c r="D384" s="53">
        <v>88.28</v>
      </c>
      <c r="E384" s="53">
        <v>88.28</v>
      </c>
      <c r="F384" s="197" t="s">
        <v>276</v>
      </c>
      <c r="G384" s="197">
        <v>43921</v>
      </c>
      <c r="H384" s="197">
        <v>43953</v>
      </c>
      <c r="I384" s="197">
        <f t="shared" si="35"/>
        <v>43937</v>
      </c>
      <c r="J384" s="197">
        <v>43970</v>
      </c>
      <c r="K384" s="102">
        <f t="shared" si="36"/>
        <v>33</v>
      </c>
      <c r="L384" s="53">
        <f t="shared" si="37"/>
        <v>2913</v>
      </c>
      <c r="M384" s="197">
        <v>43970</v>
      </c>
      <c r="N384" s="55">
        <f t="shared" si="38"/>
        <v>0</v>
      </c>
      <c r="O384" s="198">
        <f t="shared" si="39"/>
        <v>0</v>
      </c>
      <c r="P384" s="53"/>
    </row>
    <row r="385" spans="1:16">
      <c r="A385" s="54">
        <v>377</v>
      </c>
      <c r="B385" s="53" t="s">
        <v>453</v>
      </c>
      <c r="C385" s="197">
        <v>44050</v>
      </c>
      <c r="D385" s="53">
        <v>34.130000000000003</v>
      </c>
      <c r="E385" s="53">
        <v>34.130000000000003</v>
      </c>
      <c r="F385" s="197" t="s">
        <v>276</v>
      </c>
      <c r="G385" s="197">
        <v>44050</v>
      </c>
      <c r="H385" s="197">
        <v>44080</v>
      </c>
      <c r="I385" s="197">
        <f t="shared" si="35"/>
        <v>44065</v>
      </c>
      <c r="J385" s="197">
        <v>44063</v>
      </c>
      <c r="K385" s="102">
        <f t="shared" si="36"/>
        <v>-2</v>
      </c>
      <c r="L385" s="53">
        <f t="shared" si="37"/>
        <v>-68</v>
      </c>
      <c r="M385" s="197">
        <v>44063</v>
      </c>
      <c r="N385" s="55">
        <f t="shared" si="38"/>
        <v>0</v>
      </c>
      <c r="O385" s="198">
        <f t="shared" si="39"/>
        <v>0</v>
      </c>
      <c r="P385" s="53"/>
    </row>
    <row r="386" spans="1:16">
      <c r="A386" s="54">
        <v>378</v>
      </c>
      <c r="B386" s="53" t="s">
        <v>454</v>
      </c>
      <c r="C386" s="197">
        <v>44068</v>
      </c>
      <c r="D386" s="53">
        <v>10000</v>
      </c>
      <c r="E386" s="53">
        <v>10000</v>
      </c>
      <c r="F386" s="197" t="s">
        <v>336</v>
      </c>
      <c r="G386" s="197">
        <v>44068</v>
      </c>
      <c r="H386" s="197">
        <v>44068</v>
      </c>
      <c r="I386" s="197">
        <f t="shared" si="35"/>
        <v>44068</v>
      </c>
      <c r="J386" s="197">
        <v>44083</v>
      </c>
      <c r="K386" s="102">
        <f t="shared" si="36"/>
        <v>15</v>
      </c>
      <c r="L386" s="53">
        <f t="shared" si="37"/>
        <v>150000</v>
      </c>
      <c r="M386" s="197">
        <v>44095</v>
      </c>
      <c r="N386" s="55">
        <f t="shared" si="38"/>
        <v>12</v>
      </c>
      <c r="O386" s="198">
        <f t="shared" si="39"/>
        <v>120000</v>
      </c>
      <c r="P386" s="53"/>
    </row>
    <row r="387" spans="1:16">
      <c r="A387" s="54">
        <v>379</v>
      </c>
      <c r="B387" s="53" t="s">
        <v>455</v>
      </c>
      <c r="C387" s="197">
        <v>44228</v>
      </c>
      <c r="D387" s="53">
        <v>6000</v>
      </c>
      <c r="E387" s="53">
        <v>6000</v>
      </c>
      <c r="F387" s="197" t="s">
        <v>336</v>
      </c>
      <c r="G387" s="197">
        <v>44212</v>
      </c>
      <c r="H387" s="197">
        <v>44225</v>
      </c>
      <c r="I387" s="197">
        <f t="shared" si="35"/>
        <v>44218.5</v>
      </c>
      <c r="J387" s="197">
        <v>44251</v>
      </c>
      <c r="K387" s="102">
        <f t="shared" si="36"/>
        <v>33</v>
      </c>
      <c r="L387" s="53">
        <f t="shared" si="37"/>
        <v>198000</v>
      </c>
      <c r="M387" s="197">
        <v>44263</v>
      </c>
      <c r="N387" s="55">
        <f t="shared" si="38"/>
        <v>12</v>
      </c>
      <c r="O387" s="198">
        <f t="shared" si="39"/>
        <v>72000</v>
      </c>
      <c r="P387" s="53"/>
    </row>
    <row r="388" spans="1:16">
      <c r="A388" s="54">
        <v>380</v>
      </c>
      <c r="B388" s="53" t="s">
        <v>456</v>
      </c>
      <c r="C388" s="197">
        <v>43858</v>
      </c>
      <c r="D388" s="53">
        <v>94.54</v>
      </c>
      <c r="E388" s="53">
        <v>94.54</v>
      </c>
      <c r="F388" s="197" t="s">
        <v>336</v>
      </c>
      <c r="G388" s="197">
        <v>43856</v>
      </c>
      <c r="H388" s="197">
        <v>43856</v>
      </c>
      <c r="I388" s="197">
        <f t="shared" si="35"/>
        <v>43856</v>
      </c>
      <c r="J388" s="197">
        <v>44048</v>
      </c>
      <c r="K388" s="102">
        <f t="shared" si="36"/>
        <v>192</v>
      </c>
      <c r="L388" s="53">
        <f t="shared" si="37"/>
        <v>18152</v>
      </c>
      <c r="M388" s="197">
        <v>44057</v>
      </c>
      <c r="N388" s="55">
        <f t="shared" si="38"/>
        <v>9</v>
      </c>
      <c r="O388" s="198">
        <f t="shared" si="39"/>
        <v>851</v>
      </c>
      <c r="P388" s="53"/>
    </row>
    <row r="389" spans="1:16">
      <c r="A389" s="54">
        <v>381</v>
      </c>
      <c r="B389" s="53"/>
      <c r="C389" s="197"/>
      <c r="D389" s="53"/>
      <c r="E389" s="53"/>
      <c r="F389" s="197"/>
      <c r="G389" s="197"/>
      <c r="H389" s="197"/>
      <c r="I389" s="197"/>
      <c r="J389" s="197"/>
      <c r="K389" s="102"/>
      <c r="L389" s="53"/>
      <c r="M389" s="197"/>
      <c r="N389" s="55"/>
      <c r="O389" s="198"/>
      <c r="P389" s="53"/>
    </row>
    <row r="390" spans="1:16">
      <c r="A390" s="54">
        <v>382</v>
      </c>
      <c r="B390" s="53" t="s">
        <v>279</v>
      </c>
      <c r="C390" s="53"/>
      <c r="D390" s="53"/>
      <c r="E390" s="233">
        <f ca="1">SUM(E9:E383)</f>
        <v>501156.08180413046</v>
      </c>
      <c r="F390" s="53"/>
      <c r="G390" s="182"/>
      <c r="H390" s="53"/>
      <c r="I390" s="181"/>
      <c r="J390" s="56"/>
      <c r="K390" s="53"/>
      <c r="L390" s="233">
        <f ca="1">SUM(L9:L388)</f>
        <v>12794170</v>
      </c>
      <c r="M390" s="53"/>
      <c r="N390" s="53"/>
      <c r="O390" s="233">
        <f ca="1">SUM(O9:O388)</f>
        <v>1269386</v>
      </c>
      <c r="P390" s="53"/>
    </row>
    <row r="391" spans="1:16">
      <c r="A391" s="54">
        <v>383</v>
      </c>
      <c r="B391" s="53"/>
      <c r="C391" s="53"/>
      <c r="D391" s="53"/>
      <c r="E391" s="240"/>
      <c r="F391" s="53"/>
      <c r="G391" s="53"/>
      <c r="H391" s="53"/>
      <c r="I391" s="181"/>
      <c r="J391" s="56"/>
      <c r="K391" s="53"/>
      <c r="L391" s="240"/>
      <c r="M391" s="53"/>
      <c r="N391" s="53"/>
      <c r="O391" s="240"/>
      <c r="P391" s="53"/>
    </row>
    <row r="392" spans="1:16">
      <c r="A392" s="54">
        <v>384</v>
      </c>
      <c r="B392" s="53"/>
      <c r="C392" s="53"/>
      <c r="D392" s="53"/>
      <c r="E392" s="235"/>
      <c r="F392" s="53"/>
      <c r="G392" s="53"/>
      <c r="H392" s="53"/>
      <c r="I392" s="181"/>
      <c r="J392" s="56" t="s">
        <v>15</v>
      </c>
      <c r="K392" s="53"/>
      <c r="L392" s="182">
        <f ca="1">ROUND(+L390/E390,2)</f>
        <v>25.53</v>
      </c>
      <c r="M392" s="53"/>
      <c r="N392" s="53"/>
      <c r="O392" s="182">
        <f ca="1">ROUND(+O390/E390,2)</f>
        <v>2.5299999999999998</v>
      </c>
      <c r="P392" s="53"/>
    </row>
    <row r="393" spans="1:16">
      <c r="A393" s="232"/>
    </row>
    <row r="394" spans="1:16" ht="15.75">
      <c r="A394" s="232"/>
      <c r="L394" s="94"/>
      <c r="M394" s="94"/>
      <c r="N394" s="94"/>
      <c r="O394" s="94"/>
    </row>
    <row r="395" spans="1:16" ht="15.75">
      <c r="A395" s="232"/>
      <c r="L395" s="94"/>
      <c r="M395" s="94"/>
      <c r="N395" s="94"/>
      <c r="O395" s="94"/>
    </row>
    <row r="396" spans="1:16" ht="15.75">
      <c r="L396" s="94"/>
      <c r="M396" s="94"/>
      <c r="N396" s="94"/>
      <c r="O396" s="94"/>
    </row>
    <row r="397" spans="1:16" ht="15.75">
      <c r="L397" s="94"/>
      <c r="M397" s="94"/>
      <c r="N397" s="94"/>
      <c r="O397" s="94"/>
    </row>
    <row r="398" spans="1:16" ht="15.75">
      <c r="L398" s="94"/>
      <c r="M398" s="94"/>
      <c r="N398" s="94"/>
      <c r="O398" s="94"/>
    </row>
    <row r="399" spans="1:16" ht="15.75">
      <c r="L399" s="94"/>
      <c r="M399" s="94"/>
      <c r="N399" s="94"/>
      <c r="O399" s="94"/>
    </row>
    <row r="400" spans="1:16" ht="15.75">
      <c r="L400" s="94"/>
      <c r="M400" s="94"/>
      <c r="N400" s="94"/>
      <c r="O400" s="94"/>
    </row>
    <row r="401" spans="12:15" ht="15.75">
      <c r="L401" s="94"/>
      <c r="M401" s="94"/>
      <c r="N401" s="94"/>
      <c r="O401" s="94"/>
    </row>
  </sheetData>
  <autoFilter ref="A7:O392" xr:uid="{00000000-0009-0000-0000-000009000000}">
    <sortState xmlns:xlrd2="http://schemas.microsoft.com/office/spreadsheetml/2017/richdata2" ref="A8:R311">
      <sortCondition ref="B8:B311"/>
      <sortCondition ref="C8:C311"/>
    </sortState>
  </autoFilter>
  <sortState xmlns:xlrd2="http://schemas.microsoft.com/office/spreadsheetml/2017/richdata2" ref="B9:R308">
    <sortCondition ref="B9:B308"/>
  </sortState>
  <phoneticPr fontId="9" type="noConversion"/>
  <printOptions horizontalCentered="1"/>
  <pageMargins left="0.6" right="0.6" top="0.75" bottom="0.5" header="0.25" footer="0.24"/>
  <pageSetup scale="70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1:P34"/>
  <sheetViews>
    <sheetView zoomScaleNormal="100" zoomScaleSheetLayoutView="100" workbookViewId="0"/>
  </sheetViews>
  <sheetFormatPr defaultColWidth="9" defaultRowHeight="12.75"/>
  <cols>
    <col min="1" max="1" width="5.25" style="22" bestFit="1" customWidth="1"/>
    <col min="2" max="2" width="31.5" style="22" customWidth="1"/>
    <col min="3" max="3" width="9.5" style="31" bestFit="1" customWidth="1"/>
    <col min="4" max="4" width="10.125" style="32" bestFit="1" customWidth="1"/>
    <col min="5" max="5" width="10.75" style="32" bestFit="1" customWidth="1"/>
    <col min="6" max="6" width="11.125" style="31" bestFit="1" customWidth="1"/>
    <col min="7" max="7" width="8.75" style="31" bestFit="1" customWidth="1"/>
    <col min="8" max="9" width="9.75" style="31" bestFit="1" customWidth="1"/>
    <col min="10" max="10" width="10.5" style="31" bestFit="1" customWidth="1"/>
    <col min="11" max="11" width="8.375" style="22" bestFit="1" customWidth="1"/>
    <col min="12" max="12" width="12.125" style="22" bestFit="1" customWidth="1"/>
    <col min="13" max="13" width="10" style="22" bestFit="1" customWidth="1"/>
    <col min="14" max="14" width="7.375" style="22" bestFit="1" customWidth="1"/>
    <col min="15" max="15" width="11.5" style="22" bestFit="1" customWidth="1"/>
    <col min="16" max="16384" width="9" style="22"/>
  </cols>
  <sheetData>
    <row r="1" spans="1:16">
      <c r="A1" s="106" t="str">
        <f>CONCATENATE(COMPANY,"-",JURISDICTION)</f>
        <v>Atmos Energy Corporation-Kentucky</v>
      </c>
      <c r="B1" s="47"/>
      <c r="C1" s="48"/>
      <c r="D1" s="49"/>
      <c r="E1" s="49"/>
      <c r="F1" s="47"/>
      <c r="G1" s="48"/>
      <c r="H1" s="48"/>
      <c r="I1" s="48"/>
      <c r="J1" s="48"/>
      <c r="K1" s="48"/>
      <c r="L1" s="47"/>
      <c r="M1" s="53"/>
      <c r="N1" s="53"/>
      <c r="O1" s="262" t="s">
        <v>207</v>
      </c>
      <c r="P1" s="53"/>
    </row>
    <row r="2" spans="1:16">
      <c r="A2" s="107" t="s">
        <v>178</v>
      </c>
      <c r="B2" s="47"/>
      <c r="C2" s="48"/>
      <c r="D2" s="49"/>
      <c r="E2" s="49"/>
      <c r="F2" s="47"/>
      <c r="G2" s="48"/>
      <c r="H2" s="48"/>
      <c r="I2" s="48"/>
      <c r="J2" s="48"/>
      <c r="K2" s="48"/>
      <c r="L2" s="47"/>
      <c r="M2" s="47" t="s">
        <v>2</v>
      </c>
      <c r="N2" s="53"/>
      <c r="O2" s="53"/>
      <c r="P2" s="53"/>
    </row>
    <row r="3" spans="1:16">
      <c r="A3" s="265" t="str">
        <f>+'ATO-CWC2'!A4</f>
        <v>For the CWC Study Test Year Ended March 31, 2021</v>
      </c>
      <c r="B3" s="51"/>
      <c r="C3" s="48"/>
      <c r="D3" s="52"/>
      <c r="E3" s="52"/>
      <c r="F3" s="51"/>
      <c r="G3" s="48"/>
      <c r="H3" s="48"/>
      <c r="I3" s="48"/>
      <c r="J3" s="48"/>
      <c r="K3" s="48"/>
      <c r="L3" s="47"/>
      <c r="M3" s="47" t="s">
        <v>2</v>
      </c>
      <c r="N3" s="53"/>
      <c r="O3" s="53"/>
      <c r="P3" s="53"/>
    </row>
    <row r="4" spans="1:16">
      <c r="A4" s="50"/>
      <c r="P4" s="53"/>
    </row>
    <row r="5" spans="1:16">
      <c r="A5" s="53"/>
      <c r="B5" s="53"/>
      <c r="C5" s="181"/>
      <c r="D5" s="182"/>
      <c r="E5" s="182"/>
      <c r="F5" s="53"/>
      <c r="G5" s="181"/>
      <c r="H5" s="181"/>
      <c r="I5" s="183" t="s">
        <v>33</v>
      </c>
      <c r="J5" s="181"/>
      <c r="K5" s="181"/>
      <c r="L5" s="54" t="s">
        <v>150</v>
      </c>
      <c r="M5" s="53" t="s">
        <v>2</v>
      </c>
      <c r="N5" s="53"/>
      <c r="O5" s="137" t="s">
        <v>155</v>
      </c>
      <c r="P5" s="53"/>
    </row>
    <row r="6" spans="1:16">
      <c r="A6" s="53" t="s">
        <v>121</v>
      </c>
      <c r="B6" s="53"/>
      <c r="C6" s="184" t="s">
        <v>102</v>
      </c>
      <c r="D6" s="184" t="s">
        <v>102</v>
      </c>
      <c r="E6" s="184" t="s">
        <v>224</v>
      </c>
      <c r="F6" s="185" t="s">
        <v>120</v>
      </c>
      <c r="G6" s="183" t="s">
        <v>6</v>
      </c>
      <c r="H6" s="183"/>
      <c r="I6" s="183" t="s">
        <v>145</v>
      </c>
      <c r="J6" s="185" t="s">
        <v>146</v>
      </c>
      <c r="K6" s="54" t="s">
        <v>120</v>
      </c>
      <c r="L6" s="54" t="s">
        <v>120</v>
      </c>
      <c r="M6" s="186" t="s">
        <v>146</v>
      </c>
      <c r="N6" s="137" t="s">
        <v>72</v>
      </c>
      <c r="O6" s="137" t="s">
        <v>72</v>
      </c>
      <c r="P6" s="53"/>
    </row>
    <row r="7" spans="1:16">
      <c r="A7" s="187" t="s">
        <v>123</v>
      </c>
      <c r="B7" s="187" t="s">
        <v>5</v>
      </c>
      <c r="C7" s="188" t="s">
        <v>146</v>
      </c>
      <c r="D7" s="188" t="s">
        <v>125</v>
      </c>
      <c r="E7" s="188" t="s">
        <v>125</v>
      </c>
      <c r="F7" s="189" t="s">
        <v>83</v>
      </c>
      <c r="G7" s="189" t="s">
        <v>7</v>
      </c>
      <c r="H7" s="189" t="s">
        <v>8</v>
      </c>
      <c r="I7" s="189" t="s">
        <v>145</v>
      </c>
      <c r="J7" s="189" t="s">
        <v>148</v>
      </c>
      <c r="K7" s="190" t="s">
        <v>179</v>
      </c>
      <c r="L7" s="190" t="s">
        <v>136</v>
      </c>
      <c r="M7" s="191" t="s">
        <v>156</v>
      </c>
      <c r="N7" s="192" t="s">
        <v>136</v>
      </c>
      <c r="O7" s="190" t="s">
        <v>136</v>
      </c>
      <c r="P7" s="53"/>
    </row>
    <row r="8" spans="1:16">
      <c r="A8" s="55"/>
      <c r="B8" s="193" t="s">
        <v>13</v>
      </c>
      <c r="C8" s="194" t="s">
        <v>10</v>
      </c>
      <c r="D8" s="194" t="s">
        <v>11</v>
      </c>
      <c r="E8" s="194" t="s">
        <v>34</v>
      </c>
      <c r="F8" s="194" t="s">
        <v>12</v>
      </c>
      <c r="G8" s="194" t="s">
        <v>14</v>
      </c>
      <c r="H8" s="194" t="s">
        <v>180</v>
      </c>
      <c r="I8" s="194" t="s">
        <v>98</v>
      </c>
      <c r="J8" s="195" t="s">
        <v>103</v>
      </c>
      <c r="K8" s="196" t="s">
        <v>181</v>
      </c>
      <c r="L8" s="195" t="s">
        <v>182</v>
      </c>
      <c r="M8" s="195" t="s">
        <v>183</v>
      </c>
      <c r="N8" s="195" t="s">
        <v>185</v>
      </c>
      <c r="O8" s="195" t="s">
        <v>184</v>
      </c>
      <c r="P8" s="53"/>
    </row>
    <row r="9" spans="1:16">
      <c r="A9" s="54">
        <v>1</v>
      </c>
      <c r="B9" s="53" t="s">
        <v>277</v>
      </c>
      <c r="C9" s="197">
        <v>43927</v>
      </c>
      <c r="D9" s="53">
        <v>1100412.18</v>
      </c>
      <c r="E9" s="53">
        <v>103539.58</v>
      </c>
      <c r="F9" s="197" t="s">
        <v>276</v>
      </c>
      <c r="G9" s="197">
        <v>43891</v>
      </c>
      <c r="H9" s="197">
        <v>43921</v>
      </c>
      <c r="I9" s="197">
        <f t="shared" ref="I9:I19" si="0">IF(H9&lt;1," ",(((H9-G9)/2)+G9))</f>
        <v>43906</v>
      </c>
      <c r="J9" s="197">
        <v>43928</v>
      </c>
      <c r="K9" s="102">
        <f t="shared" ref="K9:K19" si="1">(ROUND(IF(H9&lt;1,J9-C9,J9-I9),0))</f>
        <v>22</v>
      </c>
      <c r="L9" s="53">
        <f t="shared" ref="L9:L19" si="2">ROUND(K9*E9,0)</f>
        <v>2277871</v>
      </c>
      <c r="M9" s="197">
        <f>+J9</f>
        <v>43928</v>
      </c>
      <c r="N9" s="55">
        <f t="shared" ref="N9:N19" si="3">IF(M9="",0,M9-J9)</f>
        <v>0</v>
      </c>
      <c r="O9" s="198">
        <f t="shared" ref="O9:O19" si="4">ROUND(+N9*E9,0)</f>
        <v>0</v>
      </c>
      <c r="P9" s="53"/>
    </row>
    <row r="10" spans="1:16">
      <c r="A10" s="54">
        <f t="shared" ref="A10:A19" si="5">1+A9</f>
        <v>2</v>
      </c>
      <c r="B10" s="53" t="str">
        <f>+B9</f>
        <v>ELEMENT FLEET</v>
      </c>
      <c r="C10" s="197">
        <v>43956</v>
      </c>
      <c r="D10" s="53">
        <v>1155526.92</v>
      </c>
      <c r="E10" s="53">
        <v>97455.46</v>
      </c>
      <c r="F10" s="197" t="str">
        <f>+F9</f>
        <v>Direct Deposit</v>
      </c>
      <c r="G10" s="197">
        <v>43922</v>
      </c>
      <c r="H10" s="197">
        <v>43951</v>
      </c>
      <c r="I10" s="197">
        <f t="shared" si="0"/>
        <v>43936.5</v>
      </c>
      <c r="J10" s="197">
        <v>43959</v>
      </c>
      <c r="K10" s="102">
        <f t="shared" si="1"/>
        <v>23</v>
      </c>
      <c r="L10" s="53">
        <f t="shared" si="2"/>
        <v>2241476</v>
      </c>
      <c r="M10" s="197">
        <f t="shared" ref="M10:M20" si="6">+J10</f>
        <v>43959</v>
      </c>
      <c r="N10" s="55">
        <f t="shared" si="3"/>
        <v>0</v>
      </c>
      <c r="O10" s="198">
        <f t="shared" si="4"/>
        <v>0</v>
      </c>
      <c r="P10" s="53"/>
    </row>
    <row r="11" spans="1:16">
      <c r="A11" s="54">
        <f t="shared" si="5"/>
        <v>3</v>
      </c>
      <c r="B11" s="53" t="str">
        <f>+B9</f>
        <v>ELEMENT FLEET</v>
      </c>
      <c r="C11" s="197">
        <v>43990</v>
      </c>
      <c r="D11" s="53">
        <v>1242246.6200000001</v>
      </c>
      <c r="E11" s="53">
        <v>92628.78</v>
      </c>
      <c r="F11" s="197" t="str">
        <f>+F9</f>
        <v>Direct Deposit</v>
      </c>
      <c r="G11" s="197">
        <v>43952</v>
      </c>
      <c r="H11" s="197">
        <v>43982</v>
      </c>
      <c r="I11" s="197">
        <f t="shared" si="0"/>
        <v>43967</v>
      </c>
      <c r="J11" s="197">
        <v>43991</v>
      </c>
      <c r="K11" s="102">
        <f t="shared" si="1"/>
        <v>24</v>
      </c>
      <c r="L11" s="53">
        <f t="shared" si="2"/>
        <v>2223091</v>
      </c>
      <c r="M11" s="197">
        <f t="shared" si="6"/>
        <v>43991</v>
      </c>
      <c r="N11" s="55">
        <f t="shared" si="3"/>
        <v>0</v>
      </c>
      <c r="O11" s="198">
        <f t="shared" si="4"/>
        <v>0</v>
      </c>
      <c r="P11" s="53"/>
    </row>
    <row r="12" spans="1:16">
      <c r="A12" s="54">
        <f t="shared" si="5"/>
        <v>4</v>
      </c>
      <c r="B12" s="53" t="str">
        <f>+B9</f>
        <v>ELEMENT FLEET</v>
      </c>
      <c r="C12" s="197">
        <v>44018</v>
      </c>
      <c r="D12" s="53">
        <v>1132600.6399999999</v>
      </c>
      <c r="E12" s="53">
        <v>96045.06</v>
      </c>
      <c r="F12" s="197" t="str">
        <f>+F9</f>
        <v>Direct Deposit</v>
      </c>
      <c r="G12" s="197">
        <v>43983</v>
      </c>
      <c r="H12" s="197">
        <v>44012</v>
      </c>
      <c r="I12" s="197">
        <f t="shared" si="0"/>
        <v>43997.5</v>
      </c>
      <c r="J12" s="197">
        <v>44020</v>
      </c>
      <c r="K12" s="102">
        <f t="shared" si="1"/>
        <v>23</v>
      </c>
      <c r="L12" s="53">
        <f t="shared" si="2"/>
        <v>2209036</v>
      </c>
      <c r="M12" s="197">
        <f t="shared" si="6"/>
        <v>44020</v>
      </c>
      <c r="N12" s="55">
        <f t="shared" si="3"/>
        <v>0</v>
      </c>
      <c r="O12" s="198">
        <f t="shared" si="4"/>
        <v>0</v>
      </c>
      <c r="P12" s="53"/>
    </row>
    <row r="13" spans="1:16">
      <c r="A13" s="54">
        <f t="shared" si="5"/>
        <v>5</v>
      </c>
      <c r="B13" s="53" t="str">
        <f>+B9</f>
        <v>ELEMENT FLEET</v>
      </c>
      <c r="C13" s="197">
        <v>44048</v>
      </c>
      <c r="D13" s="53">
        <v>1019995.37</v>
      </c>
      <c r="E13" s="53">
        <v>19502.78</v>
      </c>
      <c r="F13" s="197" t="str">
        <f>+F9</f>
        <v>Direct Deposit</v>
      </c>
      <c r="G13" s="197">
        <v>44013</v>
      </c>
      <c r="H13" s="197">
        <v>44043</v>
      </c>
      <c r="I13" s="197">
        <f t="shared" si="0"/>
        <v>44028</v>
      </c>
      <c r="J13" s="197">
        <v>44049</v>
      </c>
      <c r="K13" s="102">
        <f t="shared" si="1"/>
        <v>21</v>
      </c>
      <c r="L13" s="53">
        <f t="shared" si="2"/>
        <v>409558</v>
      </c>
      <c r="M13" s="197">
        <f t="shared" si="6"/>
        <v>44049</v>
      </c>
      <c r="N13" s="55">
        <f t="shared" si="3"/>
        <v>0</v>
      </c>
      <c r="O13" s="198">
        <f t="shared" si="4"/>
        <v>0</v>
      </c>
      <c r="P13" s="53"/>
    </row>
    <row r="14" spans="1:16">
      <c r="A14" s="54">
        <f t="shared" si="5"/>
        <v>6</v>
      </c>
      <c r="B14" s="53" t="str">
        <f>+B9</f>
        <v>ELEMENT FLEET</v>
      </c>
      <c r="C14" s="197">
        <v>44082</v>
      </c>
      <c r="D14" s="53">
        <v>1028842.36</v>
      </c>
      <c r="E14" s="53">
        <v>74097.5</v>
      </c>
      <c r="F14" s="197" t="str">
        <f>+F9</f>
        <v>Direct Deposit</v>
      </c>
      <c r="G14" s="197">
        <v>44044</v>
      </c>
      <c r="H14" s="197">
        <v>44074</v>
      </c>
      <c r="I14" s="197">
        <f t="shared" si="0"/>
        <v>44059</v>
      </c>
      <c r="J14" s="197">
        <v>44083</v>
      </c>
      <c r="K14" s="102">
        <f t="shared" si="1"/>
        <v>24</v>
      </c>
      <c r="L14" s="53">
        <f t="shared" si="2"/>
        <v>1778340</v>
      </c>
      <c r="M14" s="197">
        <f t="shared" si="6"/>
        <v>44083</v>
      </c>
      <c r="N14" s="55">
        <f t="shared" si="3"/>
        <v>0</v>
      </c>
      <c r="O14" s="198">
        <f t="shared" si="4"/>
        <v>0</v>
      </c>
      <c r="P14" s="53"/>
    </row>
    <row r="15" spans="1:16">
      <c r="A15" s="54">
        <f t="shared" si="5"/>
        <v>7</v>
      </c>
      <c r="B15" s="53" t="str">
        <f>+B9</f>
        <v>ELEMENT FLEET</v>
      </c>
      <c r="C15" s="197">
        <v>44109</v>
      </c>
      <c r="D15" s="53">
        <v>892974.63</v>
      </c>
      <c r="E15" s="53">
        <v>15761.96</v>
      </c>
      <c r="F15" s="197" t="str">
        <f>+F9</f>
        <v>Direct Deposit</v>
      </c>
      <c r="G15" s="197">
        <v>44075</v>
      </c>
      <c r="H15" s="197">
        <v>44104</v>
      </c>
      <c r="I15" s="197">
        <f t="shared" si="0"/>
        <v>44089.5</v>
      </c>
      <c r="J15" s="197">
        <v>44110</v>
      </c>
      <c r="K15" s="102">
        <f t="shared" si="1"/>
        <v>21</v>
      </c>
      <c r="L15" s="53">
        <f t="shared" si="2"/>
        <v>331001</v>
      </c>
      <c r="M15" s="197">
        <f t="shared" si="6"/>
        <v>44110</v>
      </c>
      <c r="N15" s="55">
        <f t="shared" si="3"/>
        <v>0</v>
      </c>
      <c r="O15" s="198">
        <f t="shared" si="4"/>
        <v>0</v>
      </c>
      <c r="P15" s="53"/>
    </row>
    <row r="16" spans="1:16">
      <c r="A16" s="54">
        <f t="shared" si="5"/>
        <v>8</v>
      </c>
      <c r="B16" s="53" t="str">
        <f>+B9</f>
        <v>ELEMENT FLEET</v>
      </c>
      <c r="C16" s="197">
        <v>44145</v>
      </c>
      <c r="D16" s="53">
        <v>903732.8</v>
      </c>
      <c r="E16" s="53">
        <v>44364.42</v>
      </c>
      <c r="F16" s="197" t="str">
        <f>+F9</f>
        <v>Direct Deposit</v>
      </c>
      <c r="G16" s="197">
        <v>44105</v>
      </c>
      <c r="H16" s="197">
        <v>44135</v>
      </c>
      <c r="I16" s="197">
        <f t="shared" si="0"/>
        <v>44120</v>
      </c>
      <c r="J16" s="197">
        <v>44147</v>
      </c>
      <c r="K16" s="102">
        <f t="shared" si="1"/>
        <v>27</v>
      </c>
      <c r="L16" s="53">
        <f t="shared" si="2"/>
        <v>1197839</v>
      </c>
      <c r="M16" s="197">
        <f t="shared" si="6"/>
        <v>44147</v>
      </c>
      <c r="N16" s="55">
        <f t="shared" si="3"/>
        <v>0</v>
      </c>
      <c r="O16" s="198">
        <f t="shared" si="4"/>
        <v>0</v>
      </c>
      <c r="P16" s="53"/>
    </row>
    <row r="17" spans="1:16">
      <c r="A17" s="54">
        <f t="shared" si="5"/>
        <v>9</v>
      </c>
      <c r="B17" s="53" t="str">
        <f>+B9</f>
        <v>ELEMENT FLEET</v>
      </c>
      <c r="C17" s="197">
        <v>44172</v>
      </c>
      <c r="D17" s="53">
        <v>957911.08</v>
      </c>
      <c r="E17" s="53">
        <v>72973.850000000006</v>
      </c>
      <c r="F17" s="197" t="str">
        <f>+F9</f>
        <v>Direct Deposit</v>
      </c>
      <c r="G17" s="197">
        <v>44136</v>
      </c>
      <c r="H17" s="197">
        <v>44165</v>
      </c>
      <c r="I17" s="197">
        <f t="shared" si="0"/>
        <v>44150.5</v>
      </c>
      <c r="J17" s="197">
        <v>44173</v>
      </c>
      <c r="K17" s="102">
        <f t="shared" si="1"/>
        <v>23</v>
      </c>
      <c r="L17" s="53">
        <f t="shared" si="2"/>
        <v>1678399</v>
      </c>
      <c r="M17" s="197">
        <f t="shared" si="6"/>
        <v>44173</v>
      </c>
      <c r="N17" s="55">
        <f t="shared" si="3"/>
        <v>0</v>
      </c>
      <c r="O17" s="198">
        <f t="shared" si="4"/>
        <v>0</v>
      </c>
      <c r="P17" s="53"/>
    </row>
    <row r="18" spans="1:16">
      <c r="A18" s="54">
        <f t="shared" si="5"/>
        <v>10</v>
      </c>
      <c r="B18" s="53" t="str">
        <f>+B9</f>
        <v>ELEMENT FLEET</v>
      </c>
      <c r="C18" s="197">
        <v>44201</v>
      </c>
      <c r="D18" s="53">
        <v>1026421.88</v>
      </c>
      <c r="E18" s="53">
        <v>72231.960000000006</v>
      </c>
      <c r="F18" s="197" t="str">
        <f>+F9</f>
        <v>Direct Deposit</v>
      </c>
      <c r="G18" s="197">
        <v>44166</v>
      </c>
      <c r="H18" s="197">
        <v>44196</v>
      </c>
      <c r="I18" s="197">
        <f t="shared" si="0"/>
        <v>44181</v>
      </c>
      <c r="J18" s="197">
        <v>44202</v>
      </c>
      <c r="K18" s="102">
        <f t="shared" si="1"/>
        <v>21</v>
      </c>
      <c r="L18" s="53">
        <f t="shared" si="2"/>
        <v>1516871</v>
      </c>
      <c r="M18" s="197">
        <f t="shared" si="6"/>
        <v>44202</v>
      </c>
      <c r="N18" s="55">
        <f t="shared" si="3"/>
        <v>0</v>
      </c>
      <c r="O18" s="198">
        <f t="shared" si="4"/>
        <v>0</v>
      </c>
      <c r="P18" s="53"/>
    </row>
    <row r="19" spans="1:16">
      <c r="A19" s="54">
        <f t="shared" si="5"/>
        <v>11</v>
      </c>
      <c r="B19" s="53" t="str">
        <f>+B9</f>
        <v>ELEMENT FLEET</v>
      </c>
      <c r="C19" s="197">
        <v>44232</v>
      </c>
      <c r="D19" s="53">
        <v>1241726.55</v>
      </c>
      <c r="E19" s="53">
        <v>38442.379999999997</v>
      </c>
      <c r="F19" s="197" t="str">
        <f>+F9</f>
        <v>Direct Deposit</v>
      </c>
      <c r="G19" s="197">
        <v>44197</v>
      </c>
      <c r="H19" s="197">
        <v>44227</v>
      </c>
      <c r="I19" s="197">
        <f t="shared" si="0"/>
        <v>44212</v>
      </c>
      <c r="J19" s="197">
        <v>44236</v>
      </c>
      <c r="K19" s="102">
        <f t="shared" si="1"/>
        <v>24</v>
      </c>
      <c r="L19" s="53">
        <f t="shared" si="2"/>
        <v>922617</v>
      </c>
      <c r="M19" s="197">
        <f t="shared" si="6"/>
        <v>44236</v>
      </c>
      <c r="N19" s="55">
        <f t="shared" si="3"/>
        <v>0</v>
      </c>
      <c r="O19" s="198">
        <f t="shared" si="4"/>
        <v>0</v>
      </c>
      <c r="P19" s="53"/>
    </row>
    <row r="20" spans="1:16">
      <c r="A20" s="54">
        <v>12</v>
      </c>
      <c r="B20" s="53" t="str">
        <f>+B9</f>
        <v>ELEMENT FLEET</v>
      </c>
      <c r="C20" s="197">
        <v>44263</v>
      </c>
      <c r="D20" s="53">
        <v>1063457.1100000001</v>
      </c>
      <c r="E20" s="53">
        <v>81981.95</v>
      </c>
      <c r="F20" s="197" t="str">
        <f>+F9</f>
        <v>Direct Deposit</v>
      </c>
      <c r="G20" s="197">
        <v>44228</v>
      </c>
      <c r="H20" s="197">
        <v>44255</v>
      </c>
      <c r="I20" s="197">
        <f t="shared" ref="I20" si="7">IF(H20&lt;1," ",(((H20-G20)/2)+G20))</f>
        <v>44241.5</v>
      </c>
      <c r="J20" s="197">
        <v>44264</v>
      </c>
      <c r="K20" s="102">
        <f t="shared" ref="K20" si="8">(ROUND(IF(H20&lt;1,J20-C20,J20-I20),0))</f>
        <v>23</v>
      </c>
      <c r="L20" s="53">
        <f t="shared" ref="L20" si="9">ROUND(K20*E20,0)</f>
        <v>1885585</v>
      </c>
      <c r="M20" s="197">
        <f t="shared" si="6"/>
        <v>44264</v>
      </c>
      <c r="N20" s="55">
        <f t="shared" ref="N20" si="10">IF(M20="",0,M20-J20)</f>
        <v>0</v>
      </c>
      <c r="O20" s="198">
        <f t="shared" ref="O20" si="11">ROUND(+N20*E20,0)</f>
        <v>0</v>
      </c>
      <c r="P20" s="53"/>
    </row>
    <row r="21" spans="1:16">
      <c r="A21" s="54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>
      <c r="A22" s="54">
        <v>14</v>
      </c>
      <c r="B22" s="53"/>
      <c r="C22" s="53"/>
      <c r="D22" s="53"/>
      <c r="E22" s="102">
        <f>SUM(E9:E20)</f>
        <v>809025.67999999993</v>
      </c>
      <c r="F22" s="53"/>
      <c r="G22" s="53"/>
      <c r="H22" s="53"/>
      <c r="I22" s="181"/>
      <c r="J22" s="56"/>
      <c r="K22" s="53"/>
      <c r="L22" s="102">
        <f>SUM(L9:L20)</f>
        <v>18671684</v>
      </c>
      <c r="M22" s="53"/>
      <c r="N22" s="53"/>
      <c r="O22" s="102">
        <f>SUM(O9:O20)</f>
        <v>0</v>
      </c>
      <c r="P22" s="53"/>
    </row>
    <row r="23" spans="1:16">
      <c r="A23" s="54">
        <v>15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>
      <c r="A24" s="54">
        <v>16</v>
      </c>
      <c r="B24" s="53" t="s">
        <v>202</v>
      </c>
      <c r="C24" s="53"/>
      <c r="D24" s="53"/>
      <c r="E24" s="53">
        <f>+'ATO-CWC1B'!E17</f>
        <v>20113733.958353151</v>
      </c>
      <c r="F24" s="53"/>
      <c r="G24" s="53"/>
      <c r="H24" s="53"/>
      <c r="I24" s="181"/>
      <c r="J24" s="56" t="s">
        <v>15</v>
      </c>
      <c r="K24" s="53"/>
      <c r="L24" s="182">
        <f>ROUND(+L22/E22,2)</f>
        <v>23.08</v>
      </c>
      <c r="M24" s="53"/>
      <c r="N24" s="53"/>
      <c r="O24" s="182">
        <f>ROUND(+O22/E22,2)</f>
        <v>0</v>
      </c>
      <c r="P24" s="53"/>
    </row>
    <row r="25" spans="1:16">
      <c r="A25" s="54">
        <v>17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>
      <c r="A26" s="54">
        <v>18</v>
      </c>
      <c r="B26" s="53" t="s">
        <v>225</v>
      </c>
      <c r="C26" s="181"/>
      <c r="D26" s="182"/>
      <c r="E26" s="199">
        <f>+E22/E24</f>
        <v>4.0222550505795811E-2</v>
      </c>
      <c r="F26" s="181"/>
      <c r="G26" s="181"/>
      <c r="H26" s="181"/>
      <c r="I26" s="181"/>
      <c r="J26" s="181"/>
      <c r="K26" s="53"/>
      <c r="L26" s="53"/>
      <c r="M26" s="53"/>
      <c r="N26" s="53"/>
      <c r="O26" s="53"/>
    </row>
    <row r="27" spans="1:16">
      <c r="A27" s="54">
        <v>19</v>
      </c>
      <c r="B27" s="53"/>
      <c r="C27" s="181"/>
      <c r="D27" s="182"/>
      <c r="E27" s="182"/>
      <c r="F27" s="181"/>
      <c r="G27" s="181"/>
      <c r="H27" s="181"/>
      <c r="I27" s="181"/>
      <c r="J27" s="181"/>
      <c r="K27" s="53"/>
      <c r="L27" s="53"/>
      <c r="M27" s="53"/>
      <c r="N27" s="53"/>
      <c r="O27" s="53"/>
    </row>
    <row r="28" spans="1:16">
      <c r="A28" s="54">
        <v>20</v>
      </c>
      <c r="B28" s="53" t="s">
        <v>226</v>
      </c>
      <c r="C28" s="181"/>
      <c r="D28" s="182"/>
      <c r="E28" s="53">
        <f ca="1">+'WP 5-1'!E390-'WP 5-1'!E166</f>
        <v>501093.08180413046</v>
      </c>
      <c r="F28" s="181"/>
      <c r="G28" s="181"/>
      <c r="H28" s="181"/>
      <c r="I28" s="181"/>
      <c r="J28" s="181"/>
      <c r="K28" s="53"/>
      <c r="L28" s="182"/>
      <c r="M28" s="53"/>
      <c r="N28" s="53"/>
      <c r="O28" s="53"/>
    </row>
    <row r="29" spans="1:16">
      <c r="A29" s="54">
        <v>21</v>
      </c>
      <c r="B29" s="53"/>
      <c r="C29" s="181"/>
      <c r="D29" s="182"/>
      <c r="E29" s="182"/>
      <c r="F29" s="181"/>
      <c r="G29" s="181"/>
      <c r="H29" s="181"/>
      <c r="I29" s="181"/>
      <c r="J29" s="181"/>
      <c r="K29" s="53"/>
      <c r="L29" s="53"/>
      <c r="M29" s="53"/>
      <c r="N29" s="53"/>
      <c r="O29" s="53"/>
    </row>
    <row r="30" spans="1:16">
      <c r="A30" s="54">
        <v>22</v>
      </c>
      <c r="B30" s="53" t="s">
        <v>227</v>
      </c>
      <c r="C30" s="181"/>
      <c r="D30" s="182"/>
      <c r="E30" s="53">
        <f ca="1">+E28/(1-E26)</f>
        <v>522092.99360826088</v>
      </c>
      <c r="F30" s="181"/>
      <c r="G30" s="181"/>
      <c r="H30" s="181"/>
      <c r="I30" s="181"/>
      <c r="J30" s="181"/>
      <c r="K30" s="53"/>
      <c r="L30" s="53"/>
      <c r="M30" s="53"/>
      <c r="N30" s="53"/>
      <c r="O30" s="53"/>
    </row>
    <row r="31" spans="1:16">
      <c r="A31" s="54">
        <v>23</v>
      </c>
      <c r="B31" s="53"/>
      <c r="C31" s="181"/>
      <c r="D31" s="182"/>
      <c r="E31" s="182"/>
      <c r="F31" s="181"/>
      <c r="G31" s="181"/>
      <c r="H31" s="181"/>
      <c r="I31" s="181"/>
      <c r="J31" s="181"/>
      <c r="K31" s="53"/>
      <c r="L31" s="53"/>
      <c r="M31" s="53"/>
      <c r="N31" s="53"/>
      <c r="O31" s="53"/>
    </row>
    <row r="32" spans="1:16">
      <c r="A32" s="54">
        <v>24</v>
      </c>
      <c r="B32" s="53" t="s">
        <v>228</v>
      </c>
      <c r="C32" s="181"/>
      <c r="D32" s="182"/>
      <c r="E32" s="53">
        <f ca="1">+E30-E28</f>
        <v>20999.911804130417</v>
      </c>
      <c r="F32" s="181"/>
      <c r="G32" s="181"/>
      <c r="H32" s="181"/>
      <c r="I32" s="181"/>
      <c r="J32" s="181"/>
      <c r="K32" s="53"/>
      <c r="L32" s="53"/>
      <c r="M32" s="53"/>
      <c r="N32" s="53"/>
      <c r="O32" s="53"/>
    </row>
    <row r="33" spans="1:15">
      <c r="A33" s="53"/>
      <c r="B33" s="53"/>
      <c r="C33" s="181"/>
      <c r="D33" s="182"/>
      <c r="E33" s="182"/>
      <c r="F33" s="181"/>
      <c r="G33" s="181"/>
      <c r="H33" s="181"/>
      <c r="I33" s="181"/>
      <c r="J33" s="181"/>
      <c r="K33" s="53"/>
      <c r="L33" s="53"/>
      <c r="M33" s="53"/>
      <c r="N33" s="53"/>
      <c r="O33" s="53"/>
    </row>
    <row r="34" spans="1:15">
      <c r="A34" s="53"/>
      <c r="B34" s="53"/>
      <c r="C34" s="181"/>
      <c r="D34" s="182"/>
      <c r="E34" s="182"/>
      <c r="F34" s="181"/>
      <c r="G34" s="181"/>
      <c r="H34" s="181"/>
      <c r="I34" s="181"/>
      <c r="J34" s="181"/>
      <c r="K34" s="53"/>
      <c r="L34" s="53"/>
      <c r="M34" s="53"/>
      <c r="N34" s="53"/>
      <c r="O34" s="53"/>
    </row>
  </sheetData>
  <autoFilter ref="A7:O24" xr:uid="{00000000-0009-0000-0000-00000A000000}">
    <sortState xmlns:xlrd2="http://schemas.microsoft.com/office/spreadsheetml/2017/richdata2" ref="A8:R311">
      <sortCondition ref="B8:B311"/>
      <sortCondition ref="C8:C311"/>
    </sortState>
  </autoFilter>
  <printOptions horizontalCentered="1"/>
  <pageMargins left="0.6" right="0.6" top="0.75" bottom="0.5" header="0.25" footer="0.24"/>
  <pageSetup scale="70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>
    <tabColor theme="6" tint="0.59999389629810485"/>
    <pageSetUpPr fitToPage="1"/>
  </sheetPr>
  <dimension ref="A1:N59"/>
  <sheetViews>
    <sheetView showGridLines="0" zoomScaleNormal="100" zoomScaleSheetLayoutView="90" workbookViewId="0"/>
  </sheetViews>
  <sheetFormatPr defaultColWidth="9.625" defaultRowHeight="12.75"/>
  <cols>
    <col min="1" max="1" width="4.375" style="22" customWidth="1"/>
    <col min="2" max="2" width="57.75" style="22" bestFit="1" customWidth="1"/>
    <col min="3" max="3" width="11.5" style="22" bestFit="1" customWidth="1"/>
    <col min="4" max="4" width="10" style="22" customWidth="1"/>
    <col min="5" max="5" width="9.75" style="22" customWidth="1"/>
    <col min="6" max="6" width="2.5" style="22" customWidth="1"/>
    <col min="7" max="16384" width="9.625" style="22"/>
  </cols>
  <sheetData>
    <row r="1" spans="1:9" ht="14.25">
      <c r="A1" s="105"/>
      <c r="B1" s="105"/>
      <c r="C1" s="105"/>
      <c r="D1" s="105"/>
      <c r="E1" s="105"/>
      <c r="F1" s="141" t="s">
        <v>197</v>
      </c>
    </row>
    <row r="2" spans="1:9" ht="15">
      <c r="A2" s="373" t="str">
        <f>CONCATENATE(COMPANY,"-",JURISDICTION)</f>
        <v>Atmos Energy Corporation-Kentucky</v>
      </c>
      <c r="B2" s="373"/>
      <c r="C2" s="373"/>
      <c r="D2" s="373"/>
      <c r="E2" s="373"/>
      <c r="F2" s="105"/>
      <c r="G2" s="256"/>
      <c r="H2" s="256"/>
      <c r="I2" s="256"/>
    </row>
    <row r="3" spans="1:9" ht="15">
      <c r="A3" s="120" t="s">
        <v>100</v>
      </c>
      <c r="B3" s="120"/>
      <c r="C3" s="120"/>
      <c r="D3" s="120"/>
      <c r="E3" s="120"/>
      <c r="F3" s="118"/>
      <c r="G3" s="256"/>
      <c r="H3" s="256"/>
      <c r="I3" s="256"/>
    </row>
    <row r="4" spans="1:9" ht="13.9" customHeight="1">
      <c r="A4" s="370" t="str">
        <f>'ATO-CWC2'!A4</f>
        <v>For the CWC Study Test Year Ended March 31, 2021</v>
      </c>
      <c r="B4" s="370"/>
      <c r="C4" s="370"/>
      <c r="D4" s="370"/>
      <c r="E4" s="370"/>
      <c r="F4" s="370"/>
    </row>
    <row r="5" spans="1:9" ht="15">
      <c r="A5" s="123"/>
      <c r="B5" s="123"/>
      <c r="C5" s="123"/>
      <c r="D5" s="123"/>
      <c r="E5" s="123"/>
      <c r="F5" s="105"/>
    </row>
    <row r="6" spans="1:9" ht="15">
      <c r="A6" s="123"/>
      <c r="B6" s="123"/>
      <c r="C6" s="123"/>
      <c r="D6" s="123"/>
      <c r="E6" s="142" t="s">
        <v>150</v>
      </c>
      <c r="F6" s="105"/>
    </row>
    <row r="7" spans="1:9" ht="14.25">
      <c r="A7" s="143" t="s">
        <v>121</v>
      </c>
      <c r="B7" s="118"/>
      <c r="C7" s="143" t="s">
        <v>152</v>
      </c>
      <c r="D7" s="143" t="s">
        <v>136</v>
      </c>
      <c r="E7" s="143" t="s">
        <v>136</v>
      </c>
      <c r="F7" s="118"/>
      <c r="G7" s="256"/>
      <c r="H7" s="256"/>
      <c r="I7" s="256"/>
    </row>
    <row r="8" spans="1:9" ht="14.25">
      <c r="A8" s="144" t="s">
        <v>123</v>
      </c>
      <c r="B8" s="144" t="s">
        <v>124</v>
      </c>
      <c r="C8" s="144" t="s">
        <v>153</v>
      </c>
      <c r="D8" s="144" t="s">
        <v>126</v>
      </c>
      <c r="E8" s="144" t="s">
        <v>76</v>
      </c>
      <c r="F8" s="118"/>
      <c r="G8" s="256"/>
      <c r="H8" s="256"/>
      <c r="I8" s="256"/>
    </row>
    <row r="9" spans="1:9" ht="15.75">
      <c r="A9" s="145"/>
      <c r="B9" s="58" t="s">
        <v>128</v>
      </c>
      <c r="C9" s="143" t="s">
        <v>129</v>
      </c>
      <c r="D9" s="146" t="s">
        <v>84</v>
      </c>
      <c r="E9" s="147" t="s">
        <v>131</v>
      </c>
      <c r="F9" s="143"/>
      <c r="G9" s="21"/>
      <c r="I9" s="256"/>
    </row>
    <row r="10" spans="1:9" ht="14.25">
      <c r="A10" s="105"/>
      <c r="B10" s="105"/>
      <c r="C10" s="105"/>
      <c r="D10" s="105"/>
      <c r="E10" s="105"/>
      <c r="F10" s="105"/>
    </row>
    <row r="11" spans="1:9" ht="15">
      <c r="A11" s="148">
        <f>1+A10</f>
        <v>1</v>
      </c>
      <c r="B11" s="149" t="s">
        <v>101</v>
      </c>
      <c r="C11" s="105"/>
      <c r="D11" s="105"/>
      <c r="E11" s="105"/>
      <c r="F11" s="118"/>
      <c r="G11" s="256"/>
      <c r="H11" s="256"/>
      <c r="I11" s="256"/>
    </row>
    <row r="12" spans="1:9" ht="14.25">
      <c r="A12" s="148">
        <f t="shared" ref="A12:A21" si="0">1+A11</f>
        <v>2</v>
      </c>
      <c r="B12" s="118" t="s">
        <v>252</v>
      </c>
      <c r="C12" s="118">
        <v>0</v>
      </c>
      <c r="D12" s="116">
        <f>'ATO-CWC4'!I40-1</f>
        <v>13</v>
      </c>
      <c r="E12" s="150">
        <f>SUM(C12/$C$20)*$D$12</f>
        <v>0</v>
      </c>
      <c r="F12" s="118"/>
      <c r="G12" s="256"/>
      <c r="H12" s="256"/>
      <c r="I12" s="256"/>
    </row>
    <row r="13" spans="1:9" ht="14.25">
      <c r="A13" s="148">
        <f t="shared" si="0"/>
        <v>3</v>
      </c>
      <c r="B13" s="118"/>
      <c r="C13" s="118"/>
      <c r="D13" s="116"/>
      <c r="E13" s="118"/>
      <c r="F13" s="118"/>
      <c r="G13" s="256"/>
      <c r="H13" s="316"/>
      <c r="I13" s="256"/>
    </row>
    <row r="14" spans="1:9" ht="14.25">
      <c r="A14" s="148">
        <f t="shared" si="0"/>
        <v>4</v>
      </c>
      <c r="B14" s="118" t="s">
        <v>162</v>
      </c>
      <c r="C14" s="118"/>
      <c r="D14" s="116"/>
      <c r="E14" s="118"/>
      <c r="F14" s="118"/>
      <c r="G14" s="256"/>
      <c r="H14" s="316"/>
      <c r="I14" s="256"/>
    </row>
    <row r="15" spans="1:9" ht="14.25">
      <c r="A15" s="148">
        <f t="shared" si="0"/>
        <v>5</v>
      </c>
      <c r="B15" s="118" t="s">
        <v>253</v>
      </c>
      <c r="C15" s="118">
        <v>0</v>
      </c>
      <c r="D15" s="116">
        <f>(365/8)+31+7</f>
        <v>83.625</v>
      </c>
      <c r="E15" s="150">
        <f>SUM(C15/$C$20)*$D$15</f>
        <v>0</v>
      </c>
      <c r="F15" s="118"/>
      <c r="G15" s="256"/>
      <c r="H15" s="316"/>
      <c r="I15" s="256"/>
    </row>
    <row r="16" spans="1:9" ht="14.25">
      <c r="A16" s="148">
        <f t="shared" si="0"/>
        <v>6</v>
      </c>
      <c r="B16" s="118"/>
      <c r="C16" s="118"/>
      <c r="D16" s="116"/>
      <c r="E16" s="118"/>
      <c r="F16" s="118"/>
      <c r="G16" s="256"/>
      <c r="H16" s="316"/>
      <c r="I16" s="256"/>
    </row>
    <row r="17" spans="1:10" ht="14.25">
      <c r="A17" s="148">
        <f t="shared" si="0"/>
        <v>7</v>
      </c>
      <c r="B17" s="118" t="s">
        <v>201</v>
      </c>
      <c r="C17" s="105"/>
      <c r="D17" s="105"/>
      <c r="E17" s="105"/>
      <c r="F17" s="118"/>
      <c r="G17" s="256"/>
      <c r="H17" s="316"/>
      <c r="I17" s="256"/>
    </row>
    <row r="18" spans="1:10" ht="14.25">
      <c r="A18" s="148">
        <f t="shared" si="0"/>
        <v>8</v>
      </c>
      <c r="B18" s="118" t="s">
        <v>253</v>
      </c>
      <c r="C18" s="317">
        <v>355960.4768</v>
      </c>
      <c r="D18" s="116">
        <f>(365/8)+31+7</f>
        <v>83.625</v>
      </c>
      <c r="E18" s="151">
        <f>SUM(C18/$C$20)*$D$15</f>
        <v>83.625</v>
      </c>
      <c r="F18" s="118"/>
      <c r="G18" s="256"/>
      <c r="H18" s="316"/>
      <c r="I18" s="256"/>
    </row>
    <row r="19" spans="1:10" ht="14.25">
      <c r="A19" s="148">
        <f t="shared" si="0"/>
        <v>9</v>
      </c>
      <c r="B19" s="118"/>
      <c r="C19" s="118"/>
      <c r="D19" s="116"/>
      <c r="E19" s="118"/>
      <c r="F19" s="118"/>
      <c r="G19" s="256"/>
      <c r="H19" s="316"/>
      <c r="I19" s="318"/>
    </row>
    <row r="20" spans="1:10" ht="15">
      <c r="A20" s="148">
        <f t="shared" si="0"/>
        <v>10</v>
      </c>
      <c r="B20" s="152" t="s">
        <v>177</v>
      </c>
      <c r="C20" s="118">
        <f>SUM(C12:C18)</f>
        <v>355960.4768</v>
      </c>
      <c r="D20" s="116"/>
      <c r="E20" s="39">
        <f>SUM(E12:E18)</f>
        <v>83.625</v>
      </c>
      <c r="F20" s="118"/>
      <c r="G20" s="256"/>
      <c r="H20" s="316"/>
      <c r="I20" s="256"/>
    </row>
    <row r="21" spans="1:10" ht="14.25">
      <c r="A21" s="148">
        <f t="shared" si="0"/>
        <v>11</v>
      </c>
      <c r="B21" s="105"/>
      <c r="C21" s="105"/>
      <c r="D21" s="105"/>
      <c r="E21" s="105"/>
      <c r="F21" s="118"/>
      <c r="G21" s="256"/>
      <c r="H21" s="316"/>
      <c r="I21" s="256"/>
    </row>
    <row r="22" spans="1:10" ht="15">
      <c r="A22" s="148">
        <v>12</v>
      </c>
      <c r="B22" s="153" t="s">
        <v>249</v>
      </c>
      <c r="C22" s="152"/>
      <c r="D22" s="149"/>
      <c r="E22" s="154"/>
      <c r="F22" s="118"/>
      <c r="G22" s="319"/>
      <c r="H22" s="316"/>
      <c r="I22" s="256"/>
    </row>
    <row r="23" spans="1:10" ht="15">
      <c r="A23" s="148">
        <v>13</v>
      </c>
      <c r="B23" s="238" t="s">
        <v>242</v>
      </c>
      <c r="C23" s="152"/>
      <c r="D23" s="149"/>
      <c r="F23" s="118"/>
      <c r="G23" s="319"/>
      <c r="H23" s="320"/>
      <c r="I23" s="256"/>
    </row>
    <row r="24" spans="1:10" ht="15">
      <c r="A24" s="148">
        <v>14</v>
      </c>
      <c r="B24" s="238" t="s">
        <v>243</v>
      </c>
      <c r="C24" s="152"/>
      <c r="D24" s="149"/>
      <c r="E24" s="117">
        <v>346.39129575819396</v>
      </c>
      <c r="F24" s="118"/>
      <c r="G24" s="319"/>
      <c r="H24" s="320"/>
      <c r="I24" s="256"/>
    </row>
    <row r="25" spans="1:10" ht="15">
      <c r="A25" s="148">
        <v>15</v>
      </c>
      <c r="B25" s="238"/>
      <c r="C25" s="152"/>
      <c r="D25" s="149"/>
      <c r="E25" s="117"/>
      <c r="F25" s="118"/>
      <c r="G25" s="319"/>
      <c r="H25" s="320"/>
      <c r="I25" s="256"/>
    </row>
    <row r="26" spans="1:10" ht="15">
      <c r="A26" s="148">
        <v>16</v>
      </c>
      <c r="B26" s="238" t="s">
        <v>250</v>
      </c>
      <c r="C26" s="152"/>
      <c r="D26" s="149"/>
      <c r="E26" s="117"/>
      <c r="F26" s="118"/>
      <c r="G26" s="319"/>
      <c r="H26" s="320"/>
      <c r="I26" s="256"/>
    </row>
    <row r="27" spans="1:10" ht="15">
      <c r="A27" s="148">
        <v>17</v>
      </c>
      <c r="B27" s="238" t="s">
        <v>251</v>
      </c>
      <c r="C27" s="152"/>
      <c r="D27" s="149"/>
      <c r="E27" s="117">
        <f>(365/2)+31</f>
        <v>213.5</v>
      </c>
      <c r="F27" s="118"/>
      <c r="G27" s="319"/>
      <c r="H27" s="320"/>
      <c r="I27" s="256"/>
    </row>
    <row r="28" spans="1:10" ht="14.25">
      <c r="A28" s="148">
        <v>18</v>
      </c>
      <c r="B28" s="118"/>
      <c r="C28" s="45"/>
      <c r="D28" s="113"/>
      <c r="E28" s="105"/>
      <c r="F28" s="118"/>
      <c r="G28" s="319"/>
      <c r="H28" s="320"/>
      <c r="I28" s="256"/>
    </row>
    <row r="29" spans="1:10" ht="15">
      <c r="A29" s="148">
        <v>19</v>
      </c>
      <c r="B29" s="238" t="s">
        <v>256</v>
      </c>
      <c r="C29" s="45"/>
      <c r="D29" s="113"/>
      <c r="E29" s="115">
        <v>58.819980519574926</v>
      </c>
      <c r="F29" s="118"/>
      <c r="G29" s="319"/>
      <c r="H29" s="320"/>
      <c r="I29" s="256"/>
    </row>
    <row r="30" spans="1:10" ht="14.25">
      <c r="A30" s="148">
        <v>20</v>
      </c>
      <c r="B30" s="118"/>
      <c r="C30" s="45"/>
      <c r="D30" s="113"/>
      <c r="E30" s="105"/>
      <c r="F30" s="118"/>
      <c r="G30" s="319"/>
      <c r="H30" s="320"/>
      <c r="I30" s="256"/>
    </row>
    <row r="31" spans="1:10" ht="15">
      <c r="A31" s="148">
        <v>21</v>
      </c>
      <c r="B31" s="152" t="s">
        <v>255</v>
      </c>
      <c r="C31" s="118"/>
      <c r="D31" s="105"/>
      <c r="E31" s="39">
        <v>40.188120970667796</v>
      </c>
      <c r="F31" s="118"/>
      <c r="G31" s="256"/>
      <c r="H31" s="316"/>
      <c r="I31" s="256"/>
      <c r="J31" s="256"/>
    </row>
    <row r="32" spans="1:10" ht="14.25">
      <c r="A32" s="148">
        <v>22</v>
      </c>
      <c r="B32" s="105"/>
      <c r="C32" s="105"/>
      <c r="D32" s="105"/>
      <c r="E32" s="105"/>
      <c r="F32" s="118"/>
      <c r="G32" s="15"/>
      <c r="H32" s="316"/>
      <c r="I32" s="256" t="s">
        <v>2</v>
      </c>
      <c r="J32" s="256"/>
    </row>
    <row r="33" spans="1:14" ht="15">
      <c r="A33" s="148">
        <v>23</v>
      </c>
      <c r="B33" s="149" t="s">
        <v>245</v>
      </c>
      <c r="C33" s="105"/>
      <c r="D33" s="105"/>
      <c r="E33" s="105"/>
      <c r="F33" s="118"/>
      <c r="G33" s="256"/>
      <c r="H33" s="321"/>
      <c r="I33" s="321"/>
      <c r="J33" s="256"/>
    </row>
    <row r="34" spans="1:14" ht="15">
      <c r="A34" s="148">
        <v>24</v>
      </c>
      <c r="B34" s="149" t="s">
        <v>246</v>
      </c>
      <c r="C34" s="105"/>
      <c r="D34" s="105"/>
      <c r="F34" s="118"/>
      <c r="G34" s="256"/>
      <c r="H34" s="321"/>
      <c r="I34" s="321"/>
      <c r="J34" s="256"/>
    </row>
    <row r="35" spans="1:14" ht="15">
      <c r="A35" s="148">
        <v>25</v>
      </c>
      <c r="B35" s="149" t="s">
        <v>247</v>
      </c>
      <c r="C35" s="105"/>
      <c r="D35" s="105"/>
      <c r="E35" s="117">
        <v>0</v>
      </c>
      <c r="F35" s="118"/>
      <c r="G35" s="256"/>
      <c r="H35" s="321"/>
      <c r="I35" s="321"/>
      <c r="J35" s="256"/>
    </row>
    <row r="36" spans="1:14" ht="14.25">
      <c r="A36" s="148">
        <v>26</v>
      </c>
      <c r="B36" s="105"/>
      <c r="C36" s="105"/>
      <c r="D36" s="105"/>
      <c r="E36" s="105"/>
      <c r="F36" s="118"/>
      <c r="G36" s="256"/>
      <c r="H36" s="322"/>
      <c r="I36" s="322"/>
      <c r="J36" s="322"/>
      <c r="K36" s="323"/>
      <c r="L36" s="324"/>
      <c r="M36" s="15"/>
      <c r="N36" s="15"/>
    </row>
    <row r="37" spans="1:14" ht="15">
      <c r="A37" s="148">
        <v>27</v>
      </c>
      <c r="B37" s="152" t="s">
        <v>189</v>
      </c>
      <c r="C37" s="118"/>
      <c r="D37" s="116"/>
      <c r="E37" s="118"/>
      <c r="F37" s="105"/>
      <c r="G37" s="256"/>
      <c r="H37" s="322"/>
      <c r="I37" s="322"/>
      <c r="J37" s="322"/>
      <c r="K37" s="323"/>
      <c r="L37" s="324"/>
      <c r="M37" s="15"/>
      <c r="N37" s="15"/>
    </row>
    <row r="38" spans="1:14" ht="15">
      <c r="A38" s="148">
        <v>28</v>
      </c>
      <c r="B38" s="152" t="s">
        <v>190</v>
      </c>
      <c r="C38" s="118"/>
      <c r="D38" s="116"/>
      <c r="E38" s="39">
        <v>59</v>
      </c>
      <c r="F38" s="105"/>
      <c r="G38" s="256"/>
      <c r="H38" s="322"/>
      <c r="I38" s="322"/>
      <c r="J38" s="322"/>
      <c r="K38" s="323"/>
      <c r="L38" s="324"/>
      <c r="M38" s="15"/>
      <c r="N38" s="15"/>
    </row>
    <row r="39" spans="1:14" ht="14.25">
      <c r="A39" s="148"/>
      <c r="B39" s="105"/>
      <c r="C39" s="105"/>
      <c r="D39" s="105"/>
      <c r="E39" s="105"/>
      <c r="F39" s="105"/>
      <c r="G39" s="256"/>
      <c r="H39" s="322"/>
      <c r="I39" s="322"/>
      <c r="J39" s="322"/>
      <c r="K39" s="323"/>
      <c r="L39" s="324"/>
      <c r="M39" s="15"/>
      <c r="N39" s="15"/>
    </row>
    <row r="40" spans="1:14">
      <c r="A40" s="325"/>
      <c r="B40" s="53"/>
      <c r="C40" s="53"/>
      <c r="D40" s="53"/>
      <c r="E40" s="53"/>
      <c r="F40" s="53"/>
      <c r="G40" s="256"/>
      <c r="H40" s="322"/>
      <c r="I40" s="322"/>
      <c r="J40" s="322"/>
      <c r="K40" s="323"/>
      <c r="L40" s="324"/>
      <c r="M40" s="15"/>
      <c r="N40" s="15"/>
    </row>
    <row r="41" spans="1:14">
      <c r="A41" s="325"/>
      <c r="B41" s="53"/>
      <c r="C41" s="53"/>
      <c r="D41" s="53"/>
      <c r="E41" s="53"/>
      <c r="F41" s="53"/>
      <c r="G41" s="256"/>
      <c r="H41" s="322"/>
      <c r="I41" s="322"/>
      <c r="J41" s="322"/>
      <c r="K41" s="323"/>
      <c r="L41" s="324"/>
      <c r="M41" s="15"/>
      <c r="N41" s="15"/>
    </row>
    <row r="42" spans="1:14">
      <c r="A42" s="326"/>
      <c r="G42" s="256"/>
      <c r="H42" s="322"/>
      <c r="I42" s="322"/>
      <c r="J42" s="322"/>
      <c r="K42" s="323"/>
      <c r="L42" s="324"/>
      <c r="M42" s="15"/>
      <c r="N42" s="15"/>
    </row>
    <row r="43" spans="1:14">
      <c r="A43" s="326"/>
      <c r="G43" s="327"/>
      <c r="H43" s="322"/>
      <c r="I43" s="322"/>
      <c r="J43" s="322"/>
      <c r="K43" s="323"/>
      <c r="L43" s="324"/>
      <c r="M43" s="15"/>
      <c r="N43" s="15"/>
    </row>
    <row r="44" spans="1:14">
      <c r="A44" s="326"/>
      <c r="G44" s="256"/>
      <c r="H44" s="322"/>
      <c r="I44" s="322"/>
      <c r="J44" s="322"/>
      <c r="K44" s="323"/>
      <c r="L44" s="324"/>
      <c r="M44" s="15"/>
      <c r="N44" s="15"/>
    </row>
    <row r="45" spans="1:14">
      <c r="A45" s="256"/>
      <c r="G45" s="256"/>
      <c r="H45" s="322"/>
      <c r="I45" s="322"/>
      <c r="J45" s="322"/>
      <c r="K45" s="323"/>
      <c r="L45" s="324"/>
      <c r="M45" s="15"/>
      <c r="N45" s="15"/>
    </row>
    <row r="46" spans="1:14">
      <c r="G46" s="256"/>
      <c r="H46" s="328"/>
    </row>
    <row r="47" spans="1:14">
      <c r="G47" s="256"/>
      <c r="H47" s="329"/>
    </row>
    <row r="48" spans="1:14">
      <c r="G48" s="256"/>
      <c r="H48" s="256"/>
    </row>
    <row r="49" spans="7:8">
      <c r="G49" s="256"/>
      <c r="H49" s="256"/>
    </row>
    <row r="50" spans="7:8">
      <c r="G50" s="256"/>
      <c r="H50" s="256"/>
    </row>
    <row r="51" spans="7:8">
      <c r="G51" s="256"/>
      <c r="H51" s="256"/>
    </row>
    <row r="52" spans="7:8">
      <c r="G52" s="256"/>
      <c r="H52" s="256"/>
    </row>
    <row r="53" spans="7:8">
      <c r="G53" s="256"/>
      <c r="H53" s="256"/>
    </row>
    <row r="54" spans="7:8">
      <c r="H54" s="256"/>
    </row>
    <row r="55" spans="7:8">
      <c r="H55" s="256"/>
    </row>
    <row r="56" spans="7:8">
      <c r="H56" s="256"/>
    </row>
    <row r="57" spans="7:8">
      <c r="H57" s="256"/>
    </row>
    <row r="58" spans="7:8">
      <c r="H58" s="256"/>
    </row>
    <row r="59" spans="7:8">
      <c r="H59" s="256"/>
    </row>
  </sheetData>
  <mergeCells count="2">
    <mergeCell ref="A2:E2"/>
    <mergeCell ref="A4:F4"/>
  </mergeCells>
  <phoneticPr fontId="9" type="noConversion"/>
  <printOptions horizontalCentered="1"/>
  <pageMargins left="0.6" right="0.6" top="0.75" bottom="0.5" header="0.25" footer="0.24"/>
  <pageSetup scale="95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>
    <tabColor theme="6" tint="0.39997558519241921"/>
    <pageSetUpPr fitToPage="1"/>
  </sheetPr>
  <dimension ref="A1:J24"/>
  <sheetViews>
    <sheetView showGridLines="0" zoomScaleNormal="100" zoomScaleSheetLayoutView="95" workbookViewId="0"/>
  </sheetViews>
  <sheetFormatPr defaultColWidth="9.625" defaultRowHeight="12.75"/>
  <cols>
    <col min="1" max="1" width="4.875" style="22" customWidth="1"/>
    <col min="2" max="2" width="29.625" style="22" bestFit="1" customWidth="1"/>
    <col min="3" max="4" width="10.625" style="22" bestFit="1" customWidth="1"/>
    <col min="5" max="5" width="9.375" style="22" customWidth="1"/>
    <col min="6" max="6" width="9.625" style="22"/>
    <col min="7" max="7" width="8.75" style="22" bestFit="1" customWidth="1"/>
    <col min="8" max="8" width="13.75" style="22" bestFit="1" customWidth="1"/>
    <col min="9" max="9" width="3.125" style="22" customWidth="1"/>
    <col min="10" max="10" width="13.625" style="22" bestFit="1" customWidth="1"/>
    <col min="11" max="16384" width="9.625" style="22"/>
  </cols>
  <sheetData>
    <row r="1" spans="1:10" ht="15">
      <c r="A1" s="119" t="str">
        <f>CONCATENATE(COMPANY,"-",JURISDICTION)</f>
        <v>Atmos Energy Corporation-Kentucky</v>
      </c>
      <c r="B1" s="58"/>
      <c r="C1" s="58"/>
      <c r="D1" s="58"/>
      <c r="E1" s="58"/>
      <c r="F1" s="58"/>
      <c r="G1" s="58"/>
      <c r="H1" s="58"/>
      <c r="I1" s="141" t="s">
        <v>200</v>
      </c>
    </row>
    <row r="2" spans="1:10" ht="15">
      <c r="A2" s="120" t="s">
        <v>117</v>
      </c>
      <c r="B2" s="58"/>
      <c r="C2" s="58"/>
      <c r="D2" s="58"/>
      <c r="E2" s="58"/>
      <c r="F2" s="58"/>
      <c r="G2" s="58"/>
      <c r="H2" s="58"/>
      <c r="I2" s="118"/>
    </row>
    <row r="3" spans="1:10" ht="14.25">
      <c r="A3" s="370" t="str">
        <f>'ATO-CWC2'!A4</f>
        <v>For the CWC Study Test Year Ended March 31, 2021</v>
      </c>
      <c r="B3" s="370"/>
      <c r="C3" s="370"/>
      <c r="D3" s="370"/>
      <c r="E3" s="370"/>
      <c r="F3" s="370"/>
      <c r="G3" s="370"/>
      <c r="H3" s="370"/>
      <c r="I3" s="118"/>
    </row>
    <row r="4" spans="1:10" ht="15">
      <c r="A4" s="123"/>
      <c r="B4" s="142"/>
      <c r="C4" s="142"/>
      <c r="D4" s="142"/>
      <c r="E4" s="142"/>
      <c r="F4" s="142"/>
      <c r="G4" s="142"/>
      <c r="H4" s="142"/>
      <c r="I4" s="105"/>
    </row>
    <row r="5" spans="1:10" ht="14.25">
      <c r="A5" s="105"/>
      <c r="B5" s="105"/>
      <c r="C5" s="105"/>
      <c r="D5" s="105"/>
      <c r="E5" s="105"/>
      <c r="F5" s="105"/>
      <c r="G5" s="105"/>
      <c r="H5" s="105"/>
      <c r="I5" s="105"/>
    </row>
    <row r="6" spans="1:10" ht="14.25">
      <c r="A6" s="118" t="s">
        <v>121</v>
      </c>
      <c r="B6" s="118" t="s">
        <v>149</v>
      </c>
      <c r="C6" s="143" t="s">
        <v>62</v>
      </c>
      <c r="D6" s="143" t="s">
        <v>138</v>
      </c>
      <c r="E6" s="118"/>
      <c r="F6" s="118"/>
      <c r="G6" s="143" t="s">
        <v>77</v>
      </c>
      <c r="H6" s="143" t="s">
        <v>150</v>
      </c>
      <c r="I6" s="105"/>
    </row>
    <row r="7" spans="1:10" ht="14.25">
      <c r="A7" s="156" t="s">
        <v>123</v>
      </c>
      <c r="B7" s="156" t="s">
        <v>146</v>
      </c>
      <c r="C7" s="156" t="s">
        <v>63</v>
      </c>
      <c r="D7" s="144" t="s">
        <v>63</v>
      </c>
      <c r="E7" s="144" t="s">
        <v>33</v>
      </c>
      <c r="F7" s="144" t="s">
        <v>151</v>
      </c>
      <c r="G7" s="144" t="s">
        <v>126</v>
      </c>
      <c r="H7" s="144" t="s">
        <v>89</v>
      </c>
      <c r="I7" s="105"/>
    </row>
    <row r="8" spans="1:10" ht="14.25">
      <c r="A8" s="45"/>
      <c r="B8" s="145" t="s">
        <v>128</v>
      </c>
      <c r="C8" s="145" t="s">
        <v>84</v>
      </c>
      <c r="D8" s="145" t="s">
        <v>131</v>
      </c>
      <c r="E8" s="145" t="s">
        <v>132</v>
      </c>
      <c r="F8" s="157" t="s">
        <v>133</v>
      </c>
      <c r="G8" s="157" t="s">
        <v>134</v>
      </c>
      <c r="H8" s="118"/>
      <c r="I8" s="105"/>
    </row>
    <row r="9" spans="1:10" ht="14.25">
      <c r="A9" s="105"/>
      <c r="B9" s="105"/>
      <c r="C9" s="105"/>
      <c r="D9" s="105"/>
      <c r="E9" s="105"/>
      <c r="F9" s="105"/>
      <c r="G9" s="105"/>
      <c r="H9" s="105"/>
      <c r="I9" s="105"/>
    </row>
    <row r="10" spans="1:10" ht="15">
      <c r="A10" s="118">
        <v>1</v>
      </c>
      <c r="B10" s="237" t="s">
        <v>110</v>
      </c>
      <c r="C10" s="105"/>
      <c r="D10" s="105"/>
      <c r="E10" s="105"/>
      <c r="F10" s="105"/>
      <c r="G10" s="105"/>
      <c r="H10" s="105"/>
      <c r="I10" s="105"/>
    </row>
    <row r="11" spans="1:10" ht="14.25">
      <c r="A11" s="118">
        <v>2</v>
      </c>
      <c r="B11" s="155">
        <v>43997</v>
      </c>
      <c r="C11" s="330">
        <v>43922</v>
      </c>
      <c r="D11" s="330">
        <v>44286</v>
      </c>
      <c r="E11" s="39">
        <f>(D11+1-C11)/2</f>
        <v>182.5</v>
      </c>
      <c r="F11" s="159">
        <v>0.25</v>
      </c>
      <c r="G11" s="39">
        <f>SUM(B11-(C11+E11))</f>
        <v>-107.5</v>
      </c>
      <c r="H11" s="39">
        <f>G11*F11</f>
        <v>-26.875</v>
      </c>
      <c r="I11" s="105"/>
      <c r="J11" s="331"/>
    </row>
    <row r="12" spans="1:10" ht="14.25">
      <c r="A12" s="118">
        <v>3</v>
      </c>
      <c r="B12" s="155">
        <v>44089</v>
      </c>
      <c r="C12" s="330">
        <f>C11</f>
        <v>43922</v>
      </c>
      <c r="D12" s="330">
        <f>D11</f>
        <v>44286</v>
      </c>
      <c r="E12" s="39">
        <f>(D12+1-C12)/2</f>
        <v>182.5</v>
      </c>
      <c r="F12" s="159">
        <v>0.25</v>
      </c>
      <c r="G12" s="39">
        <f>SUM(B12-(C12+E12))</f>
        <v>-15.5</v>
      </c>
      <c r="H12" s="39">
        <f>G12*F12</f>
        <v>-3.875</v>
      </c>
      <c r="I12" s="105"/>
      <c r="J12" s="331"/>
    </row>
    <row r="13" spans="1:10" ht="14.25">
      <c r="A13" s="118">
        <v>4</v>
      </c>
      <c r="B13" s="155">
        <v>44180</v>
      </c>
      <c r="C13" s="330">
        <f>C11</f>
        <v>43922</v>
      </c>
      <c r="D13" s="330">
        <f>D11</f>
        <v>44286</v>
      </c>
      <c r="E13" s="39">
        <f>(D13+1-C13)/2</f>
        <v>182.5</v>
      </c>
      <c r="F13" s="159">
        <v>0.25</v>
      </c>
      <c r="G13" s="39">
        <f>SUM(B13-(C13+E13))</f>
        <v>75.5</v>
      </c>
      <c r="H13" s="39">
        <f>G13*F13</f>
        <v>18.875</v>
      </c>
      <c r="I13" s="105"/>
      <c r="J13" s="331"/>
    </row>
    <row r="14" spans="1:10" ht="14.25">
      <c r="A14" s="118">
        <v>5</v>
      </c>
      <c r="B14" s="155">
        <v>43905</v>
      </c>
      <c r="C14" s="330">
        <f>C11</f>
        <v>43922</v>
      </c>
      <c r="D14" s="330">
        <f>D11</f>
        <v>44286</v>
      </c>
      <c r="E14" s="39">
        <f>(D14+1-C14)/2</f>
        <v>182.5</v>
      </c>
      <c r="F14" s="160">
        <v>0.25</v>
      </c>
      <c r="G14" s="40">
        <f>SUM(B14-(C14+E14))</f>
        <v>-199.5</v>
      </c>
      <c r="H14" s="40">
        <f>G14*F14</f>
        <v>-49.875</v>
      </c>
      <c r="I14" s="105"/>
      <c r="J14" s="331"/>
    </row>
    <row r="15" spans="1:10" ht="14.25">
      <c r="A15" s="118">
        <v>6</v>
      </c>
      <c r="B15" s="105"/>
      <c r="C15" s="105"/>
      <c r="D15" s="105"/>
      <c r="E15" s="105"/>
      <c r="F15" s="118"/>
      <c r="G15" s="105"/>
      <c r="H15" s="105"/>
      <c r="I15" s="105"/>
    </row>
    <row r="16" spans="1:10" ht="15" thickBot="1">
      <c r="A16" s="118">
        <v>7</v>
      </c>
      <c r="B16" s="118"/>
      <c r="C16" s="105"/>
      <c r="D16" s="105"/>
      <c r="E16" s="105"/>
      <c r="F16" s="159">
        <f>SUM(F11:F15)</f>
        <v>1</v>
      </c>
      <c r="G16" s="118" t="s">
        <v>2</v>
      </c>
      <c r="H16" s="162">
        <f>SUM(H11:H15)</f>
        <v>-61.75</v>
      </c>
      <c r="I16" s="118"/>
    </row>
    <row r="17" spans="1:9" ht="15.75" thickTop="1">
      <c r="A17" s="105"/>
      <c r="B17" s="237"/>
      <c r="C17" s="105"/>
      <c r="D17" s="105"/>
      <c r="E17" s="105"/>
      <c r="F17" s="105"/>
      <c r="G17" s="105"/>
      <c r="H17" s="105"/>
      <c r="I17" s="105"/>
    </row>
    <row r="18" spans="1:9" ht="14.25">
      <c r="A18" s="105"/>
      <c r="B18" s="105"/>
      <c r="C18" s="105"/>
      <c r="D18" s="105"/>
      <c r="E18" s="105"/>
      <c r="F18" s="105"/>
      <c r="G18" s="105"/>
      <c r="H18" s="105"/>
      <c r="I18" s="105"/>
    </row>
    <row r="20" spans="1:9">
      <c r="B20" s="332"/>
    </row>
    <row r="21" spans="1:9">
      <c r="D21" s="332"/>
    </row>
    <row r="22" spans="1:9">
      <c r="D22" s="332"/>
    </row>
    <row r="23" spans="1:9">
      <c r="D23" s="332"/>
    </row>
    <row r="24" spans="1:9">
      <c r="D24" s="332"/>
    </row>
  </sheetData>
  <mergeCells count="1">
    <mergeCell ref="A3:H3"/>
  </mergeCells>
  <phoneticPr fontId="9" type="noConversion"/>
  <printOptions horizontalCentered="1"/>
  <pageMargins left="0.6" right="0.6" top="0.75" bottom="0.5" header="0.25" footer="0.24"/>
  <pageSetup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>
    <tabColor theme="6" tint="0.39997558519241921"/>
    <pageSetUpPr fitToPage="1"/>
  </sheetPr>
  <dimension ref="A1:I19"/>
  <sheetViews>
    <sheetView showGridLines="0" zoomScaleNormal="100" zoomScaleSheetLayoutView="100" workbookViewId="0"/>
  </sheetViews>
  <sheetFormatPr defaultColWidth="9.625" defaultRowHeight="12.75"/>
  <cols>
    <col min="1" max="1" width="4.125" style="11" customWidth="1"/>
    <col min="2" max="2" width="29.625" style="11" customWidth="1"/>
    <col min="3" max="6" width="9.625" style="11"/>
    <col min="7" max="7" width="11" style="11" bestFit="1" customWidth="1"/>
    <col min="8" max="8" width="13.25" style="11" bestFit="1" customWidth="1"/>
    <col min="9" max="9" width="4.5" style="11" customWidth="1"/>
    <col min="10" max="16384" width="9.625" style="11"/>
  </cols>
  <sheetData>
    <row r="1" spans="1:9" ht="15">
      <c r="A1" s="119" t="str">
        <f>CONCATENATE(COMPANY,"-",JURISDICTION)</f>
        <v>Atmos Energy Corporation-Kentucky</v>
      </c>
      <c r="B1" s="58"/>
      <c r="C1" s="58"/>
      <c r="D1" s="58"/>
      <c r="E1" s="58"/>
      <c r="F1" s="58"/>
      <c r="G1" s="58"/>
      <c r="H1" s="58"/>
      <c r="I1" s="141" t="s">
        <v>199</v>
      </c>
    </row>
    <row r="2" spans="1:9" ht="15">
      <c r="A2" s="120" t="s">
        <v>240</v>
      </c>
      <c r="B2" s="58"/>
      <c r="C2" s="58"/>
      <c r="D2" s="58"/>
      <c r="E2" s="58"/>
      <c r="F2" s="58"/>
      <c r="G2" s="58"/>
      <c r="H2" s="58"/>
      <c r="I2" s="118"/>
    </row>
    <row r="3" spans="1:9" ht="15">
      <c r="A3" s="374" t="str">
        <f>'ATO-CWC2'!A4</f>
        <v>For the CWC Study Test Year Ended March 31, 2021</v>
      </c>
      <c r="B3" s="374"/>
      <c r="C3" s="374"/>
      <c r="D3" s="374"/>
      <c r="E3" s="374"/>
      <c r="F3" s="374"/>
      <c r="G3" s="374"/>
      <c r="H3" s="374"/>
      <c r="I3" s="118"/>
    </row>
    <row r="4" spans="1:9" ht="15">
      <c r="A4" s="123"/>
      <c r="B4" s="142"/>
      <c r="C4" s="142"/>
      <c r="D4" s="142"/>
      <c r="E4" s="142"/>
      <c r="F4" s="142"/>
      <c r="G4" s="142"/>
      <c r="H4" s="142"/>
      <c r="I4" s="105"/>
    </row>
    <row r="5" spans="1:9" ht="14.2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4.25">
      <c r="A6" s="118" t="s">
        <v>121</v>
      </c>
      <c r="B6" s="118"/>
      <c r="C6" s="143" t="s">
        <v>62</v>
      </c>
      <c r="D6" s="143" t="s">
        <v>138</v>
      </c>
      <c r="E6" s="118"/>
      <c r="F6" s="118"/>
      <c r="G6" s="143" t="s">
        <v>77</v>
      </c>
      <c r="H6" s="143" t="s">
        <v>150</v>
      </c>
      <c r="I6" s="105"/>
    </row>
    <row r="7" spans="1:9" ht="14.25">
      <c r="A7" s="156" t="s">
        <v>123</v>
      </c>
      <c r="B7" s="144" t="s">
        <v>176</v>
      </c>
      <c r="C7" s="156" t="s">
        <v>63</v>
      </c>
      <c r="D7" s="156" t="s">
        <v>63</v>
      </c>
      <c r="E7" s="144" t="s">
        <v>33</v>
      </c>
      <c r="F7" s="144" t="s">
        <v>151</v>
      </c>
      <c r="G7" s="144" t="s">
        <v>126</v>
      </c>
      <c r="H7" s="144" t="s">
        <v>89</v>
      </c>
      <c r="I7" s="105"/>
    </row>
    <row r="8" spans="1:9" ht="14.25">
      <c r="A8" s="45"/>
      <c r="B8" s="145" t="s">
        <v>128</v>
      </c>
      <c r="C8" s="145" t="s">
        <v>129</v>
      </c>
      <c r="D8" s="145" t="s">
        <v>84</v>
      </c>
      <c r="E8" s="145" t="s">
        <v>131</v>
      </c>
      <c r="F8" s="145" t="s">
        <v>132</v>
      </c>
      <c r="G8" s="157" t="s">
        <v>133</v>
      </c>
      <c r="H8" s="157" t="s">
        <v>134</v>
      </c>
      <c r="I8" s="105"/>
    </row>
    <row r="9" spans="1:9" ht="14.25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5">
      <c r="A10" s="118">
        <v>1</v>
      </c>
      <c r="B10" s="237" t="s">
        <v>241</v>
      </c>
      <c r="C10" s="105"/>
      <c r="D10" s="105"/>
      <c r="E10" s="105"/>
      <c r="F10" s="105"/>
      <c r="G10" s="105"/>
      <c r="H10" s="105"/>
      <c r="I10" s="105"/>
    </row>
    <row r="11" spans="1:9" ht="14.25">
      <c r="A11" s="118">
        <v>2</v>
      </c>
      <c r="B11" s="155">
        <f>'ATO-CWC7'!B11</f>
        <v>43997</v>
      </c>
      <c r="C11" s="158">
        <f>'ATO-CWC7'!C11</f>
        <v>43922</v>
      </c>
      <c r="D11" s="158">
        <f>'ATO-CWC7'!D11</f>
        <v>44286</v>
      </c>
      <c r="E11" s="39">
        <f>(D11+1-C11)/2</f>
        <v>182.5</v>
      </c>
      <c r="F11" s="159">
        <v>0.25</v>
      </c>
      <c r="G11" s="39">
        <f>SUM(B11-(C11+E11))</f>
        <v>-107.5</v>
      </c>
      <c r="H11" s="39">
        <f>G11*F11</f>
        <v>-26.875</v>
      </c>
      <c r="I11" s="105"/>
    </row>
    <row r="12" spans="1:9" ht="14.25">
      <c r="A12" s="118">
        <v>3</v>
      </c>
      <c r="B12" s="155">
        <f>'ATO-CWC7'!B12</f>
        <v>44089</v>
      </c>
      <c r="C12" s="158">
        <f>'ATO-CWC7'!C12</f>
        <v>43922</v>
      </c>
      <c r="D12" s="158">
        <f>'ATO-CWC7'!D12</f>
        <v>44286</v>
      </c>
      <c r="E12" s="39">
        <f>(D12+1-C12)/2</f>
        <v>182.5</v>
      </c>
      <c r="F12" s="159">
        <v>0.25</v>
      </c>
      <c r="G12" s="39">
        <f>SUM(B12-(C12+E12))</f>
        <v>-15.5</v>
      </c>
      <c r="H12" s="39">
        <f>G12*F12</f>
        <v>-3.875</v>
      </c>
      <c r="I12" s="105"/>
    </row>
    <row r="13" spans="1:9" ht="14.25">
      <c r="A13" s="118">
        <v>4</v>
      </c>
      <c r="B13" s="155">
        <f>'ATO-CWC7'!B13</f>
        <v>44180</v>
      </c>
      <c r="C13" s="158">
        <f>'ATO-CWC7'!C13</f>
        <v>43922</v>
      </c>
      <c r="D13" s="158">
        <f>'ATO-CWC7'!D13</f>
        <v>44286</v>
      </c>
      <c r="E13" s="39">
        <f>(D13+1-C13)/2</f>
        <v>182.5</v>
      </c>
      <c r="F13" s="159">
        <v>0.25</v>
      </c>
      <c r="G13" s="39">
        <f>SUM(B13-(C13+E13))</f>
        <v>75.5</v>
      </c>
      <c r="H13" s="39">
        <f>G13*F13</f>
        <v>18.875</v>
      </c>
      <c r="I13" s="105"/>
    </row>
    <row r="14" spans="1:9" ht="14.25">
      <c r="A14" s="118">
        <v>5</v>
      </c>
      <c r="B14" s="155">
        <f>'ATO-CWC7'!B14</f>
        <v>43905</v>
      </c>
      <c r="C14" s="158">
        <f>'ATO-CWC7'!C14</f>
        <v>43922</v>
      </c>
      <c r="D14" s="158">
        <f>'ATO-CWC7'!D14</f>
        <v>44286</v>
      </c>
      <c r="E14" s="39">
        <f>(D14+1-C14)/2</f>
        <v>182.5</v>
      </c>
      <c r="F14" s="160">
        <v>0.25</v>
      </c>
      <c r="G14" s="40">
        <f>SUM(B14-(C14+E14))</f>
        <v>-199.5</v>
      </c>
      <c r="H14" s="40">
        <f>G14*F14</f>
        <v>-49.875</v>
      </c>
      <c r="I14" s="105"/>
    </row>
    <row r="15" spans="1:9" ht="14.25">
      <c r="A15" s="118">
        <v>6</v>
      </c>
      <c r="B15" s="161"/>
      <c r="C15" s="105"/>
      <c r="D15" s="105"/>
      <c r="E15" s="105"/>
      <c r="F15" s="118"/>
      <c r="G15" s="105"/>
      <c r="H15" s="105"/>
      <c r="I15" s="105"/>
    </row>
    <row r="16" spans="1:9" ht="15" thickBot="1">
      <c r="A16" s="118">
        <v>7</v>
      </c>
      <c r="B16" s="118"/>
      <c r="C16" s="105"/>
      <c r="D16" s="105"/>
      <c r="E16" s="105"/>
      <c r="F16" s="159">
        <f>SUM(F11:F15)</f>
        <v>1</v>
      </c>
      <c r="G16" s="118" t="s">
        <v>2</v>
      </c>
      <c r="H16" s="162">
        <f>SUM(H11:H15)</f>
        <v>-61.75</v>
      </c>
      <c r="I16" s="118"/>
    </row>
    <row r="17" spans="1:9" ht="15.75" thickTop="1">
      <c r="A17" s="37"/>
      <c r="B17" s="38"/>
      <c r="C17" s="37"/>
      <c r="D17" s="37"/>
      <c r="E17" s="37"/>
      <c r="F17" s="37"/>
      <c r="G17" s="37"/>
      <c r="H17" s="37"/>
      <c r="I17" s="37"/>
    </row>
    <row r="18" spans="1:9" ht="14.25">
      <c r="A18" s="37"/>
      <c r="B18" s="37"/>
      <c r="C18" s="37"/>
      <c r="D18" s="37"/>
      <c r="E18" s="37"/>
      <c r="F18" s="37"/>
      <c r="G18" s="37"/>
      <c r="H18" s="37"/>
      <c r="I18" s="37"/>
    </row>
    <row r="19" spans="1:9" ht="14.25">
      <c r="A19" s="37"/>
      <c r="B19" s="37"/>
      <c r="C19" s="37"/>
      <c r="D19" s="37"/>
      <c r="E19" s="37"/>
      <c r="F19" s="37"/>
      <c r="G19" s="37"/>
      <c r="H19" s="37"/>
      <c r="I19" s="37"/>
    </row>
  </sheetData>
  <mergeCells count="1">
    <mergeCell ref="A3:H3"/>
  </mergeCells>
  <phoneticPr fontId="9" type="noConversion"/>
  <printOptions horizontalCentered="1"/>
  <pageMargins left="0.6" right="0.6" top="0.75" bottom="0.5" header="0.25" footer="0.24"/>
  <pageSetup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 codeName="Sheet51">
    <tabColor theme="6" tint="0.59999389629810485"/>
    <pageSetUpPr fitToPage="1"/>
  </sheetPr>
  <dimension ref="A1:U224"/>
  <sheetViews>
    <sheetView showGridLines="0" zoomScaleNormal="100" zoomScaleSheetLayoutView="85" workbookViewId="0"/>
  </sheetViews>
  <sheetFormatPr defaultColWidth="10.875" defaultRowHeight="12.75"/>
  <cols>
    <col min="1" max="1" width="4.75" style="333" customWidth="1"/>
    <col min="2" max="2" width="19.375" style="333" customWidth="1"/>
    <col min="3" max="3" width="10.125" style="333" bestFit="1" customWidth="1"/>
    <col min="4" max="4" width="14.75" style="333" bestFit="1" customWidth="1"/>
    <col min="5" max="5" width="10" style="333" customWidth="1"/>
    <col min="6" max="6" width="9.75" style="333" customWidth="1"/>
    <col min="7" max="7" width="10.125" style="333" bestFit="1" customWidth="1"/>
    <col min="8" max="16" width="9.125" style="333" customWidth="1"/>
    <col min="17" max="17" width="8.625" style="333" bestFit="1" customWidth="1"/>
    <col min="18" max="18" width="13.5" style="333" bestFit="1" customWidth="1"/>
    <col min="19" max="19" width="11.5" style="333" bestFit="1" customWidth="1"/>
    <col min="20" max="20" width="11.125" style="339" customWidth="1"/>
    <col min="21" max="21" width="3.125" style="333" customWidth="1"/>
    <col min="22" max="16384" width="10.875" style="333"/>
  </cols>
  <sheetData>
    <row r="1" spans="1:21" ht="14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41" t="s">
        <v>198</v>
      </c>
      <c r="U1" s="206"/>
    </row>
    <row r="2" spans="1:21" ht="15">
      <c r="A2" s="119" t="str">
        <f>CONCATENATE(COMPANY,"-",JURISDICTION)</f>
        <v>Atmos Energy Corporation-Kentucky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201"/>
    </row>
    <row r="3" spans="1:21" ht="15">
      <c r="A3" s="120" t="s">
        <v>30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5"/>
      <c r="U3" s="201"/>
    </row>
    <row r="4" spans="1:21" ht="13.9" customHeight="1">
      <c r="A4" s="372" t="str">
        <f>'ATO-CWC2'!A4</f>
        <v>For the CWC Study Test Year Ended March 31, 2021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201"/>
    </row>
    <row r="5" spans="1:21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2"/>
      <c r="U5" s="201"/>
    </row>
    <row r="6" spans="1:21">
      <c r="A6" s="201"/>
      <c r="B6" s="201"/>
      <c r="C6" s="201"/>
      <c r="D6" s="201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4"/>
      <c r="U6" s="206"/>
    </row>
    <row r="7" spans="1:21">
      <c r="A7" s="205" t="s">
        <v>16</v>
      </c>
      <c r="B7" s="206"/>
      <c r="C7" s="206"/>
      <c r="D7" s="201"/>
      <c r="E7" s="206"/>
      <c r="F7" s="207"/>
      <c r="G7" s="207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4"/>
      <c r="U7" s="206"/>
    </row>
    <row r="8" spans="1:21" ht="15">
      <c r="A8" s="206" t="s">
        <v>121</v>
      </c>
      <c r="B8" s="208" t="s">
        <v>2</v>
      </c>
      <c r="C8" s="208"/>
      <c r="D8" s="208"/>
      <c r="E8" s="209"/>
      <c r="F8" s="210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 t="s">
        <v>77</v>
      </c>
      <c r="R8" s="212" t="s">
        <v>17</v>
      </c>
      <c r="S8" s="208" t="s">
        <v>18</v>
      </c>
      <c r="T8" s="208" t="s">
        <v>150</v>
      </c>
      <c r="U8" s="104"/>
    </row>
    <row r="9" spans="1:21" ht="15">
      <c r="A9" s="213" t="s">
        <v>123</v>
      </c>
      <c r="B9" s="214" t="s">
        <v>19</v>
      </c>
      <c r="C9" s="214" t="s">
        <v>20</v>
      </c>
      <c r="D9" s="214" t="s">
        <v>21</v>
      </c>
      <c r="E9" s="215" t="s">
        <v>22</v>
      </c>
      <c r="F9" s="215" t="s">
        <v>23</v>
      </c>
      <c r="G9" s="214" t="s">
        <v>24</v>
      </c>
      <c r="H9" s="214" t="s">
        <v>25</v>
      </c>
      <c r="I9" s="214" t="s">
        <v>230</v>
      </c>
      <c r="J9" s="214" t="s">
        <v>231</v>
      </c>
      <c r="K9" s="214" t="s">
        <v>232</v>
      </c>
      <c r="L9" s="214" t="s">
        <v>233</v>
      </c>
      <c r="M9" s="214" t="s">
        <v>260</v>
      </c>
      <c r="N9" s="214" t="s">
        <v>261</v>
      </c>
      <c r="O9" s="214" t="s">
        <v>262</v>
      </c>
      <c r="P9" s="214" t="s">
        <v>263</v>
      </c>
      <c r="Q9" s="216" t="s">
        <v>126</v>
      </c>
      <c r="R9" s="217" t="s">
        <v>26</v>
      </c>
      <c r="S9" s="216" t="s">
        <v>27</v>
      </c>
      <c r="T9" s="216" t="s">
        <v>28</v>
      </c>
      <c r="U9" s="104"/>
    </row>
    <row r="10" spans="1:21" ht="15">
      <c r="A10" s="206"/>
      <c r="B10" s="208" t="s">
        <v>128</v>
      </c>
      <c r="C10" s="218" t="s">
        <v>129</v>
      </c>
      <c r="D10" s="208"/>
      <c r="E10" s="219"/>
      <c r="F10" s="210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04"/>
      <c r="S10" s="206"/>
      <c r="T10" s="206"/>
      <c r="U10" s="104"/>
    </row>
    <row r="11" spans="1:21" ht="15">
      <c r="A11" s="206"/>
      <c r="B11" s="206"/>
      <c r="C11" s="206"/>
      <c r="D11" s="55"/>
      <c r="E11" s="220"/>
      <c r="F11" s="221"/>
      <c r="G11" s="222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04"/>
      <c r="S11" s="206"/>
      <c r="T11" s="206"/>
      <c r="U11" s="104"/>
    </row>
    <row r="12" spans="1:21" ht="15">
      <c r="A12" s="208">
        <v>1</v>
      </c>
      <c r="B12" s="367" t="s">
        <v>296</v>
      </c>
      <c r="C12" s="366" t="s">
        <v>297</v>
      </c>
      <c r="D12" s="53" t="s">
        <v>298</v>
      </c>
      <c r="E12" s="224" t="s">
        <v>299</v>
      </c>
      <c r="F12" s="224" t="s">
        <v>300</v>
      </c>
      <c r="G12" s="225"/>
      <c r="H12" s="53"/>
      <c r="I12" s="53"/>
      <c r="J12" s="53"/>
      <c r="K12" s="53"/>
      <c r="L12" s="53"/>
      <c r="M12" s="53"/>
      <c r="N12" s="53"/>
      <c r="O12" s="53"/>
      <c r="P12" s="53"/>
      <c r="Q12" s="226">
        <f>365/4</f>
        <v>91.25</v>
      </c>
      <c r="R12" s="204">
        <v>667000</v>
      </c>
      <c r="S12" s="199">
        <f t="shared" ref="S12:S19" si="0">SUM(R12/$R$26)</f>
        <v>3.5182639249437641E-3</v>
      </c>
      <c r="T12" s="57">
        <f t="shared" ref="T12:T19" si="1">S12*Q12</f>
        <v>0.32104158315111847</v>
      </c>
      <c r="U12" s="104"/>
    </row>
    <row r="13" spans="1:21" ht="15">
      <c r="A13" s="208">
        <v>2</v>
      </c>
      <c r="B13" s="367" t="s">
        <v>301</v>
      </c>
      <c r="C13" s="366">
        <v>46949</v>
      </c>
      <c r="D13" s="53" t="s">
        <v>298</v>
      </c>
      <c r="E13" s="224" t="s">
        <v>302</v>
      </c>
      <c r="F13" s="224" t="s">
        <v>303</v>
      </c>
      <c r="G13" s="225"/>
      <c r="H13" s="53"/>
      <c r="I13" s="53"/>
      <c r="J13" s="53"/>
      <c r="K13" s="53"/>
      <c r="L13" s="53"/>
      <c r="M13" s="53"/>
      <c r="N13" s="53"/>
      <c r="O13" s="53"/>
      <c r="P13" s="53"/>
      <c r="Q13" s="226">
        <f t="shared" ref="Q13:Q24" si="2">365/4</f>
        <v>91.25</v>
      </c>
      <c r="R13" s="204">
        <v>10125000</v>
      </c>
      <c r="S13" s="199">
        <f t="shared" si="0"/>
        <v>5.3406929895135853E-2</v>
      </c>
      <c r="T13" s="57">
        <f t="shared" si="1"/>
        <v>4.8733823529311469</v>
      </c>
      <c r="U13" s="104"/>
    </row>
    <row r="14" spans="1:21" ht="15">
      <c r="A14" s="208">
        <v>3</v>
      </c>
      <c r="B14" s="367" t="s">
        <v>304</v>
      </c>
      <c r="C14" s="366">
        <v>49232</v>
      </c>
      <c r="D14" s="53" t="s">
        <v>298</v>
      </c>
      <c r="E14" s="224" t="s">
        <v>305</v>
      </c>
      <c r="F14" s="224" t="s">
        <v>306</v>
      </c>
      <c r="G14" s="225"/>
      <c r="H14" s="53"/>
      <c r="I14" s="53"/>
      <c r="J14" s="53"/>
      <c r="K14" s="53"/>
      <c r="L14" s="53"/>
      <c r="M14" s="53"/>
      <c r="N14" s="53"/>
      <c r="O14" s="53"/>
      <c r="P14" s="53"/>
      <c r="Q14" s="226">
        <f t="shared" si="2"/>
        <v>91.25</v>
      </c>
      <c r="R14" s="204">
        <v>11900000</v>
      </c>
      <c r="S14" s="199">
        <f t="shared" si="0"/>
        <v>6.2769626247122637E-2</v>
      </c>
      <c r="T14" s="57">
        <f t="shared" si="1"/>
        <v>5.7277283950499402</v>
      </c>
      <c r="U14" s="104"/>
    </row>
    <row r="15" spans="1:21" ht="15">
      <c r="A15" s="208">
        <v>4</v>
      </c>
      <c r="B15" s="367" t="s">
        <v>307</v>
      </c>
      <c r="C15" s="366" t="s">
        <v>308</v>
      </c>
      <c r="D15" s="53" t="s">
        <v>298</v>
      </c>
      <c r="E15" s="224" t="s">
        <v>299</v>
      </c>
      <c r="F15" s="224" t="s">
        <v>300</v>
      </c>
      <c r="G15" s="224"/>
      <c r="H15" s="227"/>
      <c r="I15" s="227"/>
      <c r="J15" s="227"/>
      <c r="K15" s="227"/>
      <c r="L15" s="227"/>
      <c r="M15" s="227"/>
      <c r="N15" s="227"/>
      <c r="O15" s="227"/>
      <c r="P15" s="227"/>
      <c r="Q15" s="226">
        <f t="shared" si="2"/>
        <v>91.25</v>
      </c>
      <c r="R15" s="204">
        <v>15000000</v>
      </c>
      <c r="S15" s="199">
        <f t="shared" si="0"/>
        <v>7.912137762242348E-2</v>
      </c>
      <c r="T15" s="57">
        <f t="shared" si="1"/>
        <v>7.2198257080461428</v>
      </c>
      <c r="U15" s="104"/>
    </row>
    <row r="16" spans="1:21" ht="15">
      <c r="A16" s="208">
        <v>5</v>
      </c>
      <c r="B16" s="367" t="s">
        <v>309</v>
      </c>
      <c r="C16" s="366" t="s">
        <v>310</v>
      </c>
      <c r="D16" s="53" t="s">
        <v>298</v>
      </c>
      <c r="E16" s="224" t="s">
        <v>299</v>
      </c>
      <c r="F16" s="224" t="s">
        <v>300</v>
      </c>
      <c r="G16" s="225"/>
      <c r="H16" s="53"/>
      <c r="I16" s="53"/>
      <c r="J16" s="53"/>
      <c r="K16" s="53"/>
      <c r="L16" s="53"/>
      <c r="M16" s="53"/>
      <c r="N16" s="53"/>
      <c r="O16" s="53"/>
      <c r="P16" s="53"/>
      <c r="Q16" s="226">
        <f t="shared" si="2"/>
        <v>91.25</v>
      </c>
      <c r="R16" s="204">
        <v>22000000</v>
      </c>
      <c r="S16" s="199">
        <f t="shared" si="0"/>
        <v>0.11604468717955445</v>
      </c>
      <c r="T16" s="57">
        <f t="shared" si="1"/>
        <v>10.589077705134343</v>
      </c>
      <c r="U16" s="104"/>
    </row>
    <row r="17" spans="1:21" ht="15">
      <c r="A17" s="208">
        <v>6</v>
      </c>
      <c r="B17" s="367" t="s">
        <v>311</v>
      </c>
      <c r="C17" s="366" t="s">
        <v>312</v>
      </c>
      <c r="D17" s="53" t="s">
        <v>298</v>
      </c>
      <c r="E17" s="224" t="s">
        <v>302</v>
      </c>
      <c r="F17" s="224" t="s">
        <v>303</v>
      </c>
      <c r="G17" s="224"/>
      <c r="H17" s="227"/>
      <c r="I17" s="227"/>
      <c r="J17" s="227"/>
      <c r="K17" s="227"/>
      <c r="L17" s="227"/>
      <c r="M17" s="227"/>
      <c r="N17" s="227"/>
      <c r="O17" s="227"/>
      <c r="P17" s="227"/>
      <c r="Q17" s="226">
        <f t="shared" si="2"/>
        <v>91.25</v>
      </c>
      <c r="R17" s="204">
        <v>20750000</v>
      </c>
      <c r="S17" s="199">
        <f t="shared" si="0"/>
        <v>0.10945123904435249</v>
      </c>
      <c r="T17" s="57">
        <f t="shared" si="1"/>
        <v>9.9874255627971635</v>
      </c>
      <c r="U17" s="104"/>
    </row>
    <row r="18" spans="1:21" ht="15">
      <c r="A18" s="208">
        <v>7</v>
      </c>
      <c r="B18" s="367" t="s">
        <v>313</v>
      </c>
      <c r="C18" s="366" t="s">
        <v>314</v>
      </c>
      <c r="D18" s="53" t="s">
        <v>298</v>
      </c>
      <c r="E18" s="224" t="s">
        <v>305</v>
      </c>
      <c r="F18" s="224" t="s">
        <v>306</v>
      </c>
      <c r="G18" s="225"/>
      <c r="H18" s="53"/>
      <c r="I18" s="53"/>
      <c r="J18" s="53"/>
      <c r="K18" s="53"/>
      <c r="L18" s="53"/>
      <c r="M18" s="53"/>
      <c r="N18" s="53"/>
      <c r="O18" s="53"/>
      <c r="P18" s="53"/>
      <c r="Q18" s="226">
        <f t="shared" si="2"/>
        <v>91.25</v>
      </c>
      <c r="R18" s="204">
        <v>30937500</v>
      </c>
      <c r="S18" s="199">
        <f t="shared" si="0"/>
        <v>0.16318784134624845</v>
      </c>
      <c r="T18" s="57">
        <f t="shared" si="1"/>
        <v>14.89089052284517</v>
      </c>
      <c r="U18" s="104"/>
    </row>
    <row r="19" spans="1:21" ht="15">
      <c r="A19" s="208">
        <v>8</v>
      </c>
      <c r="B19" s="367" t="s">
        <v>315</v>
      </c>
      <c r="C19" s="366" t="s">
        <v>316</v>
      </c>
      <c r="D19" s="53" t="s">
        <v>298</v>
      </c>
      <c r="E19" s="224" t="s">
        <v>317</v>
      </c>
      <c r="F19" s="224" t="s">
        <v>318</v>
      </c>
      <c r="G19" s="225"/>
      <c r="H19" s="53"/>
      <c r="I19" s="53"/>
      <c r="J19" s="53"/>
      <c r="K19" s="53"/>
      <c r="L19" s="53"/>
      <c r="M19" s="53"/>
      <c r="N19" s="53"/>
      <c r="O19" s="53"/>
      <c r="P19" s="53"/>
      <c r="Q19" s="226">
        <f t="shared" si="2"/>
        <v>91.25</v>
      </c>
      <c r="R19" s="204">
        <v>25800000</v>
      </c>
      <c r="S19" s="199">
        <f t="shared" si="0"/>
        <v>0.13608876951056839</v>
      </c>
      <c r="T19" s="57">
        <f t="shared" si="1"/>
        <v>12.418100217839365</v>
      </c>
      <c r="U19" s="104"/>
    </row>
    <row r="20" spans="1:21" ht="15">
      <c r="A20" s="208"/>
      <c r="B20" s="367" t="s">
        <v>313</v>
      </c>
      <c r="C20" s="366" t="s">
        <v>319</v>
      </c>
      <c r="D20" s="53" t="s">
        <v>298</v>
      </c>
      <c r="E20" s="224" t="s">
        <v>320</v>
      </c>
      <c r="F20" s="224" t="s">
        <v>321</v>
      </c>
      <c r="G20" s="225"/>
      <c r="H20" s="53"/>
      <c r="I20" s="53"/>
      <c r="J20" s="53"/>
      <c r="K20" s="53"/>
      <c r="L20" s="53"/>
      <c r="M20" s="53"/>
      <c r="N20" s="53"/>
      <c r="O20" s="53"/>
      <c r="P20" s="53"/>
      <c r="Q20" s="226">
        <f t="shared" si="2"/>
        <v>91.25</v>
      </c>
      <c r="R20" s="204">
        <v>18562500</v>
      </c>
      <c r="S20" s="199">
        <f t="shared" ref="S20:S23" si="3">SUM(R20/$R$26)</f>
        <v>9.7912704807749065E-2</v>
      </c>
      <c r="T20" s="57">
        <f t="shared" ref="T20:T23" si="4">S20*Q20</f>
        <v>8.9345343137071023</v>
      </c>
      <c r="U20" s="104"/>
    </row>
    <row r="21" spans="1:21" ht="15">
      <c r="A21" s="208"/>
      <c r="B21" s="367" t="s">
        <v>322</v>
      </c>
      <c r="C21" s="366" t="s">
        <v>323</v>
      </c>
      <c r="D21" s="53" t="s">
        <v>298</v>
      </c>
      <c r="E21" s="224" t="s">
        <v>320</v>
      </c>
      <c r="F21" s="224" t="s">
        <v>321</v>
      </c>
      <c r="G21" s="225"/>
      <c r="H21" s="53"/>
      <c r="I21" s="53"/>
      <c r="J21" s="53"/>
      <c r="K21" s="53"/>
      <c r="L21" s="53"/>
      <c r="M21" s="53"/>
      <c r="N21" s="53"/>
      <c r="O21" s="53"/>
      <c r="P21" s="53"/>
      <c r="Q21" s="226">
        <f t="shared" si="2"/>
        <v>91.25</v>
      </c>
      <c r="R21" s="204">
        <v>7875000</v>
      </c>
      <c r="S21" s="199">
        <f t="shared" si="3"/>
        <v>4.1538723251772332E-2</v>
      </c>
      <c r="T21" s="57">
        <f t="shared" si="4"/>
        <v>3.7904084967242251</v>
      </c>
      <c r="U21" s="104"/>
    </row>
    <row r="22" spans="1:21" ht="15">
      <c r="A22" s="208"/>
      <c r="B22" s="367" t="s">
        <v>324</v>
      </c>
      <c r="C22" s="366" t="s">
        <v>325</v>
      </c>
      <c r="D22" s="53" t="s">
        <v>298</v>
      </c>
      <c r="E22" s="224" t="s">
        <v>326</v>
      </c>
      <c r="F22" s="224" t="s">
        <v>321</v>
      </c>
      <c r="G22" s="225"/>
      <c r="H22" s="53"/>
      <c r="I22" s="53"/>
      <c r="J22" s="53"/>
      <c r="K22" s="53"/>
      <c r="L22" s="53"/>
      <c r="M22" s="53"/>
      <c r="N22" s="53"/>
      <c r="O22" s="53"/>
      <c r="P22" s="53"/>
      <c r="Q22" s="226">
        <f t="shared" si="2"/>
        <v>91.25</v>
      </c>
      <c r="R22" s="204">
        <v>16875000</v>
      </c>
      <c r="S22" s="199">
        <f t="shared" si="3"/>
        <v>8.9011549825226424E-2</v>
      </c>
      <c r="T22" s="57">
        <f t="shared" si="4"/>
        <v>8.1223039215519108</v>
      </c>
      <c r="U22" s="104"/>
    </row>
    <row r="23" spans="1:21" ht="15">
      <c r="A23" s="208"/>
      <c r="B23" s="367" t="s">
        <v>327</v>
      </c>
      <c r="C23" s="366" t="s">
        <v>328</v>
      </c>
      <c r="D23" s="53" t="s">
        <v>298</v>
      </c>
      <c r="E23" s="224" t="s">
        <v>303</v>
      </c>
      <c r="F23" s="224"/>
      <c r="G23" s="225"/>
      <c r="H23" s="53"/>
      <c r="I23" s="53"/>
      <c r="J23" s="53"/>
      <c r="K23" s="53"/>
      <c r="L23" s="53"/>
      <c r="M23" s="53"/>
      <c r="N23" s="53"/>
      <c r="O23" s="53"/>
      <c r="P23" s="53"/>
      <c r="Q23" s="226">
        <f t="shared" si="2"/>
        <v>91.25</v>
      </c>
      <c r="R23" s="204">
        <v>4500000</v>
      </c>
      <c r="S23" s="199">
        <f t="shared" si="3"/>
        <v>2.3736413286727046E-2</v>
      </c>
      <c r="T23" s="57">
        <f t="shared" si="4"/>
        <v>2.1659477124138431</v>
      </c>
      <c r="U23" s="104"/>
    </row>
    <row r="24" spans="1:21" ht="15">
      <c r="A24" s="208">
        <v>9</v>
      </c>
      <c r="B24" s="53" t="s">
        <v>329</v>
      </c>
      <c r="C24" s="53" t="s">
        <v>330</v>
      </c>
      <c r="D24" s="53" t="s">
        <v>331</v>
      </c>
      <c r="E24" s="53" t="s">
        <v>332</v>
      </c>
      <c r="F24" s="53" t="s">
        <v>333</v>
      </c>
      <c r="G24" s="53" t="s">
        <v>334</v>
      </c>
      <c r="H24" s="227" t="s">
        <v>267</v>
      </c>
      <c r="I24" s="227" t="s">
        <v>268</v>
      </c>
      <c r="J24" s="227" t="s">
        <v>269</v>
      </c>
      <c r="K24" s="227" t="s">
        <v>270</v>
      </c>
      <c r="L24" s="227" t="s">
        <v>271</v>
      </c>
      <c r="M24" s="227" t="s">
        <v>272</v>
      </c>
      <c r="N24" s="227" t="s">
        <v>273</v>
      </c>
      <c r="O24" s="227" t="s">
        <v>274</v>
      </c>
      <c r="P24" s="227" t="s">
        <v>275</v>
      </c>
      <c r="Q24" s="226">
        <f t="shared" si="2"/>
        <v>91.25</v>
      </c>
      <c r="R24" s="204">
        <v>4590138.87</v>
      </c>
      <c r="S24" s="199">
        <f t="shared" ref="S24" si="5">SUM(R24/$R$26)</f>
        <v>2.4211874058175615E-2</v>
      </c>
      <c r="T24" s="57">
        <f t="shared" ref="T24" si="6">S24*Q24</f>
        <v>2.209333507808525</v>
      </c>
      <c r="U24" s="104"/>
    </row>
    <row r="25" spans="1:21" ht="15">
      <c r="A25" s="208">
        <v>10</v>
      </c>
      <c r="B25" s="206"/>
      <c r="C25" s="206"/>
      <c r="D25" s="53"/>
      <c r="E25" s="228"/>
      <c r="F25" s="219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4"/>
      <c r="S25" s="206"/>
      <c r="T25" s="206"/>
      <c r="U25" s="104"/>
    </row>
    <row r="26" spans="1:21" ht="15.75" thickBot="1">
      <c r="A26" s="208">
        <v>11</v>
      </c>
      <c r="B26" s="229" t="s">
        <v>29</v>
      </c>
      <c r="C26" s="206"/>
      <c r="D26" s="53"/>
      <c r="E26" s="228"/>
      <c r="F26" s="219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4">
        <f>SUM(R12:R25)</f>
        <v>189582138.87</v>
      </c>
      <c r="S26" s="230">
        <f>SUM(S12:S25)</f>
        <v>0.99999999999999989</v>
      </c>
      <c r="T26" s="231">
        <f>SUM(T12:T25)</f>
        <v>91.249999999999986</v>
      </c>
      <c r="U26" s="104"/>
    </row>
    <row r="27" spans="1:21" ht="15.75" thickTop="1">
      <c r="A27" s="206"/>
      <c r="B27" s="206"/>
      <c r="C27" s="206"/>
      <c r="D27" s="53"/>
      <c r="E27" s="228"/>
      <c r="F27" s="219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4"/>
      <c r="S27" s="206"/>
      <c r="T27" s="206"/>
      <c r="U27" s="104"/>
    </row>
    <row r="28" spans="1:21" ht="16.5">
      <c r="A28" s="109"/>
      <c r="B28" s="110"/>
      <c r="C28" s="110"/>
      <c r="D28" s="108"/>
      <c r="E28" s="334"/>
      <c r="F28" s="335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336"/>
      <c r="S28" s="110"/>
      <c r="T28" s="110"/>
    </row>
    <row r="29" spans="1:21" ht="16.5">
      <c r="A29" s="109"/>
      <c r="B29" s="110"/>
      <c r="C29" s="110"/>
      <c r="D29" s="108"/>
      <c r="E29" s="334"/>
      <c r="F29" s="335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336"/>
      <c r="S29" s="110"/>
      <c r="T29" s="110"/>
    </row>
    <row r="30" spans="1:21" ht="16.5">
      <c r="A30" s="110"/>
      <c r="B30" s="110"/>
      <c r="C30" s="110"/>
      <c r="D30" s="108"/>
      <c r="E30" s="334"/>
      <c r="F30" s="335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336"/>
      <c r="S30" s="110"/>
      <c r="T30" s="110"/>
    </row>
    <row r="31" spans="1:21" ht="16.5">
      <c r="A31" s="110"/>
      <c r="B31" s="110"/>
      <c r="C31" s="110"/>
      <c r="D31" s="108"/>
      <c r="E31" s="337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336"/>
    </row>
    <row r="32" spans="1:21" ht="16.5">
      <c r="A32" s="110"/>
      <c r="B32" s="110"/>
      <c r="C32" s="110"/>
      <c r="D32" s="108"/>
      <c r="E32" s="337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336"/>
    </row>
    <row r="33" spans="1:20" ht="16.5">
      <c r="A33" s="110"/>
      <c r="B33" s="110"/>
      <c r="C33" s="110"/>
      <c r="D33" s="108"/>
      <c r="E33" s="337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336"/>
    </row>
    <row r="34" spans="1:20" ht="16.5">
      <c r="A34" s="110"/>
      <c r="B34" s="110"/>
      <c r="C34" s="110"/>
      <c r="D34" s="108"/>
      <c r="E34" s="337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336"/>
    </row>
    <row r="35" spans="1:20" ht="16.5">
      <c r="A35" s="110"/>
      <c r="B35" s="110"/>
      <c r="C35" s="110"/>
      <c r="D35" s="108"/>
      <c r="E35" s="337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336"/>
    </row>
    <row r="36" spans="1:20" ht="16.5">
      <c r="A36" s="110"/>
      <c r="B36" s="110"/>
      <c r="C36" s="110"/>
      <c r="D36" s="108"/>
      <c r="E36" s="337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336"/>
    </row>
    <row r="37" spans="1:20" ht="16.5">
      <c r="A37" s="110"/>
      <c r="B37" s="110"/>
      <c r="C37" s="110"/>
      <c r="D37" s="108"/>
      <c r="E37" s="337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336"/>
    </row>
    <row r="38" spans="1:20" ht="16.5">
      <c r="A38" s="110"/>
      <c r="B38" s="110"/>
      <c r="C38" s="110"/>
      <c r="D38" s="108"/>
      <c r="E38" s="337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336"/>
    </row>
    <row r="39" spans="1:20" ht="16.5">
      <c r="A39" s="110"/>
      <c r="B39" s="110"/>
      <c r="C39" s="110"/>
      <c r="D39" s="108"/>
      <c r="E39" s="337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336"/>
    </row>
    <row r="40" spans="1:20" ht="16.5">
      <c r="A40" s="110"/>
      <c r="B40" s="110"/>
      <c r="C40" s="110"/>
      <c r="D40" s="108"/>
      <c r="E40" s="337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336"/>
    </row>
    <row r="41" spans="1:20" ht="16.5">
      <c r="A41" s="110"/>
      <c r="B41" s="110"/>
      <c r="C41" s="110"/>
      <c r="D41" s="108"/>
      <c r="E41" s="337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336"/>
    </row>
    <row r="42" spans="1:20" ht="16.5">
      <c r="A42" s="110"/>
      <c r="B42" s="110"/>
      <c r="C42" s="110"/>
      <c r="D42" s="108"/>
      <c r="E42" s="337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336"/>
    </row>
    <row r="43" spans="1:20" ht="16.5">
      <c r="A43" s="110"/>
      <c r="B43" s="110"/>
      <c r="C43" s="110"/>
      <c r="D43" s="108"/>
      <c r="E43" s="337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336"/>
    </row>
    <row r="44" spans="1:20" ht="16.5">
      <c r="A44" s="110"/>
      <c r="B44" s="110"/>
      <c r="C44" s="110"/>
      <c r="D44" s="108"/>
      <c r="E44" s="337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336"/>
    </row>
    <row r="45" spans="1:20" ht="16.5">
      <c r="A45" s="110"/>
      <c r="B45" s="110"/>
      <c r="C45" s="110"/>
      <c r="D45" s="108"/>
      <c r="E45" s="337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336"/>
    </row>
    <row r="46" spans="1:20" ht="16.5">
      <c r="A46" s="110"/>
      <c r="B46" s="110"/>
      <c r="C46" s="110"/>
      <c r="D46" s="108"/>
      <c r="E46" s="337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336"/>
    </row>
    <row r="47" spans="1:20" ht="16.5">
      <c r="A47" s="110"/>
      <c r="B47" s="110"/>
      <c r="C47" s="110"/>
      <c r="D47" s="108"/>
      <c r="E47" s="337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336"/>
    </row>
    <row r="48" spans="1:20" ht="16.5">
      <c r="A48" s="110"/>
      <c r="B48" s="110"/>
      <c r="C48" s="110"/>
      <c r="D48" s="108"/>
      <c r="E48" s="337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336"/>
    </row>
    <row r="49" spans="1:20" ht="16.5">
      <c r="A49" s="110"/>
      <c r="B49" s="110"/>
      <c r="C49" s="110"/>
      <c r="D49" s="108"/>
      <c r="E49" s="337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336"/>
    </row>
    <row r="50" spans="1:20" ht="16.5">
      <c r="A50" s="110"/>
      <c r="B50" s="110"/>
      <c r="C50" s="110"/>
      <c r="D50" s="108"/>
      <c r="E50" s="337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336"/>
    </row>
    <row r="51" spans="1:20" ht="16.5">
      <c r="A51" s="110"/>
      <c r="B51" s="110"/>
      <c r="C51" s="110"/>
      <c r="D51" s="108"/>
      <c r="E51" s="337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336"/>
    </row>
    <row r="52" spans="1:20" ht="16.5">
      <c r="A52" s="110"/>
      <c r="B52" s="110"/>
      <c r="C52" s="110"/>
      <c r="D52" s="108"/>
      <c r="E52" s="337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336"/>
    </row>
    <row r="53" spans="1:20" ht="16.5">
      <c r="A53" s="110"/>
      <c r="B53" s="110"/>
      <c r="C53" s="110"/>
      <c r="D53" s="108"/>
      <c r="E53" s="337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336"/>
    </row>
    <row r="54" spans="1:20" ht="16.5">
      <c r="A54" s="110"/>
      <c r="B54" s="110"/>
      <c r="C54" s="110"/>
      <c r="D54" s="108"/>
      <c r="E54" s="337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336"/>
    </row>
    <row r="55" spans="1:20" ht="16.5">
      <c r="A55" s="110"/>
      <c r="B55" s="110"/>
      <c r="C55" s="110"/>
      <c r="D55" s="108"/>
      <c r="E55" s="337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336"/>
    </row>
    <row r="56" spans="1:20" ht="16.5">
      <c r="A56" s="110"/>
      <c r="B56" s="110"/>
      <c r="C56" s="110"/>
      <c r="D56" s="108"/>
      <c r="E56" s="337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336"/>
    </row>
    <row r="57" spans="1:20" ht="16.5">
      <c r="A57" s="110"/>
      <c r="B57" s="110"/>
      <c r="C57" s="110"/>
      <c r="D57" s="108"/>
      <c r="E57" s="337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336"/>
    </row>
    <row r="58" spans="1:20" ht="16.5">
      <c r="A58" s="110"/>
      <c r="B58" s="110"/>
      <c r="C58" s="110"/>
      <c r="D58" s="108"/>
      <c r="E58" s="337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336"/>
    </row>
    <row r="59" spans="1:20" ht="16.5">
      <c r="A59" s="110"/>
      <c r="B59" s="110"/>
      <c r="C59" s="110"/>
      <c r="D59" s="108"/>
      <c r="E59" s="337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336"/>
    </row>
    <row r="60" spans="1:20" ht="16.5">
      <c r="A60" s="110"/>
      <c r="B60" s="110"/>
      <c r="C60" s="110"/>
      <c r="D60" s="108"/>
      <c r="E60" s="337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336"/>
    </row>
    <row r="61" spans="1:20" ht="16.5">
      <c r="A61" s="110"/>
      <c r="B61" s="110"/>
      <c r="C61" s="110"/>
      <c r="D61" s="108"/>
      <c r="E61" s="337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336"/>
    </row>
    <row r="62" spans="1:20" ht="16.5">
      <c r="A62" s="110"/>
      <c r="B62" s="110"/>
      <c r="C62" s="110"/>
      <c r="D62" s="108"/>
      <c r="E62" s="337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336"/>
    </row>
    <row r="63" spans="1:20" ht="16.5">
      <c r="A63" s="110"/>
      <c r="B63" s="110"/>
      <c r="C63" s="110"/>
      <c r="D63" s="108"/>
      <c r="E63" s="337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336"/>
    </row>
    <row r="64" spans="1:20" ht="16.5">
      <c r="A64" s="110"/>
      <c r="B64" s="110"/>
      <c r="C64" s="110"/>
      <c r="D64" s="108"/>
      <c r="E64" s="337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336"/>
    </row>
    <row r="65" spans="1:20" ht="16.5">
      <c r="A65" s="110"/>
      <c r="B65" s="110"/>
      <c r="C65" s="110"/>
      <c r="D65" s="108"/>
      <c r="E65" s="337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336"/>
    </row>
    <row r="66" spans="1:20" ht="16.5">
      <c r="A66" s="110"/>
      <c r="B66" s="110"/>
      <c r="C66" s="110"/>
      <c r="D66" s="108"/>
      <c r="E66" s="337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336"/>
    </row>
    <row r="67" spans="1:20" ht="16.5">
      <c r="A67" s="110"/>
      <c r="B67" s="110"/>
      <c r="C67" s="110"/>
      <c r="D67" s="108"/>
      <c r="E67" s="337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336"/>
    </row>
    <row r="68" spans="1:20" ht="16.5">
      <c r="A68" s="110"/>
      <c r="B68" s="110"/>
      <c r="C68" s="110"/>
      <c r="D68" s="108"/>
      <c r="E68" s="337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336"/>
    </row>
    <row r="69" spans="1:20" ht="16.5">
      <c r="A69" s="110"/>
      <c r="B69" s="110"/>
      <c r="C69" s="110"/>
      <c r="D69" s="108"/>
      <c r="E69" s="337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336"/>
    </row>
    <row r="70" spans="1:20" ht="16.5">
      <c r="A70" s="110"/>
      <c r="B70" s="110"/>
      <c r="C70" s="110"/>
      <c r="D70" s="108"/>
      <c r="E70" s="337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336"/>
    </row>
    <row r="71" spans="1:20" ht="16.5">
      <c r="A71" s="110"/>
      <c r="B71" s="110"/>
      <c r="C71" s="110"/>
      <c r="D71" s="108"/>
      <c r="E71" s="337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336"/>
    </row>
    <row r="72" spans="1:20" ht="16.5">
      <c r="A72" s="110"/>
      <c r="B72" s="110"/>
      <c r="C72" s="110"/>
      <c r="D72" s="108"/>
      <c r="E72" s="337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336"/>
    </row>
    <row r="73" spans="1:20" ht="16.5">
      <c r="A73" s="110"/>
      <c r="B73" s="110"/>
      <c r="C73" s="110"/>
      <c r="D73" s="108"/>
      <c r="E73" s="337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336"/>
    </row>
    <row r="74" spans="1:20" ht="16.5">
      <c r="A74" s="110"/>
      <c r="B74" s="110"/>
      <c r="C74" s="110"/>
      <c r="D74" s="108"/>
      <c r="E74" s="337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336"/>
    </row>
    <row r="75" spans="1:20" ht="16.5">
      <c r="A75" s="110"/>
      <c r="B75" s="110"/>
      <c r="C75" s="110"/>
      <c r="D75" s="108"/>
      <c r="E75" s="337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336"/>
    </row>
    <row r="76" spans="1:20" ht="16.5">
      <c r="A76" s="110"/>
      <c r="B76" s="110"/>
      <c r="C76" s="110"/>
      <c r="D76" s="108"/>
      <c r="E76" s="337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336"/>
    </row>
    <row r="77" spans="1:20" ht="16.5">
      <c r="A77" s="110"/>
      <c r="B77" s="110"/>
      <c r="C77" s="110"/>
      <c r="D77" s="108"/>
      <c r="E77" s="337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336"/>
    </row>
    <row r="78" spans="1:20" ht="16.5">
      <c r="A78" s="110"/>
      <c r="B78" s="110"/>
      <c r="C78" s="110"/>
      <c r="D78" s="108"/>
      <c r="E78" s="337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336"/>
    </row>
    <row r="79" spans="1:20" ht="16.5">
      <c r="A79" s="110"/>
      <c r="B79" s="110"/>
      <c r="C79" s="110"/>
      <c r="D79" s="108"/>
      <c r="E79" s="337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336"/>
    </row>
    <row r="80" spans="1:20" ht="16.5">
      <c r="A80" s="110"/>
      <c r="B80" s="110"/>
      <c r="C80" s="110"/>
      <c r="D80" s="108"/>
      <c r="E80" s="337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336"/>
    </row>
    <row r="81" spans="1:20" ht="16.5">
      <c r="A81" s="110"/>
      <c r="B81" s="110"/>
      <c r="C81" s="110"/>
      <c r="D81" s="108"/>
      <c r="E81" s="337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336"/>
    </row>
    <row r="82" spans="1:20" ht="16.5">
      <c r="A82" s="110"/>
      <c r="B82" s="110"/>
      <c r="C82" s="110"/>
      <c r="D82" s="108"/>
      <c r="E82" s="337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336"/>
    </row>
    <row r="83" spans="1:20" ht="16.5">
      <c r="A83" s="110"/>
      <c r="B83" s="110"/>
      <c r="C83" s="110"/>
      <c r="D83" s="108"/>
      <c r="E83" s="337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336"/>
    </row>
    <row r="84" spans="1:20" ht="16.5">
      <c r="A84" s="110"/>
      <c r="B84" s="110"/>
      <c r="C84" s="110"/>
      <c r="D84" s="108"/>
      <c r="E84" s="337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336"/>
    </row>
    <row r="85" spans="1:20">
      <c r="D85" s="22"/>
      <c r="E85" s="338"/>
    </row>
    <row r="86" spans="1:20">
      <c r="D86" s="22"/>
      <c r="E86" s="338"/>
    </row>
    <row r="87" spans="1:20">
      <c r="D87" s="22"/>
      <c r="E87" s="338"/>
    </row>
    <row r="88" spans="1:20">
      <c r="D88" s="22"/>
      <c r="E88" s="338"/>
    </row>
    <row r="89" spans="1:20">
      <c r="D89" s="22"/>
      <c r="E89" s="338"/>
    </row>
    <row r="90" spans="1:20">
      <c r="D90" s="22"/>
      <c r="E90" s="338"/>
    </row>
    <row r="91" spans="1:20">
      <c r="D91" s="22"/>
      <c r="E91" s="338"/>
    </row>
    <row r="92" spans="1:20">
      <c r="D92" s="22"/>
      <c r="E92" s="338"/>
    </row>
    <row r="93" spans="1:20">
      <c r="D93" s="22"/>
      <c r="E93" s="338"/>
    </row>
    <row r="94" spans="1:20">
      <c r="D94" s="22"/>
      <c r="E94" s="338"/>
    </row>
    <row r="95" spans="1:20">
      <c r="D95" s="22"/>
      <c r="E95" s="338"/>
    </row>
    <row r="96" spans="1:20">
      <c r="D96" s="22"/>
      <c r="E96" s="338"/>
    </row>
    <row r="97" spans="4:5">
      <c r="D97" s="22"/>
      <c r="E97" s="338"/>
    </row>
    <row r="98" spans="4:5">
      <c r="D98" s="22"/>
      <c r="E98" s="338"/>
    </row>
    <row r="99" spans="4:5">
      <c r="D99" s="22"/>
      <c r="E99" s="338"/>
    </row>
    <row r="100" spans="4:5">
      <c r="D100" s="22"/>
      <c r="E100" s="338"/>
    </row>
    <row r="101" spans="4:5">
      <c r="D101" s="22"/>
      <c r="E101" s="338"/>
    </row>
    <row r="102" spans="4:5">
      <c r="D102" s="22"/>
      <c r="E102" s="338"/>
    </row>
    <row r="103" spans="4:5">
      <c r="D103" s="22"/>
      <c r="E103" s="338"/>
    </row>
    <row r="104" spans="4:5">
      <c r="D104" s="22"/>
      <c r="E104" s="338"/>
    </row>
    <row r="105" spans="4:5">
      <c r="D105" s="22"/>
      <c r="E105" s="338"/>
    </row>
    <row r="106" spans="4:5">
      <c r="D106" s="22"/>
      <c r="E106" s="338"/>
    </row>
    <row r="107" spans="4:5">
      <c r="D107" s="22"/>
      <c r="E107" s="338"/>
    </row>
    <row r="108" spans="4:5">
      <c r="D108" s="22"/>
      <c r="E108" s="338"/>
    </row>
    <row r="109" spans="4:5">
      <c r="D109" s="22"/>
      <c r="E109" s="338"/>
    </row>
    <row r="110" spans="4:5">
      <c r="D110" s="22"/>
      <c r="E110" s="338"/>
    </row>
    <row r="111" spans="4:5">
      <c r="D111" s="22"/>
      <c r="E111" s="338"/>
    </row>
    <row r="112" spans="4:5">
      <c r="D112" s="22"/>
      <c r="E112" s="338"/>
    </row>
    <row r="113" spans="4:5">
      <c r="D113" s="22"/>
      <c r="E113" s="338"/>
    </row>
    <row r="114" spans="4:5">
      <c r="D114" s="22"/>
      <c r="E114" s="338"/>
    </row>
    <row r="115" spans="4:5">
      <c r="D115" s="22"/>
      <c r="E115" s="338"/>
    </row>
    <row r="116" spans="4:5">
      <c r="D116" s="22"/>
      <c r="E116" s="338"/>
    </row>
    <row r="117" spans="4:5">
      <c r="D117" s="22"/>
      <c r="E117" s="338"/>
    </row>
    <row r="118" spans="4:5">
      <c r="D118" s="22"/>
      <c r="E118" s="338"/>
    </row>
    <row r="119" spans="4:5">
      <c r="D119" s="22"/>
      <c r="E119" s="338"/>
    </row>
    <row r="120" spans="4:5">
      <c r="D120" s="22"/>
      <c r="E120" s="338"/>
    </row>
    <row r="121" spans="4:5">
      <c r="D121" s="22"/>
      <c r="E121" s="338"/>
    </row>
    <row r="122" spans="4:5">
      <c r="D122" s="22"/>
      <c r="E122" s="338"/>
    </row>
    <row r="123" spans="4:5">
      <c r="D123" s="22"/>
      <c r="E123" s="338"/>
    </row>
    <row r="124" spans="4:5">
      <c r="D124" s="22"/>
      <c r="E124" s="338"/>
    </row>
    <row r="125" spans="4:5">
      <c r="D125" s="22"/>
      <c r="E125" s="338"/>
    </row>
    <row r="126" spans="4:5">
      <c r="D126" s="22"/>
      <c r="E126" s="338"/>
    </row>
    <row r="127" spans="4:5">
      <c r="D127" s="22"/>
      <c r="E127" s="338"/>
    </row>
    <row r="128" spans="4:5">
      <c r="D128" s="22"/>
      <c r="E128" s="338"/>
    </row>
    <row r="129" spans="4:5">
      <c r="D129" s="22"/>
      <c r="E129" s="338"/>
    </row>
    <row r="130" spans="4:5">
      <c r="D130" s="22"/>
      <c r="E130" s="338"/>
    </row>
    <row r="131" spans="4:5">
      <c r="D131" s="22"/>
      <c r="E131" s="338"/>
    </row>
    <row r="132" spans="4:5">
      <c r="D132" s="22"/>
      <c r="E132" s="338"/>
    </row>
    <row r="133" spans="4:5">
      <c r="D133" s="22"/>
      <c r="E133" s="338"/>
    </row>
    <row r="134" spans="4:5">
      <c r="D134" s="22"/>
      <c r="E134" s="338"/>
    </row>
    <row r="135" spans="4:5">
      <c r="D135" s="22"/>
      <c r="E135" s="338"/>
    </row>
    <row r="136" spans="4:5">
      <c r="D136" s="22"/>
      <c r="E136" s="338"/>
    </row>
    <row r="137" spans="4:5">
      <c r="D137" s="22"/>
      <c r="E137" s="338"/>
    </row>
    <row r="138" spans="4:5">
      <c r="D138" s="22"/>
      <c r="E138" s="338"/>
    </row>
    <row r="139" spans="4:5">
      <c r="D139" s="22"/>
      <c r="E139" s="338"/>
    </row>
    <row r="140" spans="4:5">
      <c r="D140" s="22"/>
      <c r="E140" s="338"/>
    </row>
    <row r="141" spans="4:5">
      <c r="D141" s="22"/>
      <c r="E141" s="338"/>
    </row>
    <row r="142" spans="4:5">
      <c r="D142" s="22"/>
      <c r="E142" s="338"/>
    </row>
    <row r="143" spans="4:5">
      <c r="D143" s="22"/>
      <c r="E143" s="338"/>
    </row>
    <row r="144" spans="4:5">
      <c r="D144" s="22"/>
      <c r="E144" s="338"/>
    </row>
    <row r="145" spans="4:5">
      <c r="D145" s="22"/>
      <c r="E145" s="338"/>
    </row>
    <row r="146" spans="4:5">
      <c r="D146" s="22"/>
      <c r="E146" s="338"/>
    </row>
    <row r="147" spans="4:5">
      <c r="D147" s="22"/>
      <c r="E147" s="338"/>
    </row>
    <row r="148" spans="4:5">
      <c r="D148" s="22"/>
      <c r="E148" s="338"/>
    </row>
    <row r="149" spans="4:5">
      <c r="D149" s="22"/>
      <c r="E149" s="338"/>
    </row>
    <row r="150" spans="4:5">
      <c r="D150" s="22"/>
      <c r="E150" s="338"/>
    </row>
    <row r="151" spans="4:5">
      <c r="D151" s="22"/>
      <c r="E151" s="338"/>
    </row>
    <row r="152" spans="4:5">
      <c r="D152" s="22"/>
      <c r="E152" s="338"/>
    </row>
    <row r="153" spans="4:5">
      <c r="D153" s="22"/>
      <c r="E153" s="338"/>
    </row>
    <row r="154" spans="4:5">
      <c r="D154" s="22"/>
      <c r="E154" s="338"/>
    </row>
    <row r="155" spans="4:5">
      <c r="D155" s="22"/>
      <c r="E155" s="338"/>
    </row>
    <row r="156" spans="4:5">
      <c r="D156" s="22"/>
      <c r="E156" s="338"/>
    </row>
    <row r="157" spans="4:5">
      <c r="D157" s="22"/>
      <c r="E157" s="338"/>
    </row>
    <row r="158" spans="4:5">
      <c r="D158" s="22"/>
      <c r="E158" s="338"/>
    </row>
    <row r="159" spans="4:5">
      <c r="D159" s="22"/>
      <c r="E159" s="338"/>
    </row>
    <row r="160" spans="4:5">
      <c r="D160" s="22"/>
      <c r="E160" s="338"/>
    </row>
    <row r="161" spans="4:5">
      <c r="D161" s="22"/>
      <c r="E161" s="338"/>
    </row>
    <row r="162" spans="4:5">
      <c r="D162" s="22"/>
      <c r="E162" s="338"/>
    </row>
    <row r="163" spans="4:5">
      <c r="D163" s="22"/>
      <c r="E163" s="338"/>
    </row>
    <row r="164" spans="4:5">
      <c r="D164" s="22"/>
      <c r="E164" s="338"/>
    </row>
    <row r="165" spans="4:5">
      <c r="D165" s="22"/>
      <c r="E165" s="338"/>
    </row>
    <row r="166" spans="4:5">
      <c r="D166" s="22"/>
      <c r="E166" s="338"/>
    </row>
    <row r="167" spans="4:5">
      <c r="D167" s="22"/>
      <c r="E167" s="338"/>
    </row>
    <row r="168" spans="4:5">
      <c r="D168" s="22"/>
      <c r="E168" s="338"/>
    </row>
    <row r="169" spans="4:5">
      <c r="D169" s="22"/>
      <c r="E169" s="338"/>
    </row>
    <row r="170" spans="4:5">
      <c r="D170" s="22"/>
      <c r="E170" s="338"/>
    </row>
    <row r="171" spans="4:5">
      <c r="D171" s="22"/>
      <c r="E171" s="338"/>
    </row>
    <row r="172" spans="4:5">
      <c r="D172" s="22"/>
      <c r="E172" s="338"/>
    </row>
    <row r="173" spans="4:5">
      <c r="D173" s="22"/>
      <c r="E173" s="338"/>
    </row>
    <row r="174" spans="4:5">
      <c r="D174" s="22"/>
      <c r="E174" s="338"/>
    </row>
    <row r="175" spans="4:5">
      <c r="D175" s="22"/>
      <c r="E175" s="338"/>
    </row>
    <row r="176" spans="4:5">
      <c r="D176" s="22"/>
      <c r="E176" s="338"/>
    </row>
    <row r="177" spans="4:5">
      <c r="D177" s="22"/>
      <c r="E177" s="338"/>
    </row>
    <row r="178" spans="4:5">
      <c r="D178" s="22"/>
      <c r="E178" s="338"/>
    </row>
    <row r="179" spans="4:5">
      <c r="D179" s="22"/>
      <c r="E179" s="338"/>
    </row>
    <row r="180" spans="4:5">
      <c r="D180" s="22"/>
      <c r="E180" s="338"/>
    </row>
    <row r="181" spans="4:5">
      <c r="D181" s="22"/>
      <c r="E181" s="338"/>
    </row>
    <row r="182" spans="4:5">
      <c r="D182" s="22"/>
      <c r="E182" s="338"/>
    </row>
    <row r="183" spans="4:5">
      <c r="D183" s="22"/>
      <c r="E183" s="338"/>
    </row>
    <row r="184" spans="4:5">
      <c r="D184" s="22"/>
      <c r="E184" s="338"/>
    </row>
    <row r="185" spans="4:5">
      <c r="D185" s="22"/>
      <c r="E185" s="338"/>
    </row>
    <row r="186" spans="4:5">
      <c r="D186" s="22"/>
      <c r="E186" s="338"/>
    </row>
    <row r="187" spans="4:5">
      <c r="D187" s="22"/>
      <c r="E187" s="338"/>
    </row>
    <row r="188" spans="4:5">
      <c r="D188" s="22"/>
      <c r="E188" s="338"/>
    </row>
    <row r="189" spans="4:5">
      <c r="D189" s="22"/>
      <c r="E189" s="338"/>
    </row>
    <row r="190" spans="4:5">
      <c r="D190" s="22"/>
      <c r="E190" s="338"/>
    </row>
    <row r="191" spans="4:5">
      <c r="D191" s="22"/>
      <c r="E191" s="338"/>
    </row>
    <row r="192" spans="4:5">
      <c r="D192" s="22"/>
      <c r="E192" s="338"/>
    </row>
    <row r="193" spans="4:5">
      <c r="D193" s="22"/>
      <c r="E193" s="338"/>
    </row>
    <row r="194" spans="4:5">
      <c r="D194" s="22"/>
      <c r="E194" s="338"/>
    </row>
    <row r="195" spans="4:5">
      <c r="D195" s="22"/>
      <c r="E195" s="338"/>
    </row>
    <row r="196" spans="4:5">
      <c r="D196" s="22"/>
      <c r="E196" s="338"/>
    </row>
    <row r="197" spans="4:5">
      <c r="D197" s="22"/>
      <c r="E197" s="338"/>
    </row>
    <row r="198" spans="4:5">
      <c r="D198" s="22"/>
      <c r="E198" s="338"/>
    </row>
    <row r="199" spans="4:5">
      <c r="D199" s="22"/>
      <c r="E199" s="338"/>
    </row>
    <row r="200" spans="4:5">
      <c r="D200" s="22"/>
      <c r="E200" s="338"/>
    </row>
    <row r="201" spans="4:5">
      <c r="D201" s="22"/>
      <c r="E201" s="338"/>
    </row>
    <row r="202" spans="4:5">
      <c r="D202" s="22"/>
      <c r="E202" s="338"/>
    </row>
    <row r="203" spans="4:5">
      <c r="D203" s="22"/>
      <c r="E203" s="338"/>
    </row>
    <row r="204" spans="4:5">
      <c r="D204" s="22"/>
      <c r="E204" s="338"/>
    </row>
    <row r="205" spans="4:5">
      <c r="D205" s="22"/>
      <c r="E205" s="338"/>
    </row>
    <row r="206" spans="4:5">
      <c r="D206" s="22"/>
      <c r="E206" s="338"/>
    </row>
    <row r="207" spans="4:5">
      <c r="D207" s="22"/>
      <c r="E207" s="338"/>
    </row>
    <row r="208" spans="4:5">
      <c r="D208" s="22"/>
      <c r="E208" s="338"/>
    </row>
    <row r="209" spans="4:5">
      <c r="D209" s="22"/>
      <c r="E209" s="338"/>
    </row>
    <row r="210" spans="4:5">
      <c r="D210" s="22"/>
      <c r="E210" s="338"/>
    </row>
    <row r="211" spans="4:5">
      <c r="D211" s="22"/>
      <c r="E211" s="338"/>
    </row>
    <row r="212" spans="4:5">
      <c r="D212" s="22"/>
      <c r="E212" s="338"/>
    </row>
    <row r="213" spans="4:5">
      <c r="D213" s="22"/>
      <c r="E213" s="338"/>
    </row>
    <row r="214" spans="4:5">
      <c r="D214" s="22"/>
      <c r="E214" s="338"/>
    </row>
    <row r="215" spans="4:5">
      <c r="D215" s="22"/>
      <c r="E215" s="338"/>
    </row>
    <row r="216" spans="4:5">
      <c r="D216" s="22"/>
      <c r="E216" s="338"/>
    </row>
    <row r="217" spans="4:5">
      <c r="D217" s="22"/>
      <c r="E217" s="338"/>
    </row>
    <row r="218" spans="4:5">
      <c r="D218" s="22"/>
      <c r="E218" s="338"/>
    </row>
    <row r="219" spans="4:5">
      <c r="D219" s="22"/>
      <c r="E219" s="338"/>
    </row>
    <row r="220" spans="4:5">
      <c r="D220" s="22"/>
      <c r="E220" s="338"/>
    </row>
    <row r="221" spans="4:5">
      <c r="D221" s="22"/>
      <c r="E221" s="338"/>
    </row>
    <row r="222" spans="4:5">
      <c r="D222" s="22"/>
      <c r="E222" s="338"/>
    </row>
    <row r="223" spans="4:5">
      <c r="D223" s="22"/>
      <c r="E223" s="338"/>
    </row>
    <row r="224" spans="4:5">
      <c r="D224" s="22"/>
      <c r="E224" s="338"/>
    </row>
  </sheetData>
  <mergeCells count="1">
    <mergeCell ref="A4:T4"/>
  </mergeCells>
  <phoneticPr fontId="0" type="noConversion"/>
  <printOptions horizontalCentered="1"/>
  <pageMargins left="0.6" right="0.6" top="0.75" bottom="0.5" header="0.25" footer="0.24"/>
  <pageSetup scale="56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tabColor theme="6" tint="0.39997558519241921"/>
    <pageSetUpPr fitToPage="1"/>
  </sheetPr>
  <dimension ref="A1:U169"/>
  <sheetViews>
    <sheetView showGridLines="0" zoomScale="85" zoomScaleNormal="85" zoomScaleSheetLayoutView="80" workbookViewId="0"/>
  </sheetViews>
  <sheetFormatPr defaultColWidth="9.625" defaultRowHeight="15.75"/>
  <cols>
    <col min="1" max="1" width="4.375" style="167" bestFit="1" customWidth="1"/>
    <col min="2" max="2" width="3.875" style="167" customWidth="1"/>
    <col min="3" max="3" width="28.25" style="167" customWidth="1"/>
    <col min="4" max="4" width="7" style="167" customWidth="1"/>
    <col min="5" max="5" width="14.375" style="167" bestFit="1" customWidth="1"/>
    <col min="6" max="6" width="16.5" style="167" bestFit="1" customWidth="1"/>
    <col min="7" max="7" width="8" style="24" customWidth="1"/>
    <col min="8" max="8" width="8.875" style="253" bestFit="1" customWidth="1"/>
    <col min="9" max="9" width="7.75" style="24" customWidth="1"/>
    <col min="10" max="10" width="10.5" style="253" bestFit="1" customWidth="1"/>
    <col min="11" max="11" width="1.375" style="16" customWidth="1"/>
    <col min="12" max="12" width="9.5" style="16" bestFit="1" customWidth="1"/>
    <col min="13" max="13" width="1.625" style="16" customWidth="1"/>
    <col min="14" max="14" width="13.375" style="167" bestFit="1" customWidth="1"/>
    <col min="15" max="15" width="2.75" style="16" customWidth="1"/>
    <col min="16" max="16" width="10.875" style="167" bestFit="1" customWidth="1"/>
    <col min="17" max="17" width="8.125" style="167" customWidth="1"/>
    <col min="18" max="18" width="8.25" style="167" bestFit="1" customWidth="1"/>
    <col min="19" max="16384" width="9.625" style="167"/>
  </cols>
  <sheetData>
    <row r="1" spans="1:21">
      <c r="A1" s="104"/>
      <c r="B1" s="104"/>
      <c r="C1" s="104"/>
      <c r="D1" s="104"/>
      <c r="E1" s="104"/>
      <c r="F1" s="104"/>
      <c r="G1" s="84"/>
      <c r="H1" s="242"/>
      <c r="I1" s="84"/>
      <c r="J1" s="242"/>
      <c r="K1" s="67"/>
      <c r="L1" s="67"/>
      <c r="M1" s="67"/>
      <c r="N1" s="134" t="s">
        <v>191</v>
      </c>
    </row>
    <row r="2" spans="1:21">
      <c r="A2" s="243" t="str">
        <f>CONCATENATE(COMPANY,"-",JURISDICTION)</f>
        <v>Atmos Energy Corporation-Kentucky</v>
      </c>
      <c r="B2" s="244"/>
      <c r="C2" s="244"/>
      <c r="D2" s="244"/>
      <c r="E2" s="244"/>
      <c r="F2" s="244"/>
      <c r="G2" s="85"/>
      <c r="H2" s="244"/>
      <c r="I2" s="85"/>
      <c r="J2" s="244"/>
      <c r="K2" s="68"/>
      <c r="L2" s="68"/>
      <c r="M2" s="68"/>
      <c r="N2" s="245"/>
      <c r="O2" s="17"/>
      <c r="Q2" s="166"/>
      <c r="R2" s="166"/>
      <c r="S2" s="166"/>
      <c r="T2" s="166"/>
      <c r="U2" s="166"/>
    </row>
    <row r="3" spans="1:21">
      <c r="A3" s="246" t="s">
        <v>90</v>
      </c>
      <c r="B3" s="244"/>
      <c r="C3" s="244"/>
      <c r="D3" s="244"/>
      <c r="E3" s="244"/>
      <c r="F3" s="244"/>
      <c r="G3" s="85"/>
      <c r="H3" s="244"/>
      <c r="I3" s="85"/>
      <c r="J3" s="244"/>
      <c r="K3" s="68"/>
      <c r="L3" s="68"/>
      <c r="M3" s="68"/>
      <c r="N3" s="244"/>
      <c r="O3" s="17"/>
      <c r="Q3" s="166"/>
      <c r="R3" s="166"/>
      <c r="S3" s="166"/>
      <c r="T3" s="166"/>
      <c r="U3" s="166"/>
    </row>
    <row r="4" spans="1:21">
      <c r="A4" s="247" t="str">
        <f>"For Forecast Test Year Ended  "&amp;TEXT(ATTR_YEAR, "mmmm dd, yyyy")</f>
        <v>For Forecast Test Year Ended  December 31, 2022</v>
      </c>
      <c r="B4" s="244"/>
      <c r="C4" s="244"/>
      <c r="D4" s="244"/>
      <c r="E4" s="244"/>
      <c r="F4" s="244"/>
      <c r="G4" s="85"/>
      <c r="H4" s="244"/>
      <c r="I4" s="85"/>
      <c r="J4" s="244"/>
      <c r="K4" s="68"/>
      <c r="L4" s="68"/>
      <c r="M4" s="68"/>
      <c r="N4" s="244"/>
      <c r="O4" s="17"/>
      <c r="Q4" s="166"/>
      <c r="R4" s="166"/>
      <c r="S4" s="166"/>
      <c r="T4" s="166"/>
      <c r="U4" s="166"/>
    </row>
    <row r="5" spans="1:21">
      <c r="A5" s="247"/>
      <c r="B5" s="244"/>
      <c r="C5" s="244"/>
      <c r="D5" s="244"/>
      <c r="E5" s="244"/>
      <c r="F5" s="244"/>
      <c r="G5" s="85"/>
      <c r="H5" s="244"/>
      <c r="I5" s="85"/>
      <c r="J5" s="244"/>
      <c r="K5" s="68"/>
      <c r="L5" s="68"/>
      <c r="M5" s="68"/>
      <c r="N5" s="244"/>
      <c r="O5" s="17"/>
      <c r="Q5" s="166"/>
      <c r="R5" s="166"/>
      <c r="S5" s="166"/>
      <c r="T5" s="166"/>
      <c r="U5" s="166"/>
    </row>
    <row r="6" spans="1:21">
      <c r="A6" s="83"/>
      <c r="B6" s="83"/>
      <c r="C6" s="83"/>
      <c r="D6" s="83"/>
      <c r="E6" s="83"/>
      <c r="F6" s="83"/>
      <c r="G6" s="86"/>
      <c r="H6" s="136"/>
      <c r="I6" s="86"/>
      <c r="J6" s="136"/>
      <c r="K6" s="69"/>
      <c r="L6" s="69"/>
      <c r="M6" s="69"/>
      <c r="N6" s="83"/>
      <c r="O6" s="18"/>
      <c r="Q6" s="166"/>
      <c r="R6" s="166"/>
      <c r="S6" s="166"/>
      <c r="T6" s="166"/>
      <c r="U6" s="166"/>
    </row>
    <row r="7" spans="1:21" s="16" customFormat="1">
      <c r="A7" s="69"/>
      <c r="B7" s="70"/>
      <c r="C7" s="70"/>
      <c r="D7" s="70"/>
      <c r="E7" s="70"/>
      <c r="F7" s="71" t="s">
        <v>86</v>
      </c>
      <c r="G7" s="87"/>
      <c r="H7" s="71"/>
      <c r="I7" s="87"/>
      <c r="J7" s="71" t="s">
        <v>2</v>
      </c>
      <c r="K7" s="70"/>
      <c r="L7" s="70"/>
      <c r="M7" s="70"/>
      <c r="N7" s="71" t="s">
        <v>122</v>
      </c>
      <c r="O7" s="19"/>
      <c r="Q7" s="18"/>
      <c r="R7" s="18"/>
      <c r="S7" s="18"/>
      <c r="T7" s="18"/>
      <c r="U7" s="18"/>
    </row>
    <row r="8" spans="1:21" s="16" customFormat="1">
      <c r="A8" s="72" t="s">
        <v>121</v>
      </c>
      <c r="B8" s="70"/>
      <c r="C8" s="70"/>
      <c r="D8" s="70"/>
      <c r="E8" s="71" t="s">
        <v>48</v>
      </c>
      <c r="F8" s="73" t="s">
        <v>94</v>
      </c>
      <c r="G8" s="88"/>
      <c r="H8" s="71" t="s">
        <v>3</v>
      </c>
      <c r="I8" s="88"/>
      <c r="J8" s="71" t="s">
        <v>50</v>
      </c>
      <c r="K8" s="71"/>
      <c r="L8" s="71" t="s">
        <v>51</v>
      </c>
      <c r="M8" s="71"/>
      <c r="N8" s="74" t="s">
        <v>127</v>
      </c>
      <c r="O8" s="20"/>
      <c r="Q8" s="18"/>
      <c r="R8" s="18"/>
      <c r="S8" s="18"/>
      <c r="T8" s="18"/>
      <c r="U8" s="18"/>
    </row>
    <row r="9" spans="1:21" s="16" customFormat="1">
      <c r="A9" s="75" t="s">
        <v>123</v>
      </c>
      <c r="B9" s="76" t="s">
        <v>124</v>
      </c>
      <c r="C9" s="76"/>
      <c r="D9" s="76"/>
      <c r="E9" s="77" t="s">
        <v>49</v>
      </c>
      <c r="F9" s="78" t="s">
        <v>91</v>
      </c>
      <c r="G9" s="89"/>
      <c r="H9" s="77" t="s">
        <v>136</v>
      </c>
      <c r="I9" s="89"/>
      <c r="J9" s="77" t="s">
        <v>136</v>
      </c>
      <c r="K9" s="77"/>
      <c r="L9" s="78" t="s">
        <v>93</v>
      </c>
      <c r="M9" s="77"/>
      <c r="N9" s="78" t="s">
        <v>92</v>
      </c>
      <c r="O9" s="20"/>
      <c r="Q9" s="18"/>
      <c r="R9" s="18"/>
      <c r="S9" s="18"/>
      <c r="T9" s="18"/>
      <c r="U9" s="18"/>
    </row>
    <row r="10" spans="1:21">
      <c r="A10" s="83"/>
      <c r="B10" s="244" t="s">
        <v>128</v>
      </c>
      <c r="C10" s="244"/>
      <c r="D10" s="244"/>
      <c r="E10" s="136" t="s">
        <v>129</v>
      </c>
      <c r="F10" s="248" t="s">
        <v>84</v>
      </c>
      <c r="G10" s="90"/>
      <c r="H10" s="249" t="s">
        <v>131</v>
      </c>
      <c r="I10" s="72"/>
      <c r="J10" s="136" t="s">
        <v>132</v>
      </c>
      <c r="K10" s="72"/>
      <c r="L10" s="249" t="s">
        <v>133</v>
      </c>
      <c r="M10" s="72"/>
      <c r="N10" s="249" t="s">
        <v>134</v>
      </c>
      <c r="O10" s="21"/>
      <c r="Q10" s="166"/>
      <c r="R10" s="166"/>
      <c r="S10" s="166"/>
      <c r="T10" s="166"/>
      <c r="U10" s="166"/>
    </row>
    <row r="11" spans="1:21">
      <c r="A11" s="83"/>
      <c r="B11" s="83"/>
      <c r="C11" s="83"/>
      <c r="D11" s="83"/>
      <c r="E11" s="83"/>
      <c r="F11" s="83"/>
      <c r="G11" s="86"/>
      <c r="H11" s="136"/>
      <c r="I11" s="86"/>
      <c r="J11" s="136"/>
      <c r="K11" s="69"/>
      <c r="L11" s="69"/>
      <c r="M11" s="69"/>
      <c r="N11" s="83"/>
      <c r="O11" s="18"/>
      <c r="Q11" s="166"/>
      <c r="R11" s="166"/>
      <c r="S11" s="166"/>
      <c r="T11" s="166"/>
      <c r="U11" s="166"/>
    </row>
    <row r="12" spans="1:21">
      <c r="A12" s="242">
        <f t="shared" ref="A12" si="0">1+A11</f>
        <v>1</v>
      </c>
      <c r="B12" s="104" t="s">
        <v>80</v>
      </c>
      <c r="C12" s="104"/>
      <c r="D12" s="104"/>
      <c r="E12" s="104"/>
      <c r="F12" s="104"/>
      <c r="G12" s="84"/>
      <c r="H12" s="242"/>
      <c r="I12" s="84"/>
      <c r="J12" s="242"/>
      <c r="K12" s="67"/>
      <c r="L12" s="67"/>
      <c r="M12" s="67"/>
      <c r="N12" s="104"/>
      <c r="P12" s="368"/>
      <c r="Q12" s="368"/>
      <c r="R12" s="368"/>
    </row>
    <row r="13" spans="1:21">
      <c r="A13" s="242">
        <v>2</v>
      </c>
      <c r="B13" s="104"/>
      <c r="C13" s="83" t="s">
        <v>135</v>
      </c>
      <c r="D13" s="83"/>
      <c r="E13" s="69">
        <v>77873656.336473569</v>
      </c>
      <c r="F13" s="69">
        <f>ROUND(E13/365,0)</f>
        <v>213352</v>
      </c>
      <c r="G13" s="86" t="s">
        <v>208</v>
      </c>
      <c r="H13" s="79">
        <f>'ATO-CWC2'!$C$19</f>
        <v>34.159999999999997</v>
      </c>
      <c r="I13" s="86" t="s">
        <v>209</v>
      </c>
      <c r="J13" s="79">
        <f>'ATO-CWC3'!L128</f>
        <v>38.74</v>
      </c>
      <c r="K13" s="69"/>
      <c r="L13" s="80">
        <f>H13-J13</f>
        <v>-4.5800000000000054</v>
      </c>
      <c r="M13" s="69"/>
      <c r="N13" s="69">
        <f>L13*F13</f>
        <v>-977152.1600000012</v>
      </c>
      <c r="O13" s="18"/>
      <c r="P13" s="340"/>
      <c r="Q13" s="341"/>
      <c r="R13" s="341"/>
      <c r="S13" s="166"/>
      <c r="T13" s="166"/>
      <c r="U13" s="166"/>
    </row>
    <row r="14" spans="1:21">
      <c r="A14" s="242">
        <v>3</v>
      </c>
      <c r="B14" s="83"/>
      <c r="C14" s="83"/>
      <c r="D14" s="83"/>
      <c r="E14" s="83"/>
      <c r="F14" s="83"/>
      <c r="G14" s="86"/>
      <c r="H14" s="79"/>
      <c r="I14" s="86"/>
      <c r="J14" s="136"/>
      <c r="K14" s="69"/>
      <c r="L14" s="69"/>
      <c r="M14" s="69"/>
      <c r="N14" s="83"/>
      <c r="O14" s="18"/>
      <c r="P14" s="340"/>
      <c r="Q14" s="341"/>
      <c r="R14" s="166"/>
      <c r="S14" s="166"/>
      <c r="T14" s="166"/>
      <c r="U14" s="166"/>
    </row>
    <row r="15" spans="1:21">
      <c r="A15" s="242">
        <v>4</v>
      </c>
      <c r="B15" s="104" t="s">
        <v>46</v>
      </c>
      <c r="C15" s="104"/>
      <c r="D15" s="104"/>
      <c r="E15" s="104"/>
      <c r="F15" s="104"/>
      <c r="G15" s="84"/>
      <c r="H15" s="250"/>
      <c r="I15" s="84"/>
      <c r="J15" s="242"/>
      <c r="K15" s="67"/>
      <c r="L15" s="67"/>
      <c r="M15" s="67"/>
      <c r="N15" s="104"/>
      <c r="P15" s="252"/>
      <c r="Q15" s="341"/>
    </row>
    <row r="16" spans="1:21">
      <c r="A16" s="242">
        <v>5</v>
      </c>
      <c r="B16" s="104"/>
      <c r="C16" s="83" t="s">
        <v>159</v>
      </c>
      <c r="D16" s="83"/>
      <c r="E16" s="83">
        <v>11642074.285009157</v>
      </c>
      <c r="F16" s="69">
        <f>ROUND(E16/365,0)</f>
        <v>31896</v>
      </c>
      <c r="G16" s="86" t="s">
        <v>208</v>
      </c>
      <c r="H16" s="79">
        <f>'ATO-CWC2'!$C$19</f>
        <v>34.159999999999997</v>
      </c>
      <c r="I16" s="86" t="s">
        <v>210</v>
      </c>
      <c r="J16" s="79">
        <f>'ATO-CWC4'!I59</f>
        <v>14.08</v>
      </c>
      <c r="K16" s="69"/>
      <c r="L16" s="80">
        <f>H16-J16</f>
        <v>20.079999999999998</v>
      </c>
      <c r="M16" s="69"/>
      <c r="N16" s="69">
        <f>L16*F16</f>
        <v>640471.67999999993</v>
      </c>
      <c r="O16" s="18"/>
      <c r="P16" s="340"/>
      <c r="Q16" s="341"/>
      <c r="R16" s="341"/>
      <c r="S16" s="166"/>
      <c r="T16" s="166"/>
      <c r="U16" s="166"/>
    </row>
    <row r="17" spans="1:21">
      <c r="A17" s="242">
        <v>6</v>
      </c>
      <c r="B17" s="104"/>
      <c r="C17" s="83" t="s">
        <v>160</v>
      </c>
      <c r="D17" s="83"/>
      <c r="E17" s="241">
        <f>E18-E16</f>
        <v>17514353.1194916</v>
      </c>
      <c r="F17" s="69">
        <f>ROUND(E17/365,0)</f>
        <v>47985</v>
      </c>
      <c r="G17" s="86" t="s">
        <v>208</v>
      </c>
      <c r="H17" s="79">
        <f>'ATO-CWC2'!$C$19</f>
        <v>34.159999999999997</v>
      </c>
      <c r="I17" s="86" t="s">
        <v>211</v>
      </c>
      <c r="J17" s="81">
        <f ca="1">'ATO-CWC5'!E15</f>
        <v>28.060000000000002</v>
      </c>
      <c r="K17" s="69"/>
      <c r="L17" s="80">
        <f ca="1">H17-J17</f>
        <v>6.0999999999999943</v>
      </c>
      <c r="M17" s="69"/>
      <c r="N17" s="241">
        <f ca="1">L17*F17</f>
        <v>292708.49999999971</v>
      </c>
      <c r="O17" s="18"/>
      <c r="P17" s="340"/>
      <c r="Q17" s="341"/>
      <c r="R17" s="341"/>
      <c r="S17" s="166"/>
      <c r="T17" s="166"/>
      <c r="U17" s="166"/>
    </row>
    <row r="18" spans="1:21">
      <c r="A18" s="242">
        <v>7</v>
      </c>
      <c r="B18" s="104" t="s">
        <v>79</v>
      </c>
      <c r="C18" s="104"/>
      <c r="D18" s="104"/>
      <c r="E18" s="83">
        <v>29156427.404500756</v>
      </c>
      <c r="F18" s="83"/>
      <c r="G18" s="84"/>
      <c r="H18" s="250"/>
      <c r="I18" s="84"/>
      <c r="J18" s="242"/>
      <c r="K18" s="67"/>
      <c r="L18" s="67"/>
      <c r="M18" s="67"/>
      <c r="N18" s="83">
        <f ca="1">SUM(N16:N17)</f>
        <v>933180.1799999997</v>
      </c>
      <c r="P18" s="252"/>
      <c r="Q18" s="341"/>
      <c r="T18" s="166"/>
      <c r="U18" s="166"/>
    </row>
    <row r="19" spans="1:21">
      <c r="A19" s="242">
        <v>8</v>
      </c>
      <c r="B19" s="104"/>
      <c r="C19" s="83"/>
      <c r="D19" s="83"/>
      <c r="E19" s="104"/>
      <c r="F19" s="104"/>
      <c r="G19" s="86"/>
      <c r="H19" s="79"/>
      <c r="I19" s="86"/>
      <c r="J19" s="136"/>
      <c r="K19" s="69"/>
      <c r="L19" s="69"/>
      <c r="M19" s="69"/>
      <c r="N19" s="104"/>
      <c r="O19" s="18"/>
      <c r="P19" s="340"/>
      <c r="Q19" s="341"/>
      <c r="S19" s="166"/>
    </row>
    <row r="20" spans="1:21">
      <c r="A20" s="242">
        <v>9</v>
      </c>
      <c r="B20" s="83" t="s">
        <v>47</v>
      </c>
      <c r="C20" s="83"/>
      <c r="D20" s="83"/>
      <c r="E20" s="83"/>
      <c r="F20" s="83"/>
      <c r="G20" s="86"/>
      <c r="H20" s="79"/>
      <c r="I20" s="86"/>
      <c r="J20" s="136"/>
      <c r="K20" s="69"/>
      <c r="L20" s="69"/>
      <c r="M20" s="69"/>
      <c r="N20" s="83"/>
      <c r="O20" s="18"/>
      <c r="P20" s="340"/>
      <c r="Q20" s="341"/>
      <c r="S20" s="166"/>
      <c r="T20" s="166"/>
      <c r="U20" s="166"/>
    </row>
    <row r="21" spans="1:21">
      <c r="A21" s="242">
        <v>10</v>
      </c>
      <c r="B21" s="104"/>
      <c r="C21" s="83" t="s">
        <v>35</v>
      </c>
      <c r="D21" s="83"/>
      <c r="E21" s="69">
        <v>8660652.0671408866</v>
      </c>
      <c r="F21" s="69">
        <f t="shared" ref="F21:F26" si="1">ROUND(E21/365,0)</f>
        <v>23728</v>
      </c>
      <c r="G21" s="86" t="s">
        <v>208</v>
      </c>
      <c r="H21" s="79">
        <f>'ATO-CWC2'!$C$19</f>
        <v>34.159999999999997</v>
      </c>
      <c r="I21" s="86" t="s">
        <v>212</v>
      </c>
      <c r="J21" s="81">
        <f>'ATO-CWC6'!$E$24</f>
        <v>346.39129575819396</v>
      </c>
      <c r="K21" s="69"/>
      <c r="L21" s="80">
        <f t="shared" ref="L21:L26" si="2">H21-J21</f>
        <v>-312.23129575819394</v>
      </c>
      <c r="M21" s="69"/>
      <c r="N21" s="69">
        <f t="shared" ref="N21:N26" si="3">L21*F21</f>
        <v>-7408624.1857504258</v>
      </c>
      <c r="O21" s="18"/>
      <c r="P21" s="340"/>
      <c r="Q21" s="341"/>
      <c r="R21" s="341"/>
      <c r="S21" s="166"/>
      <c r="T21" s="166"/>
      <c r="U21" s="166"/>
    </row>
    <row r="22" spans="1:21">
      <c r="A22" s="242">
        <v>11</v>
      </c>
      <c r="B22" s="104"/>
      <c r="C22" s="83" t="s">
        <v>257</v>
      </c>
      <c r="D22" s="83"/>
      <c r="E22" s="69">
        <v>19475</v>
      </c>
      <c r="F22" s="69">
        <f t="shared" si="1"/>
        <v>53</v>
      </c>
      <c r="G22" s="86" t="s">
        <v>208</v>
      </c>
      <c r="H22" s="79">
        <f>'ATO-CWC2'!$C$19</f>
        <v>34.159999999999997</v>
      </c>
      <c r="I22" s="86" t="s">
        <v>212</v>
      </c>
      <c r="J22" s="81">
        <f>'ATO-CWC6'!E29</f>
        <v>58.819980519574926</v>
      </c>
      <c r="K22" s="69"/>
      <c r="L22" s="80">
        <f t="shared" si="2"/>
        <v>-24.65998051957493</v>
      </c>
      <c r="M22" s="69"/>
      <c r="N22" s="69">
        <f t="shared" si="3"/>
        <v>-1306.9789675374714</v>
      </c>
      <c r="O22" s="18"/>
      <c r="P22" s="340"/>
      <c r="Q22" s="341"/>
      <c r="R22" s="341"/>
      <c r="S22" s="166"/>
      <c r="T22" s="166"/>
      <c r="U22" s="166"/>
    </row>
    <row r="23" spans="1:21">
      <c r="A23" s="242">
        <v>12</v>
      </c>
      <c r="B23" s="104"/>
      <c r="C23" s="83" t="s">
        <v>78</v>
      </c>
      <c r="D23" s="83"/>
      <c r="E23" s="69">
        <v>559730.44532399287</v>
      </c>
      <c r="F23" s="69">
        <f t="shared" si="1"/>
        <v>1534</v>
      </c>
      <c r="G23" s="86" t="s">
        <v>208</v>
      </c>
      <c r="H23" s="79">
        <f>'ATO-CWC2'!$C$19</f>
        <v>34.159999999999997</v>
      </c>
      <c r="I23" s="86" t="s">
        <v>212</v>
      </c>
      <c r="J23" s="81">
        <f>'ATO-CWC6'!$E$20</f>
        <v>83.625</v>
      </c>
      <c r="K23" s="69"/>
      <c r="L23" s="80">
        <f t="shared" si="2"/>
        <v>-49.465000000000003</v>
      </c>
      <c r="M23" s="69"/>
      <c r="N23" s="69">
        <f t="shared" si="3"/>
        <v>-75879.310000000012</v>
      </c>
      <c r="O23" s="18"/>
      <c r="P23" s="340"/>
      <c r="Q23" s="341"/>
      <c r="R23" s="341"/>
      <c r="S23" s="166"/>
      <c r="T23" s="166"/>
      <c r="U23" s="166"/>
    </row>
    <row r="24" spans="1:21">
      <c r="A24" s="242">
        <v>13</v>
      </c>
      <c r="B24" s="104"/>
      <c r="C24" s="83" t="s">
        <v>254</v>
      </c>
      <c r="D24" s="83"/>
      <c r="E24" s="69">
        <v>8874645.2300000004</v>
      </c>
      <c r="F24" s="69">
        <f t="shared" si="1"/>
        <v>24314</v>
      </c>
      <c r="G24" s="86" t="s">
        <v>208</v>
      </c>
      <c r="H24" s="79">
        <f>'ATO-CWC2'!$C$19</f>
        <v>34.159999999999997</v>
      </c>
      <c r="I24" s="86" t="s">
        <v>212</v>
      </c>
      <c r="J24" s="79">
        <f>'ATO-CWC6'!E31</f>
        <v>40.188120970667796</v>
      </c>
      <c r="K24" s="69"/>
      <c r="L24" s="80">
        <f t="shared" si="2"/>
        <v>-6.0281209706677998</v>
      </c>
      <c r="M24" s="69"/>
      <c r="N24" s="69">
        <f t="shared" si="3"/>
        <v>-146567.73328081687</v>
      </c>
      <c r="O24" s="18"/>
      <c r="P24" s="340"/>
      <c r="Q24" s="341"/>
      <c r="R24" s="341"/>
      <c r="S24" s="166"/>
      <c r="T24" s="166"/>
      <c r="U24" s="166"/>
    </row>
    <row r="25" spans="1:21">
      <c r="A25" s="242">
        <v>14</v>
      </c>
      <c r="B25" s="83"/>
      <c r="C25" s="83" t="s">
        <v>236</v>
      </c>
      <c r="D25" s="83"/>
      <c r="E25" s="69">
        <v>390530.6438993389</v>
      </c>
      <c r="F25" s="69">
        <f t="shared" si="1"/>
        <v>1070</v>
      </c>
      <c r="G25" s="86" t="s">
        <v>248</v>
      </c>
      <c r="H25" s="79">
        <v>0</v>
      </c>
      <c r="I25" s="86" t="s">
        <v>212</v>
      </c>
      <c r="J25" s="81">
        <f>'ATO-CWC6'!$E$35</f>
        <v>0</v>
      </c>
      <c r="K25" s="69"/>
      <c r="L25" s="80">
        <f t="shared" si="2"/>
        <v>0</v>
      </c>
      <c r="M25" s="69"/>
      <c r="N25" s="69">
        <f t="shared" si="3"/>
        <v>0</v>
      </c>
      <c r="O25" s="18"/>
      <c r="P25" s="340"/>
      <c r="Q25" s="341"/>
      <c r="R25" s="341"/>
      <c r="S25" s="166"/>
      <c r="T25" s="166"/>
      <c r="U25" s="166"/>
    </row>
    <row r="26" spans="1:21">
      <c r="A26" s="242">
        <v>15</v>
      </c>
      <c r="B26" s="104"/>
      <c r="C26" s="83" t="s">
        <v>163</v>
      </c>
      <c r="D26" s="83"/>
      <c r="E26" s="69">
        <v>145406</v>
      </c>
      <c r="F26" s="69">
        <f t="shared" si="1"/>
        <v>398</v>
      </c>
      <c r="G26" s="86" t="s">
        <v>208</v>
      </c>
      <c r="H26" s="79">
        <f>'ATO-CWC2'!$C$19</f>
        <v>34.159999999999997</v>
      </c>
      <c r="I26" s="86" t="s">
        <v>212</v>
      </c>
      <c r="J26" s="81">
        <f>'ATO-CWC6'!E38</f>
        <v>59</v>
      </c>
      <c r="K26" s="69"/>
      <c r="L26" s="80">
        <f t="shared" si="2"/>
        <v>-24.840000000000003</v>
      </c>
      <c r="M26" s="69"/>
      <c r="N26" s="69">
        <f t="shared" si="3"/>
        <v>-9886.3200000000015</v>
      </c>
      <c r="O26" s="18"/>
      <c r="P26" s="340"/>
      <c r="Q26" s="341"/>
      <c r="R26" s="341"/>
      <c r="S26" s="166"/>
      <c r="T26" s="166"/>
      <c r="U26" s="166"/>
    </row>
    <row r="27" spans="1:21">
      <c r="A27" s="242">
        <v>16</v>
      </c>
      <c r="B27" s="104"/>
      <c r="C27" s="104"/>
      <c r="D27" s="104"/>
      <c r="E27" s="83"/>
      <c r="F27" s="83"/>
      <c r="G27" s="86"/>
      <c r="H27" s="79"/>
      <c r="I27" s="86"/>
      <c r="J27" s="136"/>
      <c r="K27" s="69"/>
      <c r="L27" s="69"/>
      <c r="M27" s="69"/>
      <c r="N27" s="83"/>
      <c r="O27" s="18"/>
      <c r="P27" s="340"/>
      <c r="Q27" s="341"/>
      <c r="R27" s="166"/>
      <c r="S27" s="166"/>
      <c r="T27" s="166"/>
      <c r="U27" s="166"/>
    </row>
    <row r="28" spans="1:21">
      <c r="A28" s="242">
        <v>17</v>
      </c>
      <c r="B28" s="83" t="s">
        <v>31</v>
      </c>
      <c r="C28" s="104"/>
      <c r="D28" s="104"/>
      <c r="E28" s="173"/>
      <c r="F28" s="83"/>
      <c r="G28" s="86"/>
      <c r="H28" s="79"/>
      <c r="I28" s="86"/>
      <c r="J28" s="136"/>
      <c r="K28" s="69"/>
      <c r="L28" s="69"/>
      <c r="M28" s="69"/>
      <c r="N28" s="83"/>
      <c r="O28" s="18"/>
      <c r="P28" s="340"/>
      <c r="Q28" s="341"/>
      <c r="R28" s="166"/>
      <c r="S28" s="166"/>
      <c r="T28" s="166"/>
      <c r="U28" s="166"/>
    </row>
    <row r="29" spans="1:21">
      <c r="A29" s="242">
        <v>18</v>
      </c>
      <c r="B29" s="104"/>
      <c r="C29" s="83" t="s">
        <v>35</v>
      </c>
      <c r="D29" s="251"/>
      <c r="E29" s="69">
        <v>110117.94906910509</v>
      </c>
      <c r="F29" s="69">
        <f t="shared" ref="F29:F30" si="4">ROUND(E29/365,0)</f>
        <v>302</v>
      </c>
      <c r="G29" s="86" t="s">
        <v>208</v>
      </c>
      <c r="H29" s="79">
        <f>'ATO-CWC2'!$C$19</f>
        <v>34.159999999999997</v>
      </c>
      <c r="I29" s="86" t="s">
        <v>212</v>
      </c>
      <c r="J29" s="81">
        <f>'ATO-CWC6'!E27</f>
        <v>213.5</v>
      </c>
      <c r="K29" s="69"/>
      <c r="L29" s="80">
        <f>H29-J29</f>
        <v>-179.34</v>
      </c>
      <c r="M29" s="69"/>
      <c r="N29" s="69">
        <f>L29*F29</f>
        <v>-54160.68</v>
      </c>
      <c r="O29" s="18"/>
      <c r="P29" s="342"/>
      <c r="Q29" s="341"/>
      <c r="R29" s="341"/>
      <c r="S29" s="166"/>
      <c r="T29" s="166"/>
      <c r="U29" s="166"/>
    </row>
    <row r="30" spans="1:21">
      <c r="A30" s="242">
        <v>19</v>
      </c>
      <c r="B30" s="104"/>
      <c r="C30" s="83" t="s">
        <v>78</v>
      </c>
      <c r="D30" s="251"/>
      <c r="E30" s="69">
        <v>258445.25017449431</v>
      </c>
      <c r="F30" s="69">
        <f t="shared" si="4"/>
        <v>708</v>
      </c>
      <c r="G30" s="86" t="s">
        <v>208</v>
      </c>
      <c r="H30" s="79">
        <f>'ATO-CWC2'!$C$19</f>
        <v>34.159999999999997</v>
      </c>
      <c r="I30" s="86" t="s">
        <v>212</v>
      </c>
      <c r="J30" s="81">
        <f>'ATO-CWC6'!$E$20</f>
        <v>83.625</v>
      </c>
      <c r="K30" s="69"/>
      <c r="L30" s="80">
        <f>H30-J30</f>
        <v>-49.465000000000003</v>
      </c>
      <c r="M30" s="69"/>
      <c r="N30" s="69">
        <f>L30*F30</f>
        <v>-35021.22</v>
      </c>
      <c r="O30" s="18"/>
      <c r="P30" s="340"/>
      <c r="Q30" s="341"/>
      <c r="R30" s="341"/>
      <c r="S30" s="343"/>
      <c r="T30" s="166"/>
      <c r="U30" s="166"/>
    </row>
    <row r="31" spans="1:21">
      <c r="A31" s="242">
        <v>20</v>
      </c>
      <c r="B31" s="104"/>
      <c r="C31" s="104"/>
      <c r="D31" s="168"/>
      <c r="E31" s="104"/>
      <c r="F31" s="104"/>
      <c r="G31" s="84"/>
      <c r="H31" s="242"/>
      <c r="I31" s="84"/>
      <c r="J31" s="242"/>
      <c r="K31" s="67"/>
      <c r="L31" s="67"/>
      <c r="M31" s="67"/>
      <c r="N31" s="104"/>
      <c r="P31" s="253"/>
      <c r="Q31" s="341"/>
      <c r="R31" s="166"/>
      <c r="S31" s="166"/>
      <c r="T31" s="166"/>
      <c r="U31" s="166"/>
    </row>
    <row r="32" spans="1:21">
      <c r="A32" s="242">
        <v>21</v>
      </c>
      <c r="B32" s="104" t="s">
        <v>32</v>
      </c>
      <c r="C32" s="104"/>
      <c r="D32" s="168"/>
      <c r="E32" s="104"/>
      <c r="F32" s="104"/>
      <c r="G32" s="84"/>
      <c r="H32" s="242"/>
      <c r="I32" s="84"/>
      <c r="J32" s="242"/>
      <c r="K32" s="67"/>
      <c r="L32" s="67"/>
      <c r="M32" s="67"/>
      <c r="N32" s="104"/>
      <c r="P32" s="253"/>
      <c r="Q32" s="341"/>
      <c r="R32" s="166"/>
      <c r="S32" s="166"/>
      <c r="T32" s="166"/>
      <c r="U32" s="166"/>
    </row>
    <row r="33" spans="1:21">
      <c r="A33" s="242">
        <v>22</v>
      </c>
      <c r="B33" s="104"/>
      <c r="C33" s="83" t="s">
        <v>35</v>
      </c>
      <c r="D33" s="251"/>
      <c r="E33" s="69">
        <v>0</v>
      </c>
      <c r="F33" s="69">
        <f t="shared" ref="F33:F34" si="5">ROUND(E33/365,0)</f>
        <v>0</v>
      </c>
      <c r="G33" s="86" t="s">
        <v>208</v>
      </c>
      <c r="H33" s="79">
        <f>'ATO-CWC2'!$C$19</f>
        <v>34.159999999999997</v>
      </c>
      <c r="I33" s="86" t="s">
        <v>212</v>
      </c>
      <c r="J33" s="81">
        <f>'ATO-CWC6'!$E$24</f>
        <v>346.39129575819396</v>
      </c>
      <c r="K33" s="67"/>
      <c r="L33" s="80">
        <f>H33-J33</f>
        <v>-312.23129575819394</v>
      </c>
      <c r="M33" s="67"/>
      <c r="N33" s="69">
        <f>L33*F33</f>
        <v>0</v>
      </c>
      <c r="P33" s="342"/>
      <c r="Q33" s="341"/>
      <c r="R33" s="341"/>
    </row>
    <row r="34" spans="1:21">
      <c r="A34" s="242">
        <v>23</v>
      </c>
      <c r="B34" s="104"/>
      <c r="C34" s="83" t="s">
        <v>78</v>
      </c>
      <c r="D34" s="251"/>
      <c r="E34" s="69">
        <v>134837.06995688728</v>
      </c>
      <c r="F34" s="69">
        <f t="shared" si="5"/>
        <v>369</v>
      </c>
      <c r="G34" s="86" t="s">
        <v>208</v>
      </c>
      <c r="H34" s="79">
        <f>'ATO-CWC2'!$C$19</f>
        <v>34.159999999999997</v>
      </c>
      <c r="I34" s="86" t="s">
        <v>212</v>
      </c>
      <c r="J34" s="81">
        <f>'ATO-CWC6'!$E$20</f>
        <v>83.625</v>
      </c>
      <c r="K34" s="67"/>
      <c r="L34" s="80">
        <f>H34-J34</f>
        <v>-49.465000000000003</v>
      </c>
      <c r="M34" s="67"/>
      <c r="N34" s="69">
        <f>L34*F34</f>
        <v>-18252.585000000003</v>
      </c>
      <c r="P34" s="340"/>
      <c r="Q34" s="341"/>
      <c r="R34" s="341"/>
    </row>
    <row r="35" spans="1:21">
      <c r="A35" s="242">
        <v>24</v>
      </c>
      <c r="B35" s="83" t="s">
        <v>57</v>
      </c>
      <c r="C35" s="83"/>
      <c r="D35" s="83"/>
      <c r="E35" s="82">
        <f>SUM(E21:E34)</f>
        <v>19153839.655564703</v>
      </c>
      <c r="F35" s="69"/>
      <c r="G35" s="86"/>
      <c r="H35" s="79"/>
      <c r="I35" s="86"/>
      <c r="J35" s="136"/>
      <c r="K35" s="69"/>
      <c r="L35" s="69"/>
      <c r="M35" s="69"/>
      <c r="N35" s="82">
        <f>SUM(N21:N34)</f>
        <v>-7749699.0129987793</v>
      </c>
      <c r="O35" s="18"/>
      <c r="P35" s="340"/>
      <c r="Q35" s="341"/>
      <c r="R35" s="166"/>
    </row>
    <row r="36" spans="1:21">
      <c r="A36" s="242">
        <v>25</v>
      </c>
      <c r="B36" s="104"/>
      <c r="C36" s="83"/>
      <c r="D36" s="83"/>
      <c r="E36" s="83"/>
      <c r="F36" s="83"/>
      <c r="G36" s="86"/>
      <c r="H36" s="79"/>
      <c r="I36" s="86"/>
      <c r="J36" s="136"/>
      <c r="K36" s="69"/>
      <c r="L36" s="69"/>
      <c r="M36" s="69"/>
      <c r="N36" s="83"/>
      <c r="O36" s="18"/>
      <c r="P36" s="340"/>
      <c r="Q36" s="341"/>
      <c r="R36" s="166"/>
      <c r="S36" s="166"/>
      <c r="T36" s="166"/>
      <c r="U36" s="166"/>
    </row>
    <row r="37" spans="1:21">
      <c r="A37" s="242">
        <v>26</v>
      </c>
      <c r="B37" s="83" t="s">
        <v>158</v>
      </c>
      <c r="C37" s="83"/>
      <c r="D37" s="83"/>
      <c r="E37" s="351">
        <v>9332908.4236388169</v>
      </c>
      <c r="F37" s="104"/>
      <c r="G37" s="84"/>
      <c r="H37" s="242"/>
      <c r="I37" s="84"/>
      <c r="J37" s="242"/>
      <c r="K37" s="67"/>
      <c r="L37" s="67"/>
      <c r="M37" s="67"/>
      <c r="N37" s="104"/>
      <c r="O37" s="18"/>
      <c r="P37" s="253"/>
      <c r="Q37" s="341"/>
      <c r="R37" s="166"/>
      <c r="S37" s="166"/>
      <c r="T37" s="166"/>
      <c r="U37" s="166"/>
    </row>
    <row r="38" spans="1:21">
      <c r="A38" s="242">
        <v>27</v>
      </c>
      <c r="B38" s="104"/>
      <c r="C38" s="83" t="s">
        <v>108</v>
      </c>
      <c r="D38" s="83"/>
      <c r="E38" s="83">
        <f>E37-E39</f>
        <v>0</v>
      </c>
      <c r="F38" s="69">
        <f t="shared" ref="F38:F39" si="6">ROUND(E38/365,0)</f>
        <v>0</v>
      </c>
      <c r="G38" s="86" t="s">
        <v>208</v>
      </c>
      <c r="H38" s="79">
        <f>'ATO-CWC2'!$C$19</f>
        <v>34.159999999999997</v>
      </c>
      <c r="I38" s="86" t="s">
        <v>213</v>
      </c>
      <c r="J38" s="79">
        <f>'ATO-CWC7'!$H$16</f>
        <v>-61.75</v>
      </c>
      <c r="K38" s="69"/>
      <c r="L38" s="80">
        <f>H38-J38</f>
        <v>95.91</v>
      </c>
      <c r="M38" s="69"/>
      <c r="N38" s="69">
        <f>L38*F38</f>
        <v>0</v>
      </c>
      <c r="O38" s="18"/>
      <c r="P38" s="340"/>
      <c r="Q38" s="341"/>
      <c r="R38" s="341"/>
      <c r="T38" s="166"/>
      <c r="U38" s="166"/>
    </row>
    <row r="39" spans="1:21">
      <c r="A39" s="242">
        <v>28</v>
      </c>
      <c r="B39" s="83"/>
      <c r="C39" s="83" t="s">
        <v>107</v>
      </c>
      <c r="D39" s="83"/>
      <c r="E39" s="83">
        <f>E37</f>
        <v>9332908.4236388169</v>
      </c>
      <c r="F39" s="69">
        <f t="shared" si="6"/>
        <v>25570</v>
      </c>
      <c r="G39" s="86" t="s">
        <v>208</v>
      </c>
      <c r="H39" s="79">
        <f>'ATO-CWC2'!$C$19</f>
        <v>34.159999999999997</v>
      </c>
      <c r="I39" s="86" t="s">
        <v>213</v>
      </c>
      <c r="J39" s="79">
        <v>0</v>
      </c>
      <c r="K39" s="69"/>
      <c r="L39" s="80">
        <f>H39-J39</f>
        <v>34.159999999999997</v>
      </c>
      <c r="M39" s="69"/>
      <c r="N39" s="69">
        <f>L39*F39</f>
        <v>873471.2</v>
      </c>
      <c r="O39" s="18"/>
      <c r="P39" s="340"/>
      <c r="Q39" s="341"/>
      <c r="R39" s="341"/>
      <c r="T39" s="166"/>
      <c r="U39" s="166"/>
    </row>
    <row r="40" spans="1:21">
      <c r="A40" s="242">
        <v>29</v>
      </c>
      <c r="B40" s="83"/>
      <c r="C40" s="83"/>
      <c r="D40" s="83"/>
      <c r="E40" s="83"/>
      <c r="F40" s="83"/>
      <c r="G40" s="86"/>
      <c r="H40" s="79"/>
      <c r="I40" s="86"/>
      <c r="J40" s="136"/>
      <c r="K40" s="69"/>
      <c r="L40" s="69"/>
      <c r="M40" s="69"/>
      <c r="N40" s="83"/>
      <c r="O40" s="18"/>
      <c r="P40" s="340"/>
      <c r="Q40" s="341"/>
      <c r="T40" s="166"/>
      <c r="U40" s="166"/>
    </row>
    <row r="41" spans="1:21">
      <c r="A41" s="242">
        <v>30</v>
      </c>
      <c r="B41" s="83" t="s">
        <v>239</v>
      </c>
      <c r="C41" s="83"/>
      <c r="D41" s="83"/>
      <c r="E41" s="83">
        <v>2358157.95271825</v>
      </c>
      <c r="F41" s="104"/>
      <c r="G41" s="84"/>
      <c r="H41" s="242"/>
      <c r="I41" s="84"/>
      <c r="J41" s="242"/>
      <c r="K41" s="67"/>
      <c r="L41" s="67"/>
      <c r="M41" s="67"/>
      <c r="N41" s="104"/>
      <c r="O41" s="18"/>
      <c r="P41" s="253"/>
      <c r="Q41" s="341"/>
      <c r="R41" s="166"/>
      <c r="S41" s="166"/>
    </row>
    <row r="42" spans="1:21">
      <c r="A42" s="242">
        <v>31</v>
      </c>
      <c r="B42" s="104"/>
      <c r="C42" s="83" t="s">
        <v>108</v>
      </c>
      <c r="D42" s="83"/>
      <c r="E42" s="83">
        <f>E41-E43</f>
        <v>0</v>
      </c>
      <c r="F42" s="69">
        <f t="shared" ref="F42:F43" si="7">ROUND(E42/365,0)</f>
        <v>0</v>
      </c>
      <c r="G42" s="86" t="s">
        <v>208</v>
      </c>
      <c r="H42" s="79">
        <f>'ATO-CWC2'!$C$19</f>
        <v>34.159999999999997</v>
      </c>
      <c r="I42" s="86" t="s">
        <v>214</v>
      </c>
      <c r="J42" s="79">
        <f>'ATO-CWC8'!H16</f>
        <v>-61.75</v>
      </c>
      <c r="K42" s="69"/>
      <c r="L42" s="80">
        <f>H42-J42</f>
        <v>95.91</v>
      </c>
      <c r="M42" s="69"/>
      <c r="N42" s="69">
        <f>L42*F42</f>
        <v>0</v>
      </c>
      <c r="O42" s="18"/>
      <c r="P42" s="340"/>
      <c r="Q42" s="341"/>
      <c r="R42" s="341"/>
      <c r="S42" s="166"/>
    </row>
    <row r="43" spans="1:21">
      <c r="A43" s="242">
        <v>32</v>
      </c>
      <c r="B43" s="83"/>
      <c r="C43" s="83" t="s">
        <v>107</v>
      </c>
      <c r="D43" s="83"/>
      <c r="E43" s="83">
        <f>E41</f>
        <v>2358157.95271825</v>
      </c>
      <c r="F43" s="69">
        <f t="shared" si="7"/>
        <v>6461</v>
      </c>
      <c r="G43" s="86" t="s">
        <v>208</v>
      </c>
      <c r="H43" s="79">
        <f>'ATO-CWC2'!$C$19</f>
        <v>34.159999999999997</v>
      </c>
      <c r="I43" s="86" t="s">
        <v>214</v>
      </c>
      <c r="J43" s="79">
        <f>'ATO-CWC8'!H17</f>
        <v>0</v>
      </c>
      <c r="K43" s="69"/>
      <c r="L43" s="80">
        <f>H43-J43</f>
        <v>34.159999999999997</v>
      </c>
      <c r="M43" s="69"/>
      <c r="N43" s="69">
        <f>L43*F43</f>
        <v>220707.75999999998</v>
      </c>
      <c r="O43" s="18"/>
      <c r="P43" s="340"/>
      <c r="Q43" s="341"/>
      <c r="R43" s="341"/>
      <c r="S43" s="166"/>
    </row>
    <row r="44" spans="1:21">
      <c r="A44" s="242">
        <v>33</v>
      </c>
      <c r="B44" s="83"/>
      <c r="C44" s="83"/>
      <c r="D44" s="83"/>
      <c r="E44" s="83"/>
      <c r="F44" s="83"/>
      <c r="G44" s="86"/>
      <c r="H44" s="79"/>
      <c r="I44" s="86"/>
      <c r="J44" s="136"/>
      <c r="K44" s="69"/>
      <c r="L44" s="80"/>
      <c r="M44" s="69"/>
      <c r="N44" s="69"/>
      <c r="O44" s="18"/>
      <c r="P44" s="340"/>
      <c r="Q44" s="341"/>
      <c r="R44" s="166"/>
      <c r="S44" s="166"/>
    </row>
    <row r="45" spans="1:21">
      <c r="A45" s="242">
        <v>34</v>
      </c>
      <c r="B45" s="104" t="s">
        <v>45</v>
      </c>
      <c r="C45" s="83"/>
      <c r="D45" s="83"/>
      <c r="E45" s="67">
        <v>20604446.98537245</v>
      </c>
      <c r="F45" s="69">
        <f>ROUND(E45/365,0)</f>
        <v>56451</v>
      </c>
      <c r="G45" s="86" t="s">
        <v>208</v>
      </c>
      <c r="H45" s="79">
        <f>'ATO-CWC2'!$C$19</f>
        <v>34.159999999999997</v>
      </c>
      <c r="I45" s="86"/>
      <c r="J45" s="136">
        <v>0</v>
      </c>
      <c r="K45" s="69"/>
      <c r="L45" s="80">
        <f>H45-J45</f>
        <v>34.159999999999997</v>
      </c>
      <c r="M45" s="69"/>
      <c r="N45" s="69">
        <f>L45*F45</f>
        <v>1928366.16</v>
      </c>
      <c r="O45" s="18"/>
      <c r="P45" s="340"/>
      <c r="Q45" s="341"/>
      <c r="R45" s="341"/>
      <c r="S45" s="166"/>
    </row>
    <row r="46" spans="1:21">
      <c r="A46" s="242">
        <v>35</v>
      </c>
      <c r="B46" s="104"/>
      <c r="C46" s="83"/>
      <c r="D46" s="83"/>
      <c r="E46" s="67"/>
      <c r="F46" s="69"/>
      <c r="G46" s="86"/>
      <c r="H46" s="79"/>
      <c r="I46" s="86"/>
      <c r="J46" s="136"/>
      <c r="K46" s="69"/>
      <c r="L46" s="80"/>
      <c r="M46" s="69"/>
      <c r="N46" s="69"/>
      <c r="O46" s="18"/>
      <c r="P46" s="340"/>
      <c r="Q46" s="341"/>
      <c r="R46" s="166"/>
      <c r="S46" s="166"/>
    </row>
    <row r="47" spans="1:21">
      <c r="A47" s="242">
        <v>36</v>
      </c>
      <c r="B47" s="83" t="s">
        <v>244</v>
      </c>
      <c r="C47" s="83"/>
      <c r="D47" s="83"/>
      <c r="E47" s="83">
        <v>298065.00354130857</v>
      </c>
      <c r="F47" s="69">
        <f>ROUND(E47/365,0)</f>
        <v>817</v>
      </c>
      <c r="G47" s="86" t="s">
        <v>208</v>
      </c>
      <c r="H47" s="79">
        <f>'ATO-CWC2'!$C$19</f>
        <v>34.159999999999997</v>
      </c>
      <c r="I47" s="349" t="s">
        <v>229</v>
      </c>
      <c r="J47" s="79">
        <v>19.399999999999999</v>
      </c>
      <c r="K47" s="69"/>
      <c r="L47" s="80">
        <f>H47-J47</f>
        <v>14.759999999999998</v>
      </c>
      <c r="M47" s="69"/>
      <c r="N47" s="69">
        <f>L47*F47</f>
        <v>12058.919999999998</v>
      </c>
      <c r="O47" s="18"/>
      <c r="P47" s="239"/>
      <c r="Q47" s="341"/>
      <c r="R47" s="341"/>
      <c r="S47" s="166"/>
      <c r="T47" s="166"/>
      <c r="U47" s="166"/>
    </row>
    <row r="48" spans="1:21">
      <c r="A48" s="242">
        <v>37</v>
      </c>
      <c r="B48" s="104"/>
      <c r="C48" s="83"/>
      <c r="D48" s="83"/>
      <c r="E48" s="83"/>
      <c r="F48" s="83"/>
      <c r="G48" s="86"/>
      <c r="H48" s="79"/>
      <c r="I48" s="86"/>
      <c r="J48" s="136"/>
      <c r="K48" s="69"/>
      <c r="L48" s="69"/>
      <c r="M48" s="69"/>
      <c r="N48" s="83"/>
      <c r="O48" s="18"/>
      <c r="P48" s="340"/>
      <c r="Q48" s="341"/>
      <c r="R48" s="166"/>
      <c r="S48" s="166"/>
    </row>
    <row r="49" spans="1:21">
      <c r="A49" s="242">
        <v>38</v>
      </c>
      <c r="B49" s="83" t="s">
        <v>111</v>
      </c>
      <c r="C49" s="83"/>
      <c r="D49" s="83"/>
      <c r="E49" s="69">
        <v>10198592.161169415</v>
      </c>
      <c r="F49" s="69">
        <f>ROUND(E49/365,0)</f>
        <v>27941</v>
      </c>
      <c r="G49" s="86" t="s">
        <v>208</v>
      </c>
      <c r="H49" s="79">
        <f>'ATO-CWC2'!$C$19</f>
        <v>34.159999999999997</v>
      </c>
      <c r="I49" s="86" t="s">
        <v>215</v>
      </c>
      <c r="J49" s="79">
        <f>'ATO-CWC9'!T26</f>
        <v>91.249999999999986</v>
      </c>
      <c r="K49" s="69"/>
      <c r="L49" s="80">
        <f>H49-J49</f>
        <v>-57.089999999999989</v>
      </c>
      <c r="M49" s="69"/>
      <c r="N49" s="69">
        <f>L49*F49</f>
        <v>-1595151.6899999997</v>
      </c>
      <c r="O49" s="18"/>
      <c r="P49" s="340"/>
      <c r="Q49" s="341"/>
      <c r="R49" s="341"/>
      <c r="S49" s="166"/>
    </row>
    <row r="50" spans="1:21">
      <c r="A50" s="242">
        <v>39</v>
      </c>
      <c r="B50" s="104"/>
      <c r="C50" s="83"/>
      <c r="D50" s="83"/>
      <c r="E50" s="83"/>
      <c r="F50" s="83"/>
      <c r="G50" s="86"/>
      <c r="H50" s="79"/>
      <c r="I50" s="86"/>
      <c r="J50" s="136"/>
      <c r="K50" s="69"/>
      <c r="L50" s="69"/>
      <c r="M50" s="69"/>
      <c r="N50" s="83"/>
      <c r="O50" s="18"/>
      <c r="P50" s="340"/>
      <c r="Q50" s="341"/>
      <c r="R50" s="166"/>
      <c r="S50" s="166"/>
    </row>
    <row r="51" spans="1:21">
      <c r="A51" s="242">
        <v>40</v>
      </c>
      <c r="B51" s="104" t="s">
        <v>109</v>
      </c>
      <c r="C51" s="83"/>
      <c r="D51" s="83"/>
      <c r="E51" s="241">
        <v>35171670.417874411</v>
      </c>
      <c r="F51" s="69">
        <f>ROUND(E51/365,0)</f>
        <v>96361</v>
      </c>
      <c r="G51" s="86" t="s">
        <v>208</v>
      </c>
      <c r="H51" s="79">
        <f>'ATO-CWC2'!$C$19</f>
        <v>34.159999999999997</v>
      </c>
      <c r="I51" s="86"/>
      <c r="J51" s="136">
        <v>0</v>
      </c>
      <c r="K51" s="69"/>
      <c r="L51" s="80">
        <f>H51-J51</f>
        <v>34.159999999999997</v>
      </c>
      <c r="M51" s="69"/>
      <c r="N51" s="241">
        <f>L51*F51</f>
        <v>3291691.76</v>
      </c>
      <c r="O51" s="18"/>
      <c r="P51" s="340"/>
      <c r="Q51" s="341"/>
      <c r="R51" s="341"/>
      <c r="S51" s="166"/>
      <c r="T51" s="166"/>
      <c r="U51" s="166"/>
    </row>
    <row r="52" spans="1:21">
      <c r="A52" s="242">
        <v>41</v>
      </c>
      <c r="B52" s="104"/>
      <c r="C52" s="83"/>
      <c r="D52" s="83"/>
      <c r="E52" s="83"/>
      <c r="F52" s="83"/>
      <c r="G52" s="86"/>
      <c r="H52" s="79"/>
      <c r="I52" s="86"/>
      <c r="J52" s="136"/>
      <c r="K52" s="69"/>
      <c r="L52" s="69"/>
      <c r="M52" s="69"/>
      <c r="N52" s="83"/>
      <c r="O52" s="18"/>
      <c r="Q52" s="341"/>
      <c r="R52" s="166"/>
      <c r="S52" s="166"/>
      <c r="T52" s="166"/>
      <c r="U52" s="166"/>
    </row>
    <row r="53" spans="1:21" ht="16.5" thickBot="1">
      <c r="A53" s="242">
        <v>42</v>
      </c>
      <c r="B53" s="104" t="s">
        <v>64</v>
      </c>
      <c r="C53" s="83"/>
      <c r="D53" s="83"/>
      <c r="E53" s="69">
        <f>+E42+E38+E45+E35+E18+E13+E49+E47+E51+E39+E43</f>
        <v>204147764.34085369</v>
      </c>
      <c r="F53" s="69"/>
      <c r="G53" s="86"/>
      <c r="H53" s="79"/>
      <c r="I53" s="86"/>
      <c r="J53" s="79"/>
      <c r="K53" s="69"/>
      <c r="L53" s="69"/>
      <c r="M53" s="69"/>
      <c r="N53" s="135">
        <f ca="1">+N42+N38+N45+N35+N18+N13+N49+N47+N51+N39+N43</f>
        <v>-3062526.8829987803</v>
      </c>
      <c r="O53" s="18"/>
      <c r="Q53" s="341"/>
      <c r="R53" s="166"/>
      <c r="S53" s="166"/>
      <c r="T53" s="166"/>
      <c r="U53" s="166"/>
    </row>
    <row r="54" spans="1:21" ht="16.5" thickTop="1">
      <c r="A54" s="242">
        <v>43</v>
      </c>
      <c r="C54" s="166"/>
      <c r="D54" s="166"/>
      <c r="E54" s="166"/>
      <c r="F54" s="166"/>
      <c r="G54" s="23"/>
      <c r="H54" s="340"/>
      <c r="I54" s="23"/>
      <c r="J54" s="344"/>
      <c r="K54" s="18"/>
      <c r="L54" s="18"/>
      <c r="M54" s="18"/>
      <c r="N54" s="18"/>
      <c r="O54" s="18"/>
      <c r="Q54" s="166"/>
      <c r="R54" s="166"/>
      <c r="S54" s="166"/>
      <c r="T54" s="166"/>
      <c r="U54" s="166"/>
    </row>
    <row r="55" spans="1:21">
      <c r="A55" s="242">
        <v>44</v>
      </c>
      <c r="B55" s="350" t="s">
        <v>258</v>
      </c>
      <c r="E55" s="94"/>
      <c r="H55" s="252"/>
      <c r="O55" s="18"/>
      <c r="Q55" s="166"/>
      <c r="R55" s="166"/>
      <c r="S55" s="166"/>
    </row>
    <row r="56" spans="1:21">
      <c r="C56" s="19"/>
      <c r="D56" s="19"/>
      <c r="E56" s="94"/>
      <c r="F56" s="19"/>
      <c r="G56" s="25"/>
      <c r="H56" s="26"/>
      <c r="I56" s="25"/>
      <c r="J56" s="27"/>
      <c r="K56" s="19"/>
      <c r="L56" s="19"/>
      <c r="M56" s="19"/>
      <c r="O56" s="18"/>
      <c r="Q56" s="166"/>
      <c r="R56" s="166"/>
      <c r="S56" s="166"/>
    </row>
    <row r="57" spans="1:21">
      <c r="B57" s="19"/>
      <c r="E57" s="94"/>
      <c r="H57" s="252"/>
      <c r="Q57" s="166"/>
      <c r="R57" s="166"/>
      <c r="S57" s="166"/>
    </row>
    <row r="58" spans="1:21">
      <c r="C58" s="239"/>
      <c r="D58" s="239"/>
      <c r="H58" s="252"/>
      <c r="O58" s="18"/>
      <c r="Q58" s="166"/>
      <c r="R58" s="166"/>
      <c r="S58" s="166"/>
    </row>
    <row r="59" spans="1:21">
      <c r="H59" s="252"/>
    </row>
    <row r="60" spans="1:21">
      <c r="H60" s="252"/>
    </row>
    <row r="61" spans="1:21">
      <c r="H61" s="252"/>
    </row>
    <row r="62" spans="1:21">
      <c r="H62" s="252"/>
    </row>
    <row r="63" spans="1:21">
      <c r="H63" s="252"/>
    </row>
    <row r="64" spans="1:21">
      <c r="H64" s="252"/>
    </row>
    <row r="65" spans="8:8">
      <c r="H65" s="252"/>
    </row>
    <row r="66" spans="8:8">
      <c r="H66" s="252"/>
    </row>
    <row r="67" spans="8:8">
      <c r="H67" s="252"/>
    </row>
    <row r="68" spans="8:8">
      <c r="H68" s="252"/>
    </row>
    <row r="69" spans="8:8">
      <c r="H69" s="252"/>
    </row>
    <row r="70" spans="8:8">
      <c r="H70" s="252"/>
    </row>
    <row r="71" spans="8:8">
      <c r="H71" s="252"/>
    </row>
    <row r="72" spans="8:8">
      <c r="H72" s="252"/>
    </row>
    <row r="73" spans="8:8">
      <c r="H73" s="252"/>
    </row>
    <row r="74" spans="8:8">
      <c r="H74" s="252"/>
    </row>
    <row r="75" spans="8:8">
      <c r="H75" s="252"/>
    </row>
    <row r="76" spans="8:8">
      <c r="H76" s="252"/>
    </row>
    <row r="77" spans="8:8">
      <c r="H77" s="252"/>
    </row>
    <row r="78" spans="8:8">
      <c r="H78" s="252"/>
    </row>
    <row r="79" spans="8:8">
      <c r="H79" s="252"/>
    </row>
    <row r="80" spans="8:8">
      <c r="H80" s="252"/>
    </row>
    <row r="81" spans="8:8">
      <c r="H81" s="252"/>
    </row>
    <row r="82" spans="8:8">
      <c r="H82" s="252"/>
    </row>
    <row r="83" spans="8:8">
      <c r="H83" s="252"/>
    </row>
    <row r="84" spans="8:8">
      <c r="H84" s="252"/>
    </row>
    <row r="85" spans="8:8">
      <c r="H85" s="252"/>
    </row>
    <row r="86" spans="8:8">
      <c r="H86" s="252"/>
    </row>
    <row r="87" spans="8:8">
      <c r="H87" s="252"/>
    </row>
    <row r="88" spans="8:8">
      <c r="H88" s="252"/>
    </row>
    <row r="89" spans="8:8">
      <c r="H89" s="252"/>
    </row>
    <row r="90" spans="8:8">
      <c r="H90" s="252"/>
    </row>
    <row r="91" spans="8:8">
      <c r="H91" s="252"/>
    </row>
    <row r="92" spans="8:8">
      <c r="H92" s="252"/>
    </row>
    <row r="93" spans="8:8">
      <c r="H93" s="252"/>
    </row>
    <row r="94" spans="8:8">
      <c r="H94" s="252"/>
    </row>
    <row r="95" spans="8:8">
      <c r="H95" s="252"/>
    </row>
    <row r="96" spans="8:8">
      <c r="H96" s="252"/>
    </row>
    <row r="97" spans="8:8">
      <c r="H97" s="252"/>
    </row>
    <row r="98" spans="8:8">
      <c r="H98" s="252"/>
    </row>
    <row r="99" spans="8:8">
      <c r="H99" s="252"/>
    </row>
    <row r="100" spans="8:8">
      <c r="H100" s="252"/>
    </row>
    <row r="101" spans="8:8">
      <c r="H101" s="252"/>
    </row>
    <row r="102" spans="8:8">
      <c r="H102" s="252"/>
    </row>
    <row r="103" spans="8:8">
      <c r="H103" s="252"/>
    </row>
    <row r="104" spans="8:8">
      <c r="H104" s="252"/>
    </row>
    <row r="105" spans="8:8">
      <c r="H105" s="252"/>
    </row>
    <row r="106" spans="8:8">
      <c r="H106" s="252"/>
    </row>
    <row r="107" spans="8:8">
      <c r="H107" s="252"/>
    </row>
    <row r="108" spans="8:8">
      <c r="H108" s="252"/>
    </row>
    <row r="109" spans="8:8">
      <c r="H109" s="252"/>
    </row>
    <row r="110" spans="8:8">
      <c r="H110" s="252"/>
    </row>
    <row r="111" spans="8:8">
      <c r="H111" s="252"/>
    </row>
    <row r="112" spans="8:8">
      <c r="H112" s="252"/>
    </row>
    <row r="113" spans="8:8">
      <c r="H113" s="252"/>
    </row>
    <row r="114" spans="8:8">
      <c r="H114" s="252"/>
    </row>
    <row r="115" spans="8:8">
      <c r="H115" s="252"/>
    </row>
    <row r="116" spans="8:8">
      <c r="H116" s="252"/>
    </row>
    <row r="117" spans="8:8">
      <c r="H117" s="252"/>
    </row>
    <row r="118" spans="8:8">
      <c r="H118" s="252"/>
    </row>
    <row r="119" spans="8:8">
      <c r="H119" s="252"/>
    </row>
    <row r="120" spans="8:8">
      <c r="H120" s="252"/>
    </row>
    <row r="121" spans="8:8">
      <c r="H121" s="252"/>
    </row>
    <row r="122" spans="8:8">
      <c r="H122" s="252"/>
    </row>
    <row r="123" spans="8:8">
      <c r="H123" s="252"/>
    </row>
    <row r="124" spans="8:8">
      <c r="H124" s="252"/>
    </row>
    <row r="125" spans="8:8">
      <c r="H125" s="252"/>
    </row>
    <row r="126" spans="8:8">
      <c r="H126" s="252"/>
    </row>
    <row r="127" spans="8:8">
      <c r="H127" s="252"/>
    </row>
    <row r="128" spans="8:8">
      <c r="H128" s="252"/>
    </row>
    <row r="129" spans="8:8">
      <c r="H129" s="252"/>
    </row>
    <row r="130" spans="8:8">
      <c r="H130" s="252"/>
    </row>
    <row r="131" spans="8:8">
      <c r="H131" s="252"/>
    </row>
    <row r="132" spans="8:8">
      <c r="H132" s="252"/>
    </row>
    <row r="133" spans="8:8">
      <c r="H133" s="252"/>
    </row>
    <row r="134" spans="8:8">
      <c r="H134" s="252"/>
    </row>
    <row r="135" spans="8:8">
      <c r="H135" s="252"/>
    </row>
    <row r="136" spans="8:8">
      <c r="H136" s="252"/>
    </row>
    <row r="137" spans="8:8">
      <c r="H137" s="252"/>
    </row>
    <row r="138" spans="8:8">
      <c r="H138" s="252"/>
    </row>
    <row r="139" spans="8:8">
      <c r="H139" s="252"/>
    </row>
    <row r="140" spans="8:8">
      <c r="H140" s="252"/>
    </row>
    <row r="141" spans="8:8">
      <c r="H141" s="252"/>
    </row>
    <row r="142" spans="8:8">
      <c r="H142" s="252"/>
    </row>
    <row r="143" spans="8:8">
      <c r="H143" s="252"/>
    </row>
    <row r="144" spans="8:8">
      <c r="H144" s="252"/>
    </row>
    <row r="145" spans="8:8">
      <c r="H145" s="252"/>
    </row>
    <row r="146" spans="8:8">
      <c r="H146" s="252"/>
    </row>
    <row r="147" spans="8:8">
      <c r="H147" s="252"/>
    </row>
    <row r="148" spans="8:8">
      <c r="H148" s="252"/>
    </row>
    <row r="149" spans="8:8">
      <c r="H149" s="252"/>
    </row>
    <row r="150" spans="8:8">
      <c r="H150" s="252"/>
    </row>
    <row r="151" spans="8:8">
      <c r="H151" s="252"/>
    </row>
    <row r="152" spans="8:8">
      <c r="H152" s="252"/>
    </row>
    <row r="153" spans="8:8">
      <c r="H153" s="252"/>
    </row>
    <row r="154" spans="8:8">
      <c r="H154" s="252"/>
    </row>
    <row r="155" spans="8:8">
      <c r="H155" s="252"/>
    </row>
    <row r="156" spans="8:8">
      <c r="H156" s="252"/>
    </row>
    <row r="157" spans="8:8">
      <c r="H157" s="252"/>
    </row>
    <row r="158" spans="8:8">
      <c r="H158" s="252"/>
    </row>
    <row r="159" spans="8:8">
      <c r="H159" s="252"/>
    </row>
    <row r="160" spans="8:8">
      <c r="H160" s="252"/>
    </row>
    <row r="161" spans="8:8">
      <c r="H161" s="252"/>
    </row>
    <row r="162" spans="8:8">
      <c r="H162" s="252"/>
    </row>
    <row r="163" spans="8:8">
      <c r="H163" s="252"/>
    </row>
    <row r="164" spans="8:8">
      <c r="H164" s="252"/>
    </row>
    <row r="165" spans="8:8">
      <c r="H165" s="252"/>
    </row>
    <row r="166" spans="8:8">
      <c r="H166" s="252"/>
    </row>
    <row r="167" spans="8:8">
      <c r="H167" s="252"/>
    </row>
    <row r="168" spans="8:8">
      <c r="H168" s="252"/>
    </row>
    <row r="169" spans="8:8">
      <c r="H169" s="252"/>
    </row>
  </sheetData>
  <mergeCells count="1">
    <mergeCell ref="P12:R12"/>
  </mergeCells>
  <phoneticPr fontId="9" type="noConversion"/>
  <printOptions horizontalCentered="1"/>
  <pageMargins left="0.6" right="0.6" top="0.75" bottom="0.5" header="0.25" footer="0.24"/>
  <pageSetup scale="62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tabColor theme="6" tint="0.59999389629810485"/>
    <pageSetUpPr fitToPage="1"/>
  </sheetPr>
  <dimension ref="A1:U166"/>
  <sheetViews>
    <sheetView showGridLines="0" zoomScale="85" zoomScaleNormal="85" zoomScaleSheetLayoutView="80" workbookViewId="0"/>
  </sheetViews>
  <sheetFormatPr defaultColWidth="9.625" defaultRowHeight="15.75"/>
  <cols>
    <col min="1" max="1" width="4.5" style="167" bestFit="1" customWidth="1"/>
    <col min="2" max="2" width="3.875" style="167" customWidth="1"/>
    <col min="3" max="3" width="29.5" style="167" customWidth="1"/>
    <col min="4" max="4" width="7" style="167" bestFit="1" customWidth="1"/>
    <col min="5" max="5" width="14.5" style="167" bestFit="1" customWidth="1"/>
    <col min="6" max="6" width="14" style="167" bestFit="1" customWidth="1"/>
    <col min="7" max="7" width="7" style="24" customWidth="1"/>
    <col min="8" max="8" width="9" style="253" bestFit="1" customWidth="1"/>
    <col min="9" max="9" width="7.25" style="24" customWidth="1"/>
    <col min="10" max="10" width="9.375" style="253" bestFit="1" customWidth="1"/>
    <col min="11" max="11" width="1.375" style="16" customWidth="1"/>
    <col min="12" max="12" width="9.375" style="16" bestFit="1" customWidth="1"/>
    <col min="13" max="13" width="1.625" style="16" customWidth="1"/>
    <col min="14" max="14" width="13.5" style="167" bestFit="1" customWidth="1"/>
    <col min="15" max="15" width="2.75" style="16" customWidth="1"/>
    <col min="16" max="16" width="10.875" style="167" bestFit="1" customWidth="1"/>
    <col min="17" max="16384" width="9.625" style="167"/>
  </cols>
  <sheetData>
    <row r="1" spans="1:21">
      <c r="A1" s="104"/>
      <c r="B1" s="104"/>
      <c r="C1" s="104"/>
      <c r="D1" s="104"/>
      <c r="E1" s="104"/>
      <c r="F1" s="104"/>
      <c r="G1" s="84"/>
      <c r="H1" s="242"/>
      <c r="I1" s="84"/>
      <c r="J1" s="242"/>
      <c r="K1" s="67"/>
      <c r="L1" s="67"/>
      <c r="M1" s="67"/>
      <c r="N1" s="134" t="s">
        <v>192</v>
      </c>
    </row>
    <row r="2" spans="1:21">
      <c r="A2" s="243" t="str">
        <f>CONCATENATE(COMPANY,"-",JURISDICTION)</f>
        <v>Atmos Energy Corporation-Kentucky</v>
      </c>
      <c r="B2" s="244"/>
      <c r="C2" s="244"/>
      <c r="D2" s="244"/>
      <c r="E2" s="244"/>
      <c r="F2" s="244"/>
      <c r="G2" s="85"/>
      <c r="H2" s="244"/>
      <c r="I2" s="85"/>
      <c r="J2" s="244"/>
      <c r="K2" s="68"/>
      <c r="L2" s="68"/>
      <c r="M2" s="68"/>
      <c r="N2" s="245"/>
      <c r="O2" s="68"/>
      <c r="Q2" s="166"/>
      <c r="R2" s="166"/>
      <c r="S2" s="166"/>
      <c r="T2" s="166"/>
      <c r="U2" s="166"/>
    </row>
    <row r="3" spans="1:21">
      <c r="A3" s="246" t="s">
        <v>90</v>
      </c>
      <c r="B3" s="244"/>
      <c r="C3" s="244"/>
      <c r="D3" s="244"/>
      <c r="E3" s="244"/>
      <c r="F3" s="244"/>
      <c r="G3" s="85"/>
      <c r="H3" s="244"/>
      <c r="I3" s="85"/>
      <c r="J3" s="244"/>
      <c r="K3" s="68"/>
      <c r="L3" s="68"/>
      <c r="M3" s="68"/>
      <c r="N3" s="244"/>
      <c r="O3" s="68"/>
      <c r="Q3" s="166"/>
      <c r="R3" s="166"/>
      <c r="S3" s="166"/>
      <c r="T3" s="166"/>
      <c r="U3" s="166"/>
    </row>
    <row r="4" spans="1:21">
      <c r="A4" s="247" t="str">
        <f>"For Base Period Ended  "&amp;TEXT(testyear, "mmmm dd, yyyy")</f>
        <v>For Base Period Ended  September 30, 2021</v>
      </c>
      <c r="B4" s="244"/>
      <c r="C4" s="244"/>
      <c r="D4" s="244"/>
      <c r="E4" s="244"/>
      <c r="F4" s="244"/>
      <c r="G4" s="85"/>
      <c r="H4" s="244"/>
      <c r="I4" s="85"/>
      <c r="J4" s="244"/>
      <c r="K4" s="68"/>
      <c r="L4" s="68"/>
      <c r="M4" s="68"/>
      <c r="N4" s="244"/>
      <c r="O4" s="68"/>
      <c r="Q4" s="166"/>
      <c r="R4" s="166"/>
      <c r="S4" s="166"/>
      <c r="T4" s="166"/>
      <c r="U4" s="166"/>
    </row>
    <row r="5" spans="1:21">
      <c r="A5" s="247"/>
      <c r="B5" s="244"/>
      <c r="C5" s="244"/>
      <c r="D5" s="244"/>
      <c r="E5" s="244"/>
      <c r="F5" s="244"/>
      <c r="G5" s="85"/>
      <c r="H5" s="244"/>
      <c r="I5" s="85"/>
      <c r="J5" s="244"/>
      <c r="K5" s="68"/>
      <c r="L5" s="68"/>
      <c r="M5" s="68"/>
      <c r="N5" s="244"/>
      <c r="O5" s="68"/>
      <c r="Q5" s="166"/>
      <c r="R5" s="166"/>
      <c r="S5" s="166"/>
      <c r="T5" s="166"/>
      <c r="U5" s="166"/>
    </row>
    <row r="6" spans="1:21">
      <c r="A6" s="83"/>
      <c r="B6" s="83"/>
      <c r="C6" s="83"/>
      <c r="D6" s="83"/>
      <c r="E6" s="83"/>
      <c r="F6" s="83"/>
      <c r="G6" s="86"/>
      <c r="H6" s="136"/>
      <c r="I6" s="86"/>
      <c r="J6" s="136"/>
      <c r="K6" s="69"/>
      <c r="L6" s="69"/>
      <c r="M6" s="69"/>
      <c r="N6" s="83"/>
      <c r="O6" s="69"/>
      <c r="Q6" s="166"/>
      <c r="R6" s="166"/>
      <c r="S6" s="166"/>
      <c r="T6" s="166"/>
      <c r="U6" s="166"/>
    </row>
    <row r="7" spans="1:21" s="16" customFormat="1">
      <c r="A7" s="69"/>
      <c r="B7" s="70"/>
      <c r="C7" s="70"/>
      <c r="D7" s="70"/>
      <c r="E7" s="70"/>
      <c r="F7" s="71" t="s">
        <v>86</v>
      </c>
      <c r="G7" s="87"/>
      <c r="H7" s="71"/>
      <c r="I7" s="87"/>
      <c r="J7" s="71" t="s">
        <v>2</v>
      </c>
      <c r="K7" s="70"/>
      <c r="L7" s="70"/>
      <c r="M7" s="70"/>
      <c r="N7" s="71" t="s">
        <v>122</v>
      </c>
      <c r="O7" s="70"/>
      <c r="Q7" s="18"/>
      <c r="R7" s="18"/>
      <c r="S7" s="18"/>
      <c r="T7" s="18"/>
      <c r="U7" s="18"/>
    </row>
    <row r="8" spans="1:21" s="16" customFormat="1">
      <c r="A8" s="72" t="s">
        <v>121</v>
      </c>
      <c r="B8" s="70"/>
      <c r="C8" s="70"/>
      <c r="D8" s="70"/>
      <c r="E8" s="71" t="s">
        <v>48</v>
      </c>
      <c r="F8" s="73" t="s">
        <v>94</v>
      </c>
      <c r="G8" s="88"/>
      <c r="H8" s="71" t="s">
        <v>3</v>
      </c>
      <c r="I8" s="88"/>
      <c r="J8" s="71" t="s">
        <v>50</v>
      </c>
      <c r="K8" s="71"/>
      <c r="L8" s="71" t="s">
        <v>51</v>
      </c>
      <c r="M8" s="71"/>
      <c r="N8" s="74" t="s">
        <v>127</v>
      </c>
      <c r="O8" s="71"/>
      <c r="Q8" s="18"/>
      <c r="R8" s="18"/>
      <c r="S8" s="18"/>
      <c r="T8" s="18"/>
      <c r="U8" s="18"/>
    </row>
    <row r="9" spans="1:21" s="16" customFormat="1">
      <c r="A9" s="75" t="s">
        <v>123</v>
      </c>
      <c r="B9" s="76" t="s">
        <v>124</v>
      </c>
      <c r="C9" s="76"/>
      <c r="D9" s="76"/>
      <c r="E9" s="77" t="s">
        <v>49</v>
      </c>
      <c r="F9" s="78" t="s">
        <v>91</v>
      </c>
      <c r="G9" s="89"/>
      <c r="H9" s="77" t="s">
        <v>136</v>
      </c>
      <c r="I9" s="89"/>
      <c r="J9" s="77" t="s">
        <v>136</v>
      </c>
      <c r="K9" s="77"/>
      <c r="L9" s="78" t="s">
        <v>93</v>
      </c>
      <c r="M9" s="77"/>
      <c r="N9" s="78" t="s">
        <v>92</v>
      </c>
      <c r="O9" s="71"/>
      <c r="Q9" s="18"/>
      <c r="R9" s="18"/>
      <c r="S9" s="18"/>
      <c r="T9" s="18"/>
      <c r="U9" s="18"/>
    </row>
    <row r="10" spans="1:21">
      <c r="A10" s="83"/>
      <c r="B10" s="244" t="s">
        <v>128</v>
      </c>
      <c r="C10" s="244"/>
      <c r="D10" s="244"/>
      <c r="E10" s="136" t="s">
        <v>129</v>
      </c>
      <c r="F10" s="248" t="s">
        <v>84</v>
      </c>
      <c r="G10" s="90"/>
      <c r="H10" s="249" t="s">
        <v>131</v>
      </c>
      <c r="I10" s="72"/>
      <c r="J10" s="136" t="s">
        <v>132</v>
      </c>
      <c r="K10" s="72"/>
      <c r="L10" s="249" t="s">
        <v>133</v>
      </c>
      <c r="M10" s="72"/>
      <c r="N10" s="249" t="s">
        <v>134</v>
      </c>
      <c r="O10" s="72"/>
      <c r="Q10" s="166"/>
      <c r="R10" s="166"/>
      <c r="S10" s="166"/>
      <c r="T10" s="166"/>
      <c r="U10" s="166"/>
    </row>
    <row r="11" spans="1:21">
      <c r="A11" s="83"/>
      <c r="B11" s="83"/>
      <c r="C11" s="83"/>
      <c r="D11" s="83"/>
      <c r="E11" s="83"/>
      <c r="F11" s="83"/>
      <c r="G11" s="86"/>
      <c r="H11" s="136"/>
      <c r="I11" s="86"/>
      <c r="J11" s="136"/>
      <c r="K11" s="69"/>
      <c r="L11" s="69"/>
      <c r="M11" s="69"/>
      <c r="N11" s="83"/>
      <c r="O11" s="69"/>
      <c r="Q11" s="166"/>
      <c r="R11" s="166"/>
      <c r="S11" s="166"/>
      <c r="T11" s="166"/>
      <c r="U11" s="166"/>
    </row>
    <row r="12" spans="1:21">
      <c r="A12" s="242">
        <f t="shared" ref="A12" si="0">1+A11</f>
        <v>1</v>
      </c>
      <c r="B12" s="104" t="s">
        <v>80</v>
      </c>
      <c r="C12" s="104"/>
      <c r="D12" s="104"/>
      <c r="E12" s="104"/>
      <c r="F12" s="104"/>
      <c r="G12" s="84"/>
      <c r="H12" s="242"/>
      <c r="I12" s="84"/>
      <c r="J12" s="242"/>
      <c r="K12" s="67"/>
      <c r="L12" s="67"/>
      <c r="M12" s="67"/>
      <c r="N12" s="104"/>
      <c r="O12" s="67"/>
    </row>
    <row r="13" spans="1:21">
      <c r="A13" s="242">
        <v>2</v>
      </c>
      <c r="B13" s="104"/>
      <c r="C13" s="83" t="s">
        <v>135</v>
      </c>
      <c r="D13" s="83"/>
      <c r="E13" s="352">
        <v>77873656.336473569</v>
      </c>
      <c r="F13" s="69">
        <f>E13/365</f>
        <v>213352.48311362622</v>
      </c>
      <c r="G13" s="86" t="s">
        <v>208</v>
      </c>
      <c r="H13" s="79">
        <f>'ATO-CWC2'!$C$19</f>
        <v>34.159999999999997</v>
      </c>
      <c r="I13" s="86" t="s">
        <v>209</v>
      </c>
      <c r="J13" s="79">
        <f>'ATO-CWC3'!L128</f>
        <v>38.74</v>
      </c>
      <c r="K13" s="69"/>
      <c r="L13" s="80">
        <f>H13-J13</f>
        <v>-4.5800000000000054</v>
      </c>
      <c r="M13" s="69"/>
      <c r="N13" s="69">
        <f>L13*F13</f>
        <v>-977154.37266040919</v>
      </c>
      <c r="O13" s="69"/>
      <c r="Q13" s="166"/>
      <c r="R13" s="166"/>
      <c r="S13" s="166"/>
      <c r="T13" s="166"/>
      <c r="U13" s="166"/>
    </row>
    <row r="14" spans="1:21">
      <c r="A14" s="242">
        <v>3</v>
      </c>
      <c r="B14" s="83"/>
      <c r="C14" s="83"/>
      <c r="D14" s="83"/>
      <c r="E14" s="83"/>
      <c r="F14" s="83"/>
      <c r="G14" s="86"/>
      <c r="H14" s="79"/>
      <c r="I14" s="86"/>
      <c r="J14" s="136"/>
      <c r="K14" s="69"/>
      <c r="L14" s="69"/>
      <c r="M14" s="69"/>
      <c r="N14" s="83"/>
      <c r="O14" s="69"/>
      <c r="Q14" s="166"/>
      <c r="R14" s="166"/>
      <c r="S14" s="166"/>
      <c r="T14" s="166"/>
      <c r="U14" s="166"/>
    </row>
    <row r="15" spans="1:21">
      <c r="A15" s="242">
        <v>4</v>
      </c>
      <c r="B15" s="104" t="s">
        <v>46</v>
      </c>
      <c r="C15" s="104"/>
      <c r="D15" s="104"/>
      <c r="E15" s="169" t="s">
        <v>2</v>
      </c>
      <c r="F15" s="104"/>
      <c r="G15" s="84"/>
      <c r="H15" s="250"/>
      <c r="I15" s="84"/>
      <c r="J15" s="242"/>
      <c r="K15" s="67"/>
      <c r="L15" s="67"/>
      <c r="M15" s="67"/>
      <c r="N15" s="104"/>
      <c r="O15" s="67"/>
      <c r="Q15" s="166"/>
    </row>
    <row r="16" spans="1:21">
      <c r="A16" s="242">
        <v>5</v>
      </c>
      <c r="B16" s="104"/>
      <c r="C16" s="83" t="s">
        <v>159</v>
      </c>
      <c r="D16" s="170"/>
      <c r="E16" s="83">
        <v>11197925.478229161</v>
      </c>
      <c r="F16" s="69">
        <f>E16/365</f>
        <v>30679.247885559347</v>
      </c>
      <c r="G16" s="86" t="s">
        <v>208</v>
      </c>
      <c r="H16" s="79">
        <f>'ATO-CWC2'!$C$19</f>
        <v>34.159999999999997</v>
      </c>
      <c r="I16" s="86" t="s">
        <v>210</v>
      </c>
      <c r="J16" s="79">
        <f>'ATO-CWC4'!I59</f>
        <v>14.08</v>
      </c>
      <c r="K16" s="69"/>
      <c r="L16" s="80">
        <f>H16-J16</f>
        <v>20.079999999999998</v>
      </c>
      <c r="M16" s="69"/>
      <c r="N16" s="69">
        <f>L16*F16</f>
        <v>616039.29754203162</v>
      </c>
      <c r="O16" s="69"/>
      <c r="Q16" s="166"/>
      <c r="R16" s="166"/>
      <c r="S16" s="166"/>
      <c r="T16" s="166"/>
      <c r="U16" s="166"/>
    </row>
    <row r="17" spans="1:21">
      <c r="A17" s="242">
        <v>6</v>
      </c>
      <c r="B17" s="104"/>
      <c r="C17" s="83" t="s">
        <v>160</v>
      </c>
      <c r="D17" s="170"/>
      <c r="E17" s="241">
        <f>E18-E16</f>
        <v>20113733.958353151</v>
      </c>
      <c r="F17" s="69">
        <f>E17/365</f>
        <v>55106.120433844248</v>
      </c>
      <c r="G17" s="86" t="s">
        <v>208</v>
      </c>
      <c r="H17" s="79">
        <f>'ATO-CWC2'!$C$19</f>
        <v>34.159999999999997</v>
      </c>
      <c r="I17" s="86" t="s">
        <v>211</v>
      </c>
      <c r="J17" s="81">
        <f ca="1">'ATO-CWC5'!E15</f>
        <v>28.060000000000002</v>
      </c>
      <c r="K17" s="69"/>
      <c r="L17" s="80">
        <f ca="1">H17-J17</f>
        <v>6.0999999999999943</v>
      </c>
      <c r="M17" s="69"/>
      <c r="N17" s="241">
        <f ca="1">L17*F17</f>
        <v>336147.3346464496</v>
      </c>
      <c r="O17" s="69"/>
      <c r="Q17" s="166"/>
      <c r="R17" s="166"/>
      <c r="S17" s="166"/>
      <c r="T17" s="166"/>
      <c r="U17" s="166"/>
    </row>
    <row r="18" spans="1:21">
      <c r="A18" s="242">
        <v>7</v>
      </c>
      <c r="B18" s="104" t="s">
        <v>79</v>
      </c>
      <c r="C18" s="104"/>
      <c r="D18" s="104"/>
      <c r="E18" s="104">
        <v>31311659.436582312</v>
      </c>
      <c r="F18" s="83"/>
      <c r="G18" s="84"/>
      <c r="H18" s="250"/>
      <c r="I18" s="84"/>
      <c r="J18" s="242"/>
      <c r="K18" s="67"/>
      <c r="L18" s="67"/>
      <c r="M18" s="67"/>
      <c r="N18" s="83">
        <f ca="1">SUM(N16:N17)</f>
        <v>952186.63218848128</v>
      </c>
      <c r="O18" s="67"/>
      <c r="Q18" s="166"/>
      <c r="T18" s="166"/>
      <c r="U18" s="166"/>
    </row>
    <row r="19" spans="1:21">
      <c r="A19" s="242">
        <v>8</v>
      </c>
      <c r="B19" s="104"/>
      <c r="C19" s="83"/>
      <c r="D19" s="83"/>
      <c r="E19" s="104"/>
      <c r="F19" s="104"/>
      <c r="G19" s="86"/>
      <c r="H19" s="79"/>
      <c r="I19" s="86"/>
      <c r="J19" s="136"/>
      <c r="K19" s="69"/>
      <c r="L19" s="69"/>
      <c r="M19" s="69"/>
      <c r="N19" s="104"/>
      <c r="O19" s="69"/>
      <c r="Q19" s="166"/>
      <c r="R19" s="166"/>
      <c r="S19" s="166"/>
    </row>
    <row r="20" spans="1:21">
      <c r="A20" s="242">
        <v>9</v>
      </c>
      <c r="B20" s="83" t="s">
        <v>47</v>
      </c>
      <c r="C20" s="83"/>
      <c r="D20" s="83"/>
      <c r="E20" s="83"/>
      <c r="F20" s="83"/>
      <c r="G20" s="86"/>
      <c r="H20" s="79"/>
      <c r="I20" s="86"/>
      <c r="J20" s="136"/>
      <c r="K20" s="69"/>
      <c r="L20" s="69"/>
      <c r="M20" s="69"/>
      <c r="N20" s="83"/>
      <c r="O20" s="69"/>
      <c r="Q20" s="166"/>
      <c r="R20" s="166"/>
      <c r="S20" s="166"/>
      <c r="T20" s="166"/>
      <c r="U20" s="166"/>
    </row>
    <row r="21" spans="1:21">
      <c r="A21" s="242">
        <v>10</v>
      </c>
      <c r="B21" s="104"/>
      <c r="C21" s="83" t="s">
        <v>35</v>
      </c>
      <c r="D21" s="83"/>
      <c r="E21" s="69">
        <v>8118738</v>
      </c>
      <c r="F21" s="69">
        <f t="shared" ref="F21:F26" si="1">E21/365</f>
        <v>22243.117808219176</v>
      </c>
      <c r="G21" s="86" t="s">
        <v>208</v>
      </c>
      <c r="H21" s="79">
        <f>'ATO-CWC2'!$C$19</f>
        <v>34.159999999999997</v>
      </c>
      <c r="I21" s="86" t="s">
        <v>212</v>
      </c>
      <c r="J21" s="81">
        <f>'ATO-CWC6'!$E$24</f>
        <v>346.39129575819396</v>
      </c>
      <c r="K21" s="69"/>
      <c r="L21" s="80">
        <f t="shared" ref="L21:L26" si="2">H21-J21</f>
        <v>-312.23129575819394</v>
      </c>
      <c r="M21" s="69"/>
      <c r="N21" s="69">
        <f t="shared" ref="N21:N26" si="3">L21*F21</f>
        <v>-6944997.4949624324</v>
      </c>
      <c r="O21" s="69"/>
      <c r="Q21" s="166"/>
      <c r="R21" s="166"/>
      <c r="S21" s="166"/>
      <c r="T21" s="166"/>
      <c r="U21" s="166"/>
    </row>
    <row r="22" spans="1:21">
      <c r="A22" s="242">
        <v>11</v>
      </c>
      <c r="B22" s="104"/>
      <c r="C22" s="83" t="s">
        <v>257</v>
      </c>
      <c r="D22" s="83"/>
      <c r="E22" s="69">
        <v>2071.25</v>
      </c>
      <c r="F22" s="69">
        <f t="shared" si="1"/>
        <v>5.6746575342465757</v>
      </c>
      <c r="G22" s="86" t="s">
        <v>208</v>
      </c>
      <c r="H22" s="79">
        <f>'ATO-CWC2'!$C$19</f>
        <v>34.159999999999997</v>
      </c>
      <c r="I22" s="86" t="s">
        <v>212</v>
      </c>
      <c r="J22" s="81">
        <f>'ATO-CWC6'!E29</f>
        <v>58.819980519574926</v>
      </c>
      <c r="K22" s="69"/>
      <c r="L22" s="80">
        <f t="shared" si="2"/>
        <v>-24.65998051957493</v>
      </c>
      <c r="M22" s="69"/>
      <c r="N22" s="69">
        <f t="shared" si="3"/>
        <v>-139.93694424977966</v>
      </c>
      <c r="O22" s="69"/>
      <c r="Q22" s="166"/>
      <c r="R22" s="166"/>
      <c r="S22" s="166"/>
      <c r="T22" s="166"/>
      <c r="U22" s="166"/>
    </row>
    <row r="23" spans="1:21">
      <c r="A23" s="242">
        <v>12</v>
      </c>
      <c r="B23" s="104"/>
      <c r="C23" s="83" t="s">
        <v>78</v>
      </c>
      <c r="D23" s="83"/>
      <c r="E23" s="69">
        <v>441245.27</v>
      </c>
      <c r="F23" s="69">
        <f t="shared" si="1"/>
        <v>1208.8911506849315</v>
      </c>
      <c r="G23" s="86" t="s">
        <v>208</v>
      </c>
      <c r="H23" s="79">
        <f>'ATO-CWC2'!$C$19</f>
        <v>34.159999999999997</v>
      </c>
      <c r="I23" s="86" t="s">
        <v>212</v>
      </c>
      <c r="J23" s="81">
        <f>'ATO-CWC6'!$E$20</f>
        <v>83.625</v>
      </c>
      <c r="K23" s="69"/>
      <c r="L23" s="80">
        <f t="shared" si="2"/>
        <v>-49.465000000000003</v>
      </c>
      <c r="M23" s="69"/>
      <c r="N23" s="69">
        <f t="shared" si="3"/>
        <v>-59797.800768630143</v>
      </c>
      <c r="O23" s="69"/>
      <c r="Q23" s="166"/>
      <c r="R23" s="166"/>
      <c r="S23" s="166"/>
      <c r="T23" s="166"/>
      <c r="U23" s="166"/>
    </row>
    <row r="24" spans="1:21">
      <c r="A24" s="242">
        <v>13</v>
      </c>
      <c r="B24" s="104"/>
      <c r="C24" s="83" t="s">
        <v>254</v>
      </c>
      <c r="D24" s="83"/>
      <c r="E24" s="69">
        <v>8874645.2300000004</v>
      </c>
      <c r="F24" s="69">
        <f t="shared" si="1"/>
        <v>24314.096520547948</v>
      </c>
      <c r="G24" s="86" t="s">
        <v>208</v>
      </c>
      <c r="H24" s="79">
        <f>'ATO-CWC2'!$C$19</f>
        <v>34.159999999999997</v>
      </c>
      <c r="I24" s="86" t="s">
        <v>212</v>
      </c>
      <c r="J24" s="79">
        <f>'ATO-CWC6'!E31</f>
        <v>40.188120970667796</v>
      </c>
      <c r="K24" s="69"/>
      <c r="L24" s="80">
        <f t="shared" si="2"/>
        <v>-6.0281209706677998</v>
      </c>
      <c r="M24" s="69"/>
      <c r="N24" s="69">
        <f t="shared" si="3"/>
        <v>-146568.31511835608</v>
      </c>
      <c r="O24" s="69"/>
      <c r="Q24" s="166"/>
      <c r="R24" s="166"/>
      <c r="S24" s="166"/>
      <c r="T24" s="166"/>
      <c r="U24" s="166"/>
    </row>
    <row r="25" spans="1:21">
      <c r="A25" s="242">
        <v>14</v>
      </c>
      <c r="B25" s="83"/>
      <c r="C25" s="83" t="s">
        <v>236</v>
      </c>
      <c r="D25" s="83"/>
      <c r="E25" s="69">
        <v>355416.54000000004</v>
      </c>
      <c r="F25" s="69">
        <f t="shared" si="1"/>
        <v>973.74394520547958</v>
      </c>
      <c r="G25" s="86" t="s">
        <v>248</v>
      </c>
      <c r="H25" s="79">
        <v>0</v>
      </c>
      <c r="I25" s="86" t="s">
        <v>212</v>
      </c>
      <c r="J25" s="81">
        <f>'ATO-CWC6'!$E$35</f>
        <v>0</v>
      </c>
      <c r="K25" s="69"/>
      <c r="L25" s="80">
        <f t="shared" si="2"/>
        <v>0</v>
      </c>
      <c r="M25" s="69"/>
      <c r="N25" s="69">
        <f t="shared" si="3"/>
        <v>0</v>
      </c>
      <c r="O25" s="69"/>
      <c r="Q25" s="166"/>
      <c r="R25" s="166"/>
      <c r="S25" s="166"/>
      <c r="T25" s="166"/>
      <c r="U25" s="166"/>
    </row>
    <row r="26" spans="1:21">
      <c r="A26" s="242">
        <v>15</v>
      </c>
      <c r="B26" s="104"/>
      <c r="C26" s="83" t="s">
        <v>163</v>
      </c>
      <c r="D26" s="83"/>
      <c r="E26" s="69">
        <v>219252</v>
      </c>
      <c r="F26" s="69">
        <f t="shared" si="1"/>
        <v>600.69041095890407</v>
      </c>
      <c r="G26" s="86" t="s">
        <v>208</v>
      </c>
      <c r="H26" s="79">
        <f>'ATO-CWC2'!$C$19</f>
        <v>34.159999999999997</v>
      </c>
      <c r="I26" s="86" t="s">
        <v>212</v>
      </c>
      <c r="J26" s="81">
        <f>'ATO-CWC6'!E38</f>
        <v>59</v>
      </c>
      <c r="K26" s="69"/>
      <c r="L26" s="80">
        <f t="shared" si="2"/>
        <v>-24.840000000000003</v>
      </c>
      <c r="M26" s="69"/>
      <c r="N26" s="69">
        <f t="shared" si="3"/>
        <v>-14921.149808219179</v>
      </c>
      <c r="O26" s="69"/>
      <c r="Q26" s="166"/>
      <c r="R26" s="166"/>
      <c r="S26" s="166"/>
      <c r="T26" s="166"/>
      <c r="U26" s="166"/>
    </row>
    <row r="27" spans="1:21">
      <c r="A27" s="242">
        <v>16</v>
      </c>
      <c r="B27" s="104"/>
      <c r="C27" s="104"/>
      <c r="D27" s="104"/>
      <c r="E27" s="83"/>
      <c r="F27" s="83"/>
      <c r="G27" s="86"/>
      <c r="H27" s="79"/>
      <c r="I27" s="86"/>
      <c r="J27" s="136"/>
      <c r="K27" s="69"/>
      <c r="L27" s="69"/>
      <c r="M27" s="69"/>
      <c r="N27" s="83"/>
      <c r="O27" s="69"/>
      <c r="Q27" s="166"/>
      <c r="R27" s="166"/>
      <c r="S27" s="166"/>
      <c r="T27" s="166"/>
      <c r="U27" s="166"/>
    </row>
    <row r="28" spans="1:21">
      <c r="A28" s="242">
        <v>17</v>
      </c>
      <c r="B28" s="83" t="s">
        <v>280</v>
      </c>
      <c r="C28" s="104"/>
      <c r="D28" s="104"/>
      <c r="E28" s="173"/>
      <c r="F28" s="83"/>
      <c r="G28" s="86"/>
      <c r="H28" s="79"/>
      <c r="I28" s="86"/>
      <c r="J28" s="136"/>
      <c r="K28" s="69"/>
      <c r="L28" s="69"/>
      <c r="M28" s="69"/>
      <c r="N28" s="83"/>
      <c r="O28" s="69"/>
      <c r="Q28" s="166"/>
      <c r="R28" s="166"/>
      <c r="S28" s="166"/>
      <c r="T28" s="166"/>
      <c r="U28" s="166"/>
    </row>
    <row r="29" spans="1:21">
      <c r="A29" s="242">
        <v>18</v>
      </c>
      <c r="B29" s="104"/>
      <c r="C29" s="83" t="s">
        <v>35</v>
      </c>
      <c r="D29" s="251"/>
      <c r="E29" s="69">
        <v>52699.044527999999</v>
      </c>
      <c r="F29" s="69">
        <f>E29/365</f>
        <v>144.38094391232877</v>
      </c>
      <c r="G29" s="86" t="s">
        <v>208</v>
      </c>
      <c r="H29" s="79">
        <f>'ATO-CWC2'!$C$19</f>
        <v>34.159999999999997</v>
      </c>
      <c r="I29" s="86" t="s">
        <v>212</v>
      </c>
      <c r="J29" s="81">
        <f>'ATO-CWC6'!E27</f>
        <v>213.5</v>
      </c>
      <c r="K29" s="69"/>
      <c r="L29" s="80">
        <f>H29-J29</f>
        <v>-179.34</v>
      </c>
      <c r="M29" s="69"/>
      <c r="N29" s="69">
        <f>L29*F29</f>
        <v>-25893.278481237045</v>
      </c>
      <c r="O29" s="69"/>
      <c r="Q29" s="166"/>
      <c r="R29" s="166"/>
      <c r="S29" s="166"/>
      <c r="T29" s="166"/>
      <c r="U29" s="166"/>
    </row>
    <row r="30" spans="1:21">
      <c r="A30" s="242">
        <v>19</v>
      </c>
      <c r="B30" s="104"/>
      <c r="C30" s="83" t="s">
        <v>78</v>
      </c>
      <c r="D30" s="251"/>
      <c r="E30" s="69">
        <v>300359.68741814268</v>
      </c>
      <c r="F30" s="69">
        <f>E30/365</f>
        <v>822.90325320039096</v>
      </c>
      <c r="G30" s="86" t="s">
        <v>208</v>
      </c>
      <c r="H30" s="79">
        <f>'ATO-CWC2'!$C$19</f>
        <v>34.159999999999997</v>
      </c>
      <c r="I30" s="86" t="s">
        <v>212</v>
      </c>
      <c r="J30" s="81">
        <f>'ATO-CWC6'!$E$20</f>
        <v>83.625</v>
      </c>
      <c r="K30" s="69"/>
      <c r="L30" s="80">
        <f>H30-J30</f>
        <v>-49.465000000000003</v>
      </c>
      <c r="M30" s="69"/>
      <c r="N30" s="69">
        <f>L30*F30</f>
        <v>-40704.909419557342</v>
      </c>
      <c r="O30" s="69"/>
      <c r="Q30" s="166"/>
      <c r="R30" s="166"/>
      <c r="S30" s="166"/>
      <c r="T30" s="166"/>
      <c r="U30" s="166"/>
    </row>
    <row r="31" spans="1:21">
      <c r="A31" s="242">
        <v>20</v>
      </c>
      <c r="B31" s="104"/>
      <c r="C31" s="104"/>
      <c r="D31" s="168"/>
      <c r="E31" s="104"/>
      <c r="F31" s="104"/>
      <c r="G31" s="84"/>
      <c r="H31" s="242"/>
      <c r="I31" s="84"/>
      <c r="J31" s="242"/>
      <c r="K31" s="67"/>
      <c r="L31" s="67"/>
      <c r="M31" s="67"/>
      <c r="N31" s="104"/>
      <c r="O31" s="67"/>
      <c r="Q31" s="166"/>
      <c r="R31" s="166"/>
      <c r="S31" s="166"/>
      <c r="T31" s="166"/>
      <c r="U31" s="166"/>
    </row>
    <row r="32" spans="1:21">
      <c r="A32" s="242">
        <v>21</v>
      </c>
      <c r="B32" s="104" t="s">
        <v>281</v>
      </c>
      <c r="C32" s="104"/>
      <c r="D32" s="168"/>
      <c r="E32" s="104"/>
      <c r="F32" s="104"/>
      <c r="G32" s="84"/>
      <c r="H32" s="242"/>
      <c r="I32" s="84"/>
      <c r="J32" s="242"/>
      <c r="K32" s="67"/>
      <c r="L32" s="67"/>
      <c r="M32" s="67"/>
      <c r="N32" s="104"/>
      <c r="O32" s="67"/>
      <c r="Q32" s="166"/>
      <c r="R32" s="166"/>
      <c r="S32" s="166"/>
      <c r="T32" s="166"/>
      <c r="U32" s="166"/>
    </row>
    <row r="33" spans="1:21">
      <c r="A33" s="242">
        <v>22</v>
      </c>
      <c r="B33" s="104"/>
      <c r="C33" s="83" t="s">
        <v>35</v>
      </c>
      <c r="D33" s="251"/>
      <c r="E33" s="69">
        <v>0</v>
      </c>
      <c r="F33" s="69">
        <f>E33/365</f>
        <v>0</v>
      </c>
      <c r="G33" s="86" t="s">
        <v>208</v>
      </c>
      <c r="H33" s="79">
        <f>'ATO-CWC2'!$C$19</f>
        <v>34.159999999999997</v>
      </c>
      <c r="I33" s="86" t="s">
        <v>212</v>
      </c>
      <c r="J33" s="81">
        <f>'ATO-CWC6'!$E$24</f>
        <v>346.39129575819396</v>
      </c>
      <c r="K33" s="67"/>
      <c r="L33" s="80">
        <f>H33-J33</f>
        <v>-312.23129575819394</v>
      </c>
      <c r="M33" s="67"/>
      <c r="N33" s="69">
        <f>L33*F33</f>
        <v>0</v>
      </c>
      <c r="O33" s="67"/>
      <c r="Q33" s="166"/>
    </row>
    <row r="34" spans="1:21">
      <c r="A34" s="242">
        <v>23</v>
      </c>
      <c r="B34" s="104"/>
      <c r="C34" s="83" t="s">
        <v>78</v>
      </c>
      <c r="D34" s="251"/>
      <c r="E34" s="69">
        <v>200995.40076696753</v>
      </c>
      <c r="F34" s="69">
        <f>E34/365</f>
        <v>550.67233086840417</v>
      </c>
      <c r="G34" s="86" t="s">
        <v>208</v>
      </c>
      <c r="H34" s="79">
        <f>'ATO-CWC2'!$C$19</f>
        <v>34.159999999999997</v>
      </c>
      <c r="I34" s="86" t="s">
        <v>212</v>
      </c>
      <c r="J34" s="81">
        <f>'ATO-CWC6'!$E$20</f>
        <v>83.625</v>
      </c>
      <c r="K34" s="67"/>
      <c r="L34" s="80">
        <f>H34-J34</f>
        <v>-49.465000000000003</v>
      </c>
      <c r="M34" s="67"/>
      <c r="N34" s="69">
        <f>L34*F34</f>
        <v>-27239.006846405613</v>
      </c>
      <c r="O34" s="67"/>
      <c r="Q34" s="166"/>
    </row>
    <row r="35" spans="1:21">
      <c r="A35" s="242">
        <v>24</v>
      </c>
      <c r="B35" s="83" t="s">
        <v>57</v>
      </c>
      <c r="C35" s="83"/>
      <c r="D35" s="171"/>
      <c r="E35" s="82">
        <f>SUM(E21:E34)</f>
        <v>18565422.422713112</v>
      </c>
      <c r="F35" s="69"/>
      <c r="G35" s="86"/>
      <c r="H35" s="79"/>
      <c r="I35" s="86"/>
      <c r="J35" s="136"/>
      <c r="K35" s="69"/>
      <c r="L35" s="69"/>
      <c r="M35" s="69"/>
      <c r="N35" s="82">
        <f>SUM(N21:N34)</f>
        <v>-7260261.8923490876</v>
      </c>
      <c r="O35" s="69"/>
      <c r="Q35" s="166"/>
    </row>
    <row r="36" spans="1:21">
      <c r="A36" s="242">
        <v>25</v>
      </c>
      <c r="B36" s="104"/>
      <c r="C36" s="83"/>
      <c r="D36" s="83"/>
      <c r="E36" s="83"/>
      <c r="F36" s="83"/>
      <c r="G36" s="86"/>
      <c r="H36" s="79"/>
      <c r="I36" s="86"/>
      <c r="J36" s="136"/>
      <c r="K36" s="69"/>
      <c r="L36" s="69"/>
      <c r="M36" s="69"/>
      <c r="N36" s="83"/>
      <c r="O36" s="69"/>
      <c r="Q36" s="166"/>
      <c r="R36" s="166"/>
      <c r="S36" s="166"/>
      <c r="T36" s="166"/>
      <c r="U36" s="166"/>
    </row>
    <row r="37" spans="1:21">
      <c r="A37" s="242">
        <v>26</v>
      </c>
      <c r="B37" s="83" t="s">
        <v>158</v>
      </c>
      <c r="C37" s="83"/>
      <c r="D37" s="104"/>
      <c r="E37" s="83">
        <v>6177506.0694232481</v>
      </c>
      <c r="F37" s="104"/>
      <c r="G37" s="84"/>
      <c r="H37" s="242"/>
      <c r="I37" s="84"/>
      <c r="J37" s="242"/>
      <c r="K37" s="67"/>
      <c r="L37" s="67"/>
      <c r="M37" s="67"/>
      <c r="N37" s="104"/>
      <c r="O37" s="69"/>
      <c r="Q37" s="166"/>
      <c r="R37" s="166"/>
      <c r="S37" s="166"/>
      <c r="T37" s="166"/>
      <c r="U37" s="166"/>
    </row>
    <row r="38" spans="1:21">
      <c r="A38" s="242">
        <v>27</v>
      </c>
      <c r="B38" s="104"/>
      <c r="C38" s="83" t="s">
        <v>108</v>
      </c>
      <c r="D38" s="172"/>
      <c r="E38" s="83">
        <f>E37-E39</f>
        <v>0</v>
      </c>
      <c r="F38" s="69">
        <f>E38/365</f>
        <v>0</v>
      </c>
      <c r="G38" s="86" t="s">
        <v>208</v>
      </c>
      <c r="H38" s="79">
        <f>'ATO-CWC2'!$C$19</f>
        <v>34.159999999999997</v>
      </c>
      <c r="I38" s="86" t="s">
        <v>213</v>
      </c>
      <c r="J38" s="79">
        <f>'ATO-CWC7'!$H$16</f>
        <v>-61.75</v>
      </c>
      <c r="K38" s="69"/>
      <c r="L38" s="80">
        <f>H38-J38</f>
        <v>95.91</v>
      </c>
      <c r="M38" s="69"/>
      <c r="N38" s="69">
        <f>L38*F38</f>
        <v>0</v>
      </c>
      <c r="O38" s="69"/>
      <c r="Q38" s="166"/>
      <c r="T38" s="166"/>
      <c r="U38" s="166"/>
    </row>
    <row r="39" spans="1:21">
      <c r="A39" s="242">
        <v>28</v>
      </c>
      <c r="B39" s="83"/>
      <c r="C39" s="83" t="s">
        <v>107</v>
      </c>
      <c r="D39" s="172"/>
      <c r="E39" s="83">
        <f>E37</f>
        <v>6177506.0694232481</v>
      </c>
      <c r="F39" s="69">
        <f>E39/365</f>
        <v>16924.674162803418</v>
      </c>
      <c r="G39" s="86" t="s">
        <v>208</v>
      </c>
      <c r="H39" s="79">
        <f>'ATO-CWC2'!$C$19</f>
        <v>34.159999999999997</v>
      </c>
      <c r="I39" s="86" t="s">
        <v>213</v>
      </c>
      <c r="J39" s="79">
        <v>0</v>
      </c>
      <c r="K39" s="69"/>
      <c r="L39" s="80">
        <f>H39-J39</f>
        <v>34.159999999999997</v>
      </c>
      <c r="M39" s="69"/>
      <c r="N39" s="69">
        <f>L39*F39</f>
        <v>578146.8694013647</v>
      </c>
      <c r="O39" s="69"/>
      <c r="Q39" s="166"/>
      <c r="T39" s="166"/>
      <c r="U39" s="166"/>
    </row>
    <row r="40" spans="1:21">
      <c r="A40" s="242">
        <v>29</v>
      </c>
      <c r="B40" s="83"/>
      <c r="C40" s="83"/>
      <c r="D40" s="83"/>
      <c r="E40" s="83"/>
      <c r="F40" s="83"/>
      <c r="G40" s="86"/>
      <c r="H40" s="79"/>
      <c r="I40" s="86"/>
      <c r="J40" s="136"/>
      <c r="K40" s="69"/>
      <c r="L40" s="69"/>
      <c r="M40" s="69"/>
      <c r="N40" s="83"/>
      <c r="O40" s="69"/>
      <c r="Q40" s="166"/>
      <c r="T40" s="166"/>
      <c r="U40" s="166"/>
    </row>
    <row r="41" spans="1:21">
      <c r="A41" s="242">
        <v>30</v>
      </c>
      <c r="B41" s="83" t="s">
        <v>239</v>
      </c>
      <c r="C41" s="83"/>
      <c r="D41" s="104"/>
      <c r="E41" s="83">
        <v>325131.89839069732</v>
      </c>
      <c r="F41" s="104"/>
      <c r="G41" s="84"/>
      <c r="H41" s="242"/>
      <c r="I41" s="84"/>
      <c r="J41" s="242"/>
      <c r="K41" s="67"/>
      <c r="L41" s="67"/>
      <c r="M41" s="67"/>
      <c r="N41" s="104"/>
      <c r="O41" s="69"/>
      <c r="Q41" s="166"/>
      <c r="R41" s="166"/>
      <c r="S41" s="166"/>
    </row>
    <row r="42" spans="1:21">
      <c r="A42" s="242">
        <v>31</v>
      </c>
      <c r="B42" s="104"/>
      <c r="C42" s="83" t="s">
        <v>108</v>
      </c>
      <c r="D42" s="172"/>
      <c r="E42" s="83">
        <f>E41-E43</f>
        <v>0</v>
      </c>
      <c r="F42" s="69">
        <f>E42/365</f>
        <v>0</v>
      </c>
      <c r="G42" s="86" t="s">
        <v>208</v>
      </c>
      <c r="H42" s="79">
        <f>'ATO-CWC2'!$C$19</f>
        <v>34.159999999999997</v>
      </c>
      <c r="I42" s="86" t="s">
        <v>214</v>
      </c>
      <c r="J42" s="79">
        <f>'ATO-CWC8'!H16</f>
        <v>-61.75</v>
      </c>
      <c r="K42" s="69"/>
      <c r="L42" s="80">
        <f>H42-J42</f>
        <v>95.91</v>
      </c>
      <c r="M42" s="69"/>
      <c r="N42" s="69">
        <f>L42*F42</f>
        <v>0</v>
      </c>
      <c r="O42" s="69"/>
      <c r="Q42" s="166"/>
      <c r="R42" s="166"/>
      <c r="S42" s="166"/>
    </row>
    <row r="43" spans="1:21">
      <c r="A43" s="242">
        <v>32</v>
      </c>
      <c r="B43" s="83"/>
      <c r="C43" s="83" t="s">
        <v>107</v>
      </c>
      <c r="D43" s="172"/>
      <c r="E43" s="83">
        <f>E41</f>
        <v>325131.89839069732</v>
      </c>
      <c r="F43" s="69">
        <f>E43/365</f>
        <v>890.7723243580748</v>
      </c>
      <c r="G43" s="86" t="s">
        <v>208</v>
      </c>
      <c r="H43" s="79">
        <f>'ATO-CWC2'!$C$19</f>
        <v>34.159999999999997</v>
      </c>
      <c r="I43" s="86" t="s">
        <v>214</v>
      </c>
      <c r="J43" s="79">
        <f>'ATO-CWC8'!H17</f>
        <v>0</v>
      </c>
      <c r="K43" s="69"/>
      <c r="L43" s="80">
        <f>H43-J43</f>
        <v>34.159999999999997</v>
      </c>
      <c r="M43" s="69"/>
      <c r="N43" s="69">
        <f>L43*F43</f>
        <v>30428.782600071831</v>
      </c>
      <c r="O43" s="69"/>
      <c r="Q43" s="166"/>
      <c r="R43" s="166"/>
      <c r="S43" s="166"/>
    </row>
    <row r="44" spans="1:21">
      <c r="A44" s="242">
        <v>33</v>
      </c>
      <c r="B44" s="83"/>
      <c r="C44" s="83"/>
      <c r="D44" s="83"/>
      <c r="E44" s="83"/>
      <c r="F44" s="83"/>
      <c r="G44" s="86"/>
      <c r="H44" s="79"/>
      <c r="I44" s="86"/>
      <c r="J44" s="136"/>
      <c r="K44" s="69"/>
      <c r="L44" s="80"/>
      <c r="M44" s="69"/>
      <c r="N44" s="69"/>
      <c r="O44" s="69"/>
      <c r="Q44" s="166"/>
      <c r="R44" s="166"/>
      <c r="S44" s="166"/>
    </row>
    <row r="45" spans="1:21">
      <c r="A45" s="242">
        <v>34</v>
      </c>
      <c r="B45" s="104" t="s">
        <v>45</v>
      </c>
      <c r="C45" s="83"/>
      <c r="D45" s="83"/>
      <c r="E45" s="67">
        <v>19295728.648829721</v>
      </c>
      <c r="F45" s="69">
        <f>E45/365</f>
        <v>52865.009996793757</v>
      </c>
      <c r="G45" s="86" t="s">
        <v>208</v>
      </c>
      <c r="H45" s="79">
        <f>'ATO-CWC2'!$C$19</f>
        <v>34.159999999999997</v>
      </c>
      <c r="I45" s="86"/>
      <c r="J45" s="136">
        <v>0</v>
      </c>
      <c r="K45" s="69"/>
      <c r="L45" s="80">
        <f>H45-J45</f>
        <v>34.159999999999997</v>
      </c>
      <c r="M45" s="69"/>
      <c r="N45" s="69">
        <f>L45*F45</f>
        <v>1805868.7414904744</v>
      </c>
      <c r="O45" s="69"/>
      <c r="Q45" s="166"/>
      <c r="R45" s="166"/>
      <c r="S45" s="166"/>
    </row>
    <row r="46" spans="1:21">
      <c r="A46" s="242">
        <v>35</v>
      </c>
      <c r="B46" s="104"/>
      <c r="C46" s="83"/>
      <c r="D46" s="83"/>
      <c r="E46" s="67"/>
      <c r="F46" s="69"/>
      <c r="G46" s="86"/>
      <c r="H46" s="79"/>
      <c r="I46" s="86"/>
      <c r="J46" s="136"/>
      <c r="K46" s="69"/>
      <c r="L46" s="80"/>
      <c r="M46" s="69"/>
      <c r="N46" s="69"/>
      <c r="O46" s="69"/>
      <c r="Q46" s="166"/>
      <c r="R46" s="166"/>
      <c r="S46" s="166"/>
    </row>
    <row r="47" spans="1:21">
      <c r="A47" s="242">
        <v>36</v>
      </c>
      <c r="B47" s="83" t="s">
        <v>244</v>
      </c>
      <c r="C47" s="83"/>
      <c r="D47" s="83"/>
      <c r="E47" s="83">
        <v>273866.7488424952</v>
      </c>
      <c r="F47" s="69">
        <f>E47/365</f>
        <v>750.31985984245262</v>
      </c>
      <c r="G47" s="86" t="s">
        <v>208</v>
      </c>
      <c r="H47" s="79">
        <f>'ATO-CWC2'!$C$19</f>
        <v>34.159999999999997</v>
      </c>
      <c r="I47" s="349" t="s">
        <v>229</v>
      </c>
      <c r="J47" s="79">
        <f>'ATO-CWC1A'!J47</f>
        <v>19.399999999999999</v>
      </c>
      <c r="K47" s="69"/>
      <c r="L47" s="80">
        <f>H47-J47</f>
        <v>14.759999999999998</v>
      </c>
      <c r="M47" s="69"/>
      <c r="N47" s="69">
        <f>L47*F47</f>
        <v>11074.721131274599</v>
      </c>
      <c r="O47" s="69"/>
      <c r="P47" s="239"/>
      <c r="Q47" s="166"/>
      <c r="R47" s="166"/>
      <c r="S47" s="166"/>
      <c r="T47" s="166"/>
      <c r="U47" s="166"/>
    </row>
    <row r="48" spans="1:21">
      <c r="A48" s="242">
        <v>37</v>
      </c>
      <c r="B48" s="104"/>
      <c r="C48" s="83"/>
      <c r="D48" s="83"/>
      <c r="E48" s="83"/>
      <c r="F48" s="83"/>
      <c r="G48" s="86"/>
      <c r="H48" s="79"/>
      <c r="I48" s="86"/>
      <c r="J48" s="136"/>
      <c r="K48" s="69"/>
      <c r="L48" s="69"/>
      <c r="M48" s="69"/>
      <c r="N48" s="83"/>
      <c r="O48" s="69"/>
      <c r="Q48" s="166"/>
      <c r="R48" s="166"/>
      <c r="S48" s="166"/>
    </row>
    <row r="49" spans="1:21">
      <c r="A49" s="242">
        <v>38</v>
      </c>
      <c r="B49" s="83" t="s">
        <v>111</v>
      </c>
      <c r="C49" s="83"/>
      <c r="D49" s="83"/>
      <c r="E49" s="69">
        <v>9366242.8104133364</v>
      </c>
      <c r="F49" s="69">
        <f>E49/365</f>
        <v>25660.939206611882</v>
      </c>
      <c r="G49" s="86" t="s">
        <v>208</v>
      </c>
      <c r="H49" s="79">
        <f>'ATO-CWC2'!$C$19</f>
        <v>34.159999999999997</v>
      </c>
      <c r="I49" s="86" t="s">
        <v>215</v>
      </c>
      <c r="J49" s="79">
        <f>'ATO-CWC9'!T26</f>
        <v>91.249999999999986</v>
      </c>
      <c r="K49" s="69"/>
      <c r="L49" s="80">
        <f>H49-J49</f>
        <v>-57.089999999999989</v>
      </c>
      <c r="M49" s="69"/>
      <c r="N49" s="69">
        <f>L49*F49</f>
        <v>-1464983.019305472</v>
      </c>
      <c r="O49" s="69"/>
      <c r="Q49" s="166"/>
      <c r="R49" s="166"/>
      <c r="S49" s="166"/>
    </row>
    <row r="50" spans="1:21">
      <c r="A50" s="242">
        <v>39</v>
      </c>
      <c r="B50" s="104"/>
      <c r="C50" s="83"/>
      <c r="D50" s="83"/>
      <c r="E50" s="83"/>
      <c r="F50" s="83"/>
      <c r="G50" s="86"/>
      <c r="H50" s="79"/>
      <c r="I50" s="86"/>
      <c r="J50" s="136"/>
      <c r="K50" s="69"/>
      <c r="L50" s="69"/>
      <c r="M50" s="69"/>
      <c r="N50" s="83"/>
      <c r="O50" s="69"/>
      <c r="Q50" s="166"/>
      <c r="R50" s="166"/>
      <c r="S50" s="166"/>
    </row>
    <row r="51" spans="1:21">
      <c r="A51" s="242">
        <v>40</v>
      </c>
      <c r="B51" s="104" t="s">
        <v>109</v>
      </c>
      <c r="C51" s="83"/>
      <c r="D51" s="83"/>
      <c r="E51" s="241">
        <v>33302196.659247417</v>
      </c>
      <c r="F51" s="69">
        <f>E51/365</f>
        <v>91238.894956842239</v>
      </c>
      <c r="G51" s="86" t="s">
        <v>208</v>
      </c>
      <c r="H51" s="79">
        <f>'ATO-CWC2'!$C$19</f>
        <v>34.159999999999997</v>
      </c>
      <c r="I51" s="86"/>
      <c r="J51" s="136">
        <v>0</v>
      </c>
      <c r="K51" s="69"/>
      <c r="L51" s="80">
        <f>H51-J51</f>
        <v>34.159999999999997</v>
      </c>
      <c r="M51" s="69"/>
      <c r="N51" s="241">
        <f>L51*F51</f>
        <v>3116720.6517257304</v>
      </c>
      <c r="O51" s="69"/>
      <c r="Q51" s="166"/>
      <c r="R51" s="166"/>
      <c r="S51" s="166"/>
      <c r="T51" s="166"/>
      <c r="U51" s="166"/>
    </row>
    <row r="52" spans="1:21">
      <c r="A52" s="242">
        <v>41</v>
      </c>
      <c r="B52" s="104"/>
      <c r="C52" s="83"/>
      <c r="D52" s="83"/>
      <c r="E52" s="83"/>
      <c r="F52" s="83"/>
      <c r="G52" s="86"/>
      <c r="H52" s="79"/>
      <c r="I52" s="86"/>
      <c r="J52" s="136"/>
      <c r="K52" s="69"/>
      <c r="L52" s="69"/>
      <c r="M52" s="69"/>
      <c r="N52" s="83"/>
      <c r="O52" s="69"/>
      <c r="Q52" s="166"/>
      <c r="R52" s="166"/>
      <c r="S52" s="166"/>
      <c r="T52" s="166"/>
      <c r="U52" s="166"/>
    </row>
    <row r="53" spans="1:21" ht="16.5" thickBot="1">
      <c r="A53" s="242">
        <v>42</v>
      </c>
      <c r="B53" s="104" t="s">
        <v>64</v>
      </c>
      <c r="C53" s="83"/>
      <c r="D53" s="83"/>
      <c r="E53" s="69">
        <f>+E42+E38+E45+E35+E18+E13+E49+E47+E51+E39+E43</f>
        <v>196491411.03091595</v>
      </c>
      <c r="F53" s="69"/>
      <c r="G53" s="86"/>
      <c r="H53" s="79"/>
      <c r="I53" s="86"/>
      <c r="J53" s="136"/>
      <c r="K53" s="69"/>
      <c r="L53" s="69"/>
      <c r="M53" s="69"/>
      <c r="N53" s="135">
        <f ca="1">+N42+N38+N45+N35+N18+N13+N49+N47+N51+N39+N43</f>
        <v>-3207972.8857775712</v>
      </c>
      <c r="O53" s="69"/>
      <c r="Q53" s="166"/>
      <c r="R53" s="166"/>
      <c r="S53" s="166"/>
      <c r="T53" s="166"/>
      <c r="U53" s="166"/>
    </row>
    <row r="54" spans="1:21" ht="16.5" thickTop="1">
      <c r="A54" s="242">
        <v>43</v>
      </c>
      <c r="B54" s="104"/>
      <c r="C54" s="83"/>
      <c r="D54" s="83"/>
      <c r="E54" s="83"/>
      <c r="F54" s="83"/>
      <c r="G54" s="86"/>
      <c r="H54" s="79"/>
      <c r="I54" s="86"/>
      <c r="J54" s="136"/>
      <c r="K54" s="69"/>
      <c r="L54" s="69"/>
      <c r="M54" s="69"/>
      <c r="N54" s="69"/>
      <c r="O54" s="69"/>
      <c r="Q54" s="166"/>
      <c r="R54" s="166"/>
      <c r="S54" s="166"/>
      <c r="T54" s="166"/>
      <c r="U54" s="166"/>
    </row>
    <row r="55" spans="1:21">
      <c r="A55" s="167">
        <v>44</v>
      </c>
      <c r="B55" s="350" t="s">
        <v>258</v>
      </c>
      <c r="H55" s="252"/>
      <c r="Q55" s="166"/>
      <c r="R55" s="166"/>
      <c r="S55" s="166"/>
    </row>
    <row r="56" spans="1:21">
      <c r="H56" s="252"/>
    </row>
    <row r="57" spans="1:21">
      <c r="H57" s="252"/>
    </row>
    <row r="58" spans="1:21">
      <c r="H58" s="252"/>
    </row>
    <row r="59" spans="1:21">
      <c r="H59" s="252"/>
    </row>
    <row r="60" spans="1:21">
      <c r="H60" s="252"/>
    </row>
    <row r="61" spans="1:21">
      <c r="H61" s="252"/>
    </row>
    <row r="62" spans="1:21">
      <c r="H62" s="252"/>
    </row>
    <row r="63" spans="1:21">
      <c r="H63" s="252"/>
    </row>
    <row r="64" spans="1:21">
      <c r="H64" s="252"/>
    </row>
    <row r="65" spans="8:8">
      <c r="H65" s="252"/>
    </row>
    <row r="66" spans="8:8">
      <c r="H66" s="252"/>
    </row>
    <row r="67" spans="8:8">
      <c r="H67" s="252"/>
    </row>
    <row r="68" spans="8:8">
      <c r="H68" s="252"/>
    </row>
    <row r="69" spans="8:8">
      <c r="H69" s="252"/>
    </row>
    <row r="70" spans="8:8">
      <c r="H70" s="252"/>
    </row>
    <row r="71" spans="8:8">
      <c r="H71" s="252"/>
    </row>
    <row r="72" spans="8:8">
      <c r="H72" s="252"/>
    </row>
    <row r="73" spans="8:8">
      <c r="H73" s="252"/>
    </row>
    <row r="74" spans="8:8">
      <c r="H74" s="252"/>
    </row>
    <row r="75" spans="8:8">
      <c r="H75" s="252"/>
    </row>
    <row r="76" spans="8:8">
      <c r="H76" s="252"/>
    </row>
    <row r="77" spans="8:8">
      <c r="H77" s="252"/>
    </row>
    <row r="78" spans="8:8">
      <c r="H78" s="252"/>
    </row>
    <row r="79" spans="8:8">
      <c r="H79" s="252"/>
    </row>
    <row r="80" spans="8:8">
      <c r="H80" s="252"/>
    </row>
    <row r="81" spans="8:8">
      <c r="H81" s="252"/>
    </row>
    <row r="82" spans="8:8">
      <c r="H82" s="252"/>
    </row>
    <row r="83" spans="8:8">
      <c r="H83" s="252"/>
    </row>
    <row r="84" spans="8:8">
      <c r="H84" s="252"/>
    </row>
    <row r="85" spans="8:8">
      <c r="H85" s="252"/>
    </row>
    <row r="86" spans="8:8">
      <c r="H86" s="252"/>
    </row>
    <row r="87" spans="8:8">
      <c r="H87" s="252"/>
    </row>
    <row r="88" spans="8:8">
      <c r="H88" s="252"/>
    </row>
    <row r="89" spans="8:8">
      <c r="H89" s="252"/>
    </row>
    <row r="90" spans="8:8">
      <c r="H90" s="252"/>
    </row>
    <row r="91" spans="8:8">
      <c r="H91" s="252"/>
    </row>
    <row r="92" spans="8:8">
      <c r="H92" s="252"/>
    </row>
    <row r="93" spans="8:8">
      <c r="H93" s="252"/>
    </row>
    <row r="94" spans="8:8">
      <c r="H94" s="252"/>
    </row>
    <row r="95" spans="8:8">
      <c r="H95" s="252"/>
    </row>
    <row r="96" spans="8:8">
      <c r="H96" s="252"/>
    </row>
    <row r="97" spans="8:8">
      <c r="H97" s="252"/>
    </row>
    <row r="98" spans="8:8">
      <c r="H98" s="252"/>
    </row>
    <row r="99" spans="8:8">
      <c r="H99" s="252"/>
    </row>
    <row r="100" spans="8:8">
      <c r="H100" s="252"/>
    </row>
    <row r="101" spans="8:8">
      <c r="H101" s="252"/>
    </row>
    <row r="102" spans="8:8">
      <c r="H102" s="252"/>
    </row>
    <row r="103" spans="8:8">
      <c r="H103" s="252"/>
    </row>
    <row r="104" spans="8:8">
      <c r="H104" s="252"/>
    </row>
    <row r="105" spans="8:8">
      <c r="H105" s="252"/>
    </row>
    <row r="106" spans="8:8">
      <c r="H106" s="252"/>
    </row>
    <row r="107" spans="8:8">
      <c r="H107" s="252"/>
    </row>
    <row r="108" spans="8:8">
      <c r="H108" s="252"/>
    </row>
    <row r="109" spans="8:8">
      <c r="H109" s="252"/>
    </row>
    <row r="110" spans="8:8">
      <c r="H110" s="252"/>
    </row>
    <row r="111" spans="8:8">
      <c r="H111" s="252"/>
    </row>
    <row r="112" spans="8:8">
      <c r="H112" s="252"/>
    </row>
    <row r="113" spans="8:8">
      <c r="H113" s="252"/>
    </row>
    <row r="114" spans="8:8">
      <c r="H114" s="252"/>
    </row>
    <row r="115" spans="8:8">
      <c r="H115" s="252"/>
    </row>
    <row r="116" spans="8:8">
      <c r="H116" s="252"/>
    </row>
    <row r="117" spans="8:8">
      <c r="H117" s="252"/>
    </row>
    <row r="118" spans="8:8">
      <c r="H118" s="252"/>
    </row>
    <row r="119" spans="8:8">
      <c r="H119" s="252"/>
    </row>
    <row r="120" spans="8:8">
      <c r="H120" s="252"/>
    </row>
    <row r="121" spans="8:8">
      <c r="H121" s="252"/>
    </row>
    <row r="122" spans="8:8">
      <c r="H122" s="252"/>
    </row>
    <row r="123" spans="8:8">
      <c r="H123" s="252"/>
    </row>
    <row r="124" spans="8:8">
      <c r="H124" s="252"/>
    </row>
    <row r="125" spans="8:8">
      <c r="H125" s="252"/>
    </row>
    <row r="126" spans="8:8">
      <c r="H126" s="252"/>
    </row>
    <row r="127" spans="8:8">
      <c r="H127" s="252"/>
    </row>
    <row r="128" spans="8:8">
      <c r="H128" s="252"/>
    </row>
    <row r="129" spans="8:8">
      <c r="H129" s="252"/>
    </row>
    <row r="130" spans="8:8">
      <c r="H130" s="252"/>
    </row>
    <row r="131" spans="8:8">
      <c r="H131" s="252"/>
    </row>
    <row r="132" spans="8:8">
      <c r="H132" s="252"/>
    </row>
    <row r="133" spans="8:8">
      <c r="H133" s="252"/>
    </row>
    <row r="134" spans="8:8">
      <c r="H134" s="252"/>
    </row>
    <row r="135" spans="8:8">
      <c r="H135" s="252"/>
    </row>
    <row r="136" spans="8:8">
      <c r="H136" s="252"/>
    </row>
    <row r="137" spans="8:8">
      <c r="H137" s="252"/>
    </row>
    <row r="138" spans="8:8">
      <c r="H138" s="252"/>
    </row>
    <row r="139" spans="8:8">
      <c r="H139" s="252"/>
    </row>
    <row r="140" spans="8:8">
      <c r="H140" s="252"/>
    </row>
    <row r="141" spans="8:8">
      <c r="H141" s="252"/>
    </row>
    <row r="142" spans="8:8">
      <c r="H142" s="252"/>
    </row>
    <row r="143" spans="8:8">
      <c r="H143" s="252"/>
    </row>
    <row r="144" spans="8:8">
      <c r="H144" s="252"/>
    </row>
    <row r="145" spans="8:8">
      <c r="H145" s="252"/>
    </row>
    <row r="146" spans="8:8">
      <c r="H146" s="252"/>
    </row>
    <row r="147" spans="8:8">
      <c r="H147" s="252"/>
    </row>
    <row r="148" spans="8:8">
      <c r="H148" s="252"/>
    </row>
    <row r="149" spans="8:8">
      <c r="H149" s="252"/>
    </row>
    <row r="150" spans="8:8">
      <c r="H150" s="252"/>
    </row>
    <row r="151" spans="8:8">
      <c r="H151" s="252"/>
    </row>
    <row r="152" spans="8:8">
      <c r="H152" s="252"/>
    </row>
    <row r="153" spans="8:8">
      <c r="H153" s="252"/>
    </row>
    <row r="154" spans="8:8">
      <c r="H154" s="252"/>
    </row>
    <row r="155" spans="8:8">
      <c r="H155" s="252"/>
    </row>
    <row r="156" spans="8:8">
      <c r="H156" s="252"/>
    </row>
    <row r="157" spans="8:8">
      <c r="H157" s="252"/>
    </row>
    <row r="158" spans="8:8">
      <c r="H158" s="252"/>
    </row>
    <row r="159" spans="8:8">
      <c r="H159" s="252"/>
    </row>
    <row r="160" spans="8:8">
      <c r="H160" s="252"/>
    </row>
    <row r="161" spans="8:8">
      <c r="H161" s="252"/>
    </row>
    <row r="162" spans="8:8">
      <c r="H162" s="252"/>
    </row>
    <row r="163" spans="8:8">
      <c r="H163" s="252"/>
    </row>
    <row r="164" spans="8:8">
      <c r="H164" s="252"/>
    </row>
    <row r="165" spans="8:8">
      <c r="H165" s="252"/>
    </row>
    <row r="166" spans="8:8">
      <c r="H166" s="252"/>
    </row>
  </sheetData>
  <phoneticPr fontId="9" type="noConversion"/>
  <printOptions horizontalCentered="1"/>
  <pageMargins left="0.6" right="0.6" top="0.75" bottom="0.5" header="0.25" footer="0.24"/>
  <pageSetup scale="62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theme="6" tint="0.39997558519241921"/>
    <pageSetUpPr fitToPage="1"/>
  </sheetPr>
  <dimension ref="A1:G2696"/>
  <sheetViews>
    <sheetView showGridLines="0" zoomScaleNormal="100" zoomScaleSheetLayoutView="100" workbookViewId="0"/>
  </sheetViews>
  <sheetFormatPr defaultColWidth="9.625" defaultRowHeight="12.75"/>
  <cols>
    <col min="1" max="1" width="6.125" style="22" customWidth="1"/>
    <col min="2" max="2" width="68.25" style="22" customWidth="1"/>
    <col min="3" max="3" width="12.25" style="22" customWidth="1"/>
    <col min="4" max="4" width="1.5" style="22" bestFit="1" customWidth="1"/>
    <col min="5" max="16384" width="9.625" style="22"/>
  </cols>
  <sheetData>
    <row r="1" spans="1:7" ht="14.25">
      <c r="A1" s="105"/>
      <c r="B1" s="142"/>
      <c r="C1" s="141" t="s">
        <v>193</v>
      </c>
    </row>
    <row r="2" spans="1:7" ht="15">
      <c r="A2" s="119" t="str">
        <f>CONCATENATE(COMPANY,"-",JURISDICTION)</f>
        <v>Atmos Energy Corporation-Kentucky</v>
      </c>
      <c r="B2" s="58"/>
      <c r="C2" s="142"/>
    </row>
    <row r="3" spans="1:7" ht="15">
      <c r="A3" s="120" t="s">
        <v>0</v>
      </c>
      <c r="B3" s="58"/>
      <c r="C3" s="58"/>
      <c r="G3" s="254"/>
    </row>
    <row r="4" spans="1:7" ht="15">
      <c r="A4" s="123" t="s">
        <v>278</v>
      </c>
      <c r="B4" s="58"/>
      <c r="C4" s="58"/>
    </row>
    <row r="5" spans="1:7" ht="14.25">
      <c r="A5" s="105"/>
      <c r="B5" s="105"/>
      <c r="C5" s="105"/>
    </row>
    <row r="6" spans="1:7" ht="14.25">
      <c r="A6" s="143" t="s">
        <v>1</v>
      </c>
      <c r="B6" s="143"/>
      <c r="C6" s="143" t="s">
        <v>155</v>
      </c>
    </row>
    <row r="7" spans="1:7" ht="11.25" customHeight="1">
      <c r="A7" s="144" t="s">
        <v>123</v>
      </c>
      <c r="B7" s="129" t="s">
        <v>124</v>
      </c>
      <c r="C7" s="255" t="s">
        <v>99</v>
      </c>
    </row>
    <row r="8" spans="1:7" ht="14.25">
      <c r="A8" s="105"/>
      <c r="B8" s="143" t="s">
        <v>128</v>
      </c>
      <c r="C8" s="143" t="s">
        <v>129</v>
      </c>
    </row>
    <row r="9" spans="1:7" ht="14.25">
      <c r="A9" s="105"/>
      <c r="B9" s="105"/>
      <c r="C9" s="105"/>
      <c r="D9" s="256"/>
    </row>
    <row r="10" spans="1:7" ht="15">
      <c r="A10" s="143">
        <v>1</v>
      </c>
      <c r="B10" s="149" t="s">
        <v>219</v>
      </c>
      <c r="C10" s="112">
        <v>0.63943245184906394</v>
      </c>
    </row>
    <row r="11" spans="1:7" ht="14.25">
      <c r="A11" s="143">
        <v>2</v>
      </c>
      <c r="B11" s="105"/>
      <c r="C11" s="113"/>
    </row>
    <row r="12" spans="1:7" ht="15">
      <c r="A12" s="143">
        <v>3</v>
      </c>
      <c r="B12" s="257" t="s">
        <v>218</v>
      </c>
      <c r="C12" s="112">
        <f>ROUND(365/24,2)</f>
        <v>15.21</v>
      </c>
    </row>
    <row r="13" spans="1:7" ht="14.25">
      <c r="A13" s="143">
        <v>4</v>
      </c>
      <c r="B13" s="105"/>
      <c r="C13" s="113"/>
    </row>
    <row r="14" spans="1:7" ht="15">
      <c r="A14" s="143">
        <v>5</v>
      </c>
      <c r="B14" s="257" t="s">
        <v>161</v>
      </c>
      <c r="C14" s="112">
        <f>'WP 2-1'!E379</f>
        <v>17.309999999999999</v>
      </c>
    </row>
    <row r="15" spans="1:7" ht="14.25">
      <c r="A15" s="143">
        <v>6</v>
      </c>
      <c r="B15" s="258" t="s">
        <v>119</v>
      </c>
      <c r="C15" s="113"/>
    </row>
    <row r="16" spans="1:7" ht="14.25">
      <c r="A16" s="143">
        <v>7</v>
      </c>
      <c r="B16" s="105"/>
      <c r="C16" s="113"/>
    </row>
    <row r="17" spans="1:3" ht="15">
      <c r="A17" s="143">
        <v>8</v>
      </c>
      <c r="B17" s="257" t="s">
        <v>220</v>
      </c>
      <c r="C17" s="259">
        <v>1.0025209762790597</v>
      </c>
    </row>
    <row r="18" spans="1:3" ht="14.25">
      <c r="A18" s="143">
        <v>9</v>
      </c>
      <c r="B18" s="105"/>
      <c r="C18" s="113"/>
    </row>
    <row r="19" spans="1:3" ht="15.75" thickBot="1">
      <c r="A19" s="143">
        <v>10</v>
      </c>
      <c r="B19" s="257" t="s">
        <v>61</v>
      </c>
      <c r="C19" s="260">
        <f>ROUND(C17+C14+C12+C10,2)</f>
        <v>34.159999999999997</v>
      </c>
    </row>
    <row r="20" spans="1:3" ht="15.75" thickTop="1">
      <c r="A20" s="143">
        <v>11</v>
      </c>
      <c r="B20" s="254"/>
      <c r="C20" s="254"/>
    </row>
    <row r="21" spans="1:3" ht="15">
      <c r="A21" s="143">
        <v>12</v>
      </c>
      <c r="B21" s="258" t="s">
        <v>221</v>
      </c>
      <c r="C21" s="254"/>
    </row>
    <row r="22" spans="1:3" ht="15">
      <c r="A22" s="143">
        <v>13</v>
      </c>
      <c r="B22" s="258" t="s">
        <v>265</v>
      </c>
      <c r="C22" s="254"/>
    </row>
    <row r="23" spans="1:3" ht="15">
      <c r="A23" s="143">
        <v>14</v>
      </c>
      <c r="B23" s="258" t="s">
        <v>266</v>
      </c>
      <c r="C23" s="254"/>
    </row>
    <row r="24" spans="1:3" ht="15">
      <c r="A24" s="143">
        <v>15</v>
      </c>
      <c r="B24" s="258" t="s">
        <v>222</v>
      </c>
      <c r="C24" s="254"/>
    </row>
    <row r="25" spans="1:3">
      <c r="A25" s="256"/>
    </row>
    <row r="26" spans="1:3">
      <c r="A26" s="256"/>
    </row>
    <row r="27" spans="1:3">
      <c r="A27" s="256"/>
    </row>
    <row r="28" spans="1:3">
      <c r="A28" s="256"/>
    </row>
    <row r="29" spans="1:3">
      <c r="A29" s="256"/>
    </row>
    <row r="30" spans="1:3">
      <c r="A30" s="256"/>
    </row>
    <row r="31" spans="1:3">
      <c r="A31" s="256"/>
    </row>
    <row r="32" spans="1:3">
      <c r="A32" s="256"/>
    </row>
    <row r="33" spans="1:3">
      <c r="A33" s="256"/>
    </row>
    <row r="34" spans="1:3">
      <c r="A34" s="256"/>
    </row>
    <row r="35" spans="1:3">
      <c r="A35" s="256"/>
    </row>
    <row r="36" spans="1:3">
      <c r="A36" s="256"/>
    </row>
    <row r="37" spans="1:3">
      <c r="A37" s="256"/>
    </row>
    <row r="38" spans="1:3">
      <c r="A38" s="256"/>
    </row>
    <row r="39" spans="1:3">
      <c r="A39" s="256"/>
    </row>
    <row r="40" spans="1:3">
      <c r="A40" s="256"/>
    </row>
    <row r="41" spans="1:3">
      <c r="A41" s="256"/>
    </row>
    <row r="42" spans="1:3">
      <c r="A42" s="256"/>
    </row>
    <row r="43" spans="1:3">
      <c r="A43" s="256"/>
      <c r="C43" s="348"/>
    </row>
    <row r="44" spans="1:3">
      <c r="A44" s="256"/>
    </row>
    <row r="45" spans="1:3">
      <c r="A45" s="256"/>
    </row>
    <row r="46" spans="1:3">
      <c r="A46" s="256"/>
    </row>
    <row r="47" spans="1:3">
      <c r="A47" s="256"/>
    </row>
    <row r="48" spans="1:3">
      <c r="A48" s="256"/>
    </row>
    <row r="49" spans="1:1">
      <c r="A49" s="256"/>
    </row>
    <row r="50" spans="1:1">
      <c r="A50" s="256"/>
    </row>
    <row r="51" spans="1:1">
      <c r="A51" s="256"/>
    </row>
    <row r="52" spans="1:1">
      <c r="A52" s="256"/>
    </row>
    <row r="53" spans="1:1">
      <c r="A53" s="256"/>
    </row>
    <row r="54" spans="1:1">
      <c r="A54" s="256"/>
    </row>
    <row r="55" spans="1:1">
      <c r="A55" s="256"/>
    </row>
    <row r="56" spans="1:1">
      <c r="A56" s="256"/>
    </row>
    <row r="57" spans="1:1">
      <c r="A57" s="256"/>
    </row>
    <row r="58" spans="1:1">
      <c r="A58" s="256"/>
    </row>
    <row r="59" spans="1:1">
      <c r="A59" s="256"/>
    </row>
    <row r="60" spans="1:1">
      <c r="A60" s="256"/>
    </row>
    <row r="61" spans="1:1">
      <c r="A61" s="256"/>
    </row>
    <row r="62" spans="1:1">
      <c r="A62" s="256"/>
    </row>
    <row r="63" spans="1:1">
      <c r="A63" s="256"/>
    </row>
    <row r="64" spans="1:1">
      <c r="A64" s="256"/>
    </row>
    <row r="65" spans="1:1">
      <c r="A65" s="256"/>
    </row>
    <row r="66" spans="1:1">
      <c r="A66" s="256"/>
    </row>
    <row r="67" spans="1:1">
      <c r="A67" s="256"/>
    </row>
    <row r="68" spans="1:1">
      <c r="A68" s="256"/>
    </row>
    <row r="69" spans="1:1">
      <c r="A69" s="256"/>
    </row>
    <row r="70" spans="1:1">
      <c r="A70" s="256"/>
    </row>
    <row r="71" spans="1:1">
      <c r="A71" s="256"/>
    </row>
    <row r="72" spans="1:1">
      <c r="A72" s="256"/>
    </row>
    <row r="73" spans="1:1">
      <c r="A73" s="256"/>
    </row>
    <row r="74" spans="1:1">
      <c r="A74" s="256"/>
    </row>
    <row r="75" spans="1:1">
      <c r="A75" s="256"/>
    </row>
    <row r="76" spans="1:1">
      <c r="A76" s="256"/>
    </row>
    <row r="77" spans="1:1">
      <c r="A77" s="256"/>
    </row>
    <row r="78" spans="1:1">
      <c r="A78" s="256"/>
    </row>
    <row r="79" spans="1:1">
      <c r="A79" s="256"/>
    </row>
    <row r="80" spans="1:1">
      <c r="A80" s="256"/>
    </row>
    <row r="81" spans="1:1">
      <c r="A81" s="256"/>
    </row>
    <row r="82" spans="1:1">
      <c r="A82" s="256"/>
    </row>
    <row r="83" spans="1:1">
      <c r="A83" s="256"/>
    </row>
    <row r="84" spans="1:1">
      <c r="A84" s="256"/>
    </row>
    <row r="85" spans="1:1">
      <c r="A85" s="256"/>
    </row>
    <row r="86" spans="1:1">
      <c r="A86" s="256"/>
    </row>
    <row r="87" spans="1:1">
      <c r="A87" s="256"/>
    </row>
    <row r="88" spans="1:1">
      <c r="A88" s="256"/>
    </row>
    <row r="89" spans="1:1">
      <c r="A89" s="256"/>
    </row>
    <row r="90" spans="1:1">
      <c r="A90" s="256"/>
    </row>
    <row r="91" spans="1:1">
      <c r="A91" s="256"/>
    </row>
    <row r="92" spans="1:1">
      <c r="A92" s="256"/>
    </row>
    <row r="93" spans="1:1">
      <c r="A93" s="256"/>
    </row>
    <row r="94" spans="1:1">
      <c r="A94" s="256"/>
    </row>
    <row r="95" spans="1:1">
      <c r="A95" s="256"/>
    </row>
    <row r="96" spans="1:1">
      <c r="A96" s="256"/>
    </row>
    <row r="97" spans="1:1">
      <c r="A97" s="256"/>
    </row>
    <row r="98" spans="1:1">
      <c r="A98" s="256"/>
    </row>
    <row r="99" spans="1:1">
      <c r="A99" s="256"/>
    </row>
    <row r="100" spans="1:1">
      <c r="A100" s="256"/>
    </row>
    <row r="101" spans="1:1">
      <c r="A101" s="256"/>
    </row>
    <row r="102" spans="1:1">
      <c r="A102" s="256"/>
    </row>
    <row r="103" spans="1:1">
      <c r="A103" s="256"/>
    </row>
    <row r="104" spans="1:1">
      <c r="A104" s="256"/>
    </row>
    <row r="105" spans="1:1">
      <c r="A105" s="256"/>
    </row>
    <row r="106" spans="1:1">
      <c r="A106" s="256"/>
    </row>
    <row r="107" spans="1:1">
      <c r="A107" s="256"/>
    </row>
    <row r="108" spans="1:1">
      <c r="A108" s="256"/>
    </row>
    <row r="109" spans="1:1">
      <c r="A109" s="256"/>
    </row>
    <row r="110" spans="1:1">
      <c r="A110" s="256"/>
    </row>
    <row r="111" spans="1:1">
      <c r="A111" s="256"/>
    </row>
    <row r="112" spans="1:1">
      <c r="A112" s="256"/>
    </row>
    <row r="113" spans="1:1">
      <c r="A113" s="256"/>
    </row>
    <row r="114" spans="1:1">
      <c r="A114" s="256"/>
    </row>
    <row r="115" spans="1:1">
      <c r="A115" s="256"/>
    </row>
    <row r="116" spans="1:1">
      <c r="A116" s="256"/>
    </row>
    <row r="117" spans="1:1">
      <c r="A117" s="256"/>
    </row>
    <row r="118" spans="1:1">
      <c r="A118" s="256"/>
    </row>
    <row r="119" spans="1:1">
      <c r="A119" s="256"/>
    </row>
    <row r="120" spans="1:1">
      <c r="A120" s="256"/>
    </row>
    <row r="121" spans="1:1">
      <c r="A121" s="256"/>
    </row>
    <row r="122" spans="1:1">
      <c r="A122" s="256"/>
    </row>
    <row r="123" spans="1:1">
      <c r="A123" s="256"/>
    </row>
    <row r="124" spans="1:1">
      <c r="A124" s="256"/>
    </row>
    <row r="125" spans="1:1">
      <c r="A125" s="256"/>
    </row>
    <row r="126" spans="1:1">
      <c r="A126" s="256"/>
    </row>
    <row r="127" spans="1:1">
      <c r="A127" s="256"/>
    </row>
    <row r="128" spans="1:1">
      <c r="A128" s="256"/>
    </row>
    <row r="129" spans="1:1">
      <c r="A129" s="256"/>
    </row>
    <row r="130" spans="1:1">
      <c r="A130" s="256"/>
    </row>
    <row r="131" spans="1:1">
      <c r="A131" s="256"/>
    </row>
    <row r="132" spans="1:1">
      <c r="A132" s="256"/>
    </row>
    <row r="133" spans="1:1">
      <c r="A133" s="256"/>
    </row>
    <row r="134" spans="1:1">
      <c r="A134" s="256"/>
    </row>
    <row r="135" spans="1:1">
      <c r="A135" s="256"/>
    </row>
    <row r="136" spans="1:1">
      <c r="A136" s="256"/>
    </row>
    <row r="137" spans="1:1">
      <c r="A137" s="256"/>
    </row>
    <row r="138" spans="1:1">
      <c r="A138" s="256"/>
    </row>
    <row r="139" spans="1:1">
      <c r="A139" s="256"/>
    </row>
    <row r="140" spans="1:1">
      <c r="A140" s="256"/>
    </row>
    <row r="141" spans="1:1">
      <c r="A141" s="256"/>
    </row>
    <row r="142" spans="1:1">
      <c r="A142" s="256"/>
    </row>
    <row r="143" spans="1:1">
      <c r="A143" s="256"/>
    </row>
    <row r="144" spans="1:1">
      <c r="A144" s="256"/>
    </row>
    <row r="145" spans="1:1">
      <c r="A145" s="256"/>
    </row>
    <row r="146" spans="1:1">
      <c r="A146" s="256"/>
    </row>
    <row r="147" spans="1:1">
      <c r="A147" s="256"/>
    </row>
    <row r="148" spans="1:1">
      <c r="A148" s="256"/>
    </row>
    <row r="149" spans="1:1">
      <c r="A149" s="256"/>
    </row>
    <row r="150" spans="1:1">
      <c r="A150" s="256"/>
    </row>
    <row r="151" spans="1:1">
      <c r="A151" s="256"/>
    </row>
    <row r="152" spans="1:1">
      <c r="A152" s="256"/>
    </row>
    <row r="153" spans="1:1">
      <c r="A153" s="256"/>
    </row>
    <row r="154" spans="1:1">
      <c r="A154" s="256"/>
    </row>
    <row r="155" spans="1:1">
      <c r="A155" s="256"/>
    </row>
    <row r="156" spans="1:1">
      <c r="A156" s="256"/>
    </row>
    <row r="157" spans="1:1">
      <c r="A157" s="256"/>
    </row>
    <row r="158" spans="1:1">
      <c r="A158" s="256"/>
    </row>
    <row r="159" spans="1:1">
      <c r="A159" s="256"/>
    </row>
    <row r="160" spans="1:1">
      <c r="A160" s="256"/>
    </row>
    <row r="161" spans="1:1">
      <c r="A161" s="256"/>
    </row>
    <row r="162" spans="1:1">
      <c r="A162" s="256"/>
    </row>
    <row r="163" spans="1:1">
      <c r="A163" s="256"/>
    </row>
    <row r="164" spans="1:1">
      <c r="A164" s="256"/>
    </row>
    <row r="165" spans="1:1">
      <c r="A165" s="256"/>
    </row>
    <row r="166" spans="1:1">
      <c r="A166" s="256"/>
    </row>
    <row r="167" spans="1:1">
      <c r="A167" s="256"/>
    </row>
    <row r="168" spans="1:1">
      <c r="A168" s="256"/>
    </row>
    <row r="169" spans="1:1">
      <c r="A169" s="256"/>
    </row>
    <row r="170" spans="1:1">
      <c r="A170" s="256"/>
    </row>
    <row r="171" spans="1:1">
      <c r="A171" s="256"/>
    </row>
    <row r="172" spans="1:1">
      <c r="A172" s="256"/>
    </row>
    <row r="173" spans="1:1">
      <c r="A173" s="256"/>
    </row>
    <row r="174" spans="1:1">
      <c r="A174" s="256"/>
    </row>
    <row r="175" spans="1:1">
      <c r="A175" s="256"/>
    </row>
    <row r="176" spans="1:1">
      <c r="A176" s="256"/>
    </row>
    <row r="177" spans="1:1">
      <c r="A177" s="256"/>
    </row>
    <row r="178" spans="1:1">
      <c r="A178" s="256"/>
    </row>
    <row r="179" spans="1:1">
      <c r="A179" s="256"/>
    </row>
    <row r="180" spans="1:1">
      <c r="A180" s="256"/>
    </row>
    <row r="181" spans="1:1">
      <c r="A181" s="256"/>
    </row>
    <row r="182" spans="1:1">
      <c r="A182" s="256"/>
    </row>
    <row r="183" spans="1:1">
      <c r="A183" s="256"/>
    </row>
    <row r="184" spans="1:1">
      <c r="A184" s="256"/>
    </row>
    <row r="185" spans="1:1">
      <c r="A185" s="256"/>
    </row>
    <row r="186" spans="1:1">
      <c r="A186" s="256"/>
    </row>
    <row r="187" spans="1:1">
      <c r="A187" s="256"/>
    </row>
    <row r="188" spans="1:1">
      <c r="A188" s="256"/>
    </row>
    <row r="189" spans="1:1">
      <c r="A189" s="256"/>
    </row>
    <row r="190" spans="1:1">
      <c r="A190" s="256"/>
    </row>
    <row r="191" spans="1:1">
      <c r="A191" s="256"/>
    </row>
    <row r="192" spans="1:1">
      <c r="A192" s="256"/>
    </row>
    <row r="193" spans="1:1">
      <c r="A193" s="256"/>
    </row>
    <row r="194" spans="1:1">
      <c r="A194" s="256"/>
    </row>
    <row r="195" spans="1:1">
      <c r="A195" s="256"/>
    </row>
    <row r="196" spans="1:1">
      <c r="A196" s="256"/>
    </row>
    <row r="197" spans="1:1">
      <c r="A197" s="256"/>
    </row>
    <row r="198" spans="1:1">
      <c r="A198" s="256"/>
    </row>
    <row r="199" spans="1:1">
      <c r="A199" s="256"/>
    </row>
    <row r="200" spans="1:1">
      <c r="A200" s="256"/>
    </row>
    <row r="201" spans="1:1">
      <c r="A201" s="256"/>
    </row>
    <row r="202" spans="1:1">
      <c r="A202" s="256"/>
    </row>
    <row r="203" spans="1:1">
      <c r="A203" s="256"/>
    </row>
    <row r="204" spans="1:1">
      <c r="A204" s="256"/>
    </row>
    <row r="205" spans="1:1">
      <c r="A205" s="256"/>
    </row>
    <row r="206" spans="1:1">
      <c r="A206" s="256"/>
    </row>
    <row r="207" spans="1:1">
      <c r="A207" s="256"/>
    </row>
    <row r="208" spans="1:1">
      <c r="A208" s="256"/>
    </row>
    <row r="209" spans="1:1">
      <c r="A209" s="256"/>
    </row>
    <row r="210" spans="1:1">
      <c r="A210" s="256"/>
    </row>
    <row r="211" spans="1:1">
      <c r="A211" s="256"/>
    </row>
    <row r="212" spans="1:1">
      <c r="A212" s="256"/>
    </row>
    <row r="213" spans="1:1">
      <c r="A213" s="256"/>
    </row>
    <row r="214" spans="1:1">
      <c r="A214" s="256"/>
    </row>
    <row r="215" spans="1:1">
      <c r="A215" s="256"/>
    </row>
    <row r="216" spans="1:1">
      <c r="A216" s="256"/>
    </row>
    <row r="217" spans="1:1">
      <c r="A217" s="256"/>
    </row>
    <row r="218" spans="1:1">
      <c r="A218" s="256"/>
    </row>
    <row r="219" spans="1:1">
      <c r="A219" s="256"/>
    </row>
    <row r="220" spans="1:1">
      <c r="A220" s="256"/>
    </row>
    <row r="221" spans="1:1">
      <c r="A221" s="256"/>
    </row>
    <row r="222" spans="1:1">
      <c r="A222" s="256"/>
    </row>
    <row r="223" spans="1:1">
      <c r="A223" s="256"/>
    </row>
    <row r="224" spans="1:1">
      <c r="A224" s="256"/>
    </row>
    <row r="225" spans="1:1">
      <c r="A225" s="256"/>
    </row>
    <row r="226" spans="1:1">
      <c r="A226" s="256"/>
    </row>
    <row r="227" spans="1:1">
      <c r="A227" s="256"/>
    </row>
    <row r="228" spans="1:1">
      <c r="A228" s="256"/>
    </row>
    <row r="229" spans="1:1">
      <c r="A229" s="256"/>
    </row>
    <row r="230" spans="1:1">
      <c r="A230" s="256"/>
    </row>
    <row r="231" spans="1:1">
      <c r="A231" s="256"/>
    </row>
    <row r="232" spans="1:1">
      <c r="A232" s="256"/>
    </row>
    <row r="233" spans="1:1">
      <c r="A233" s="256"/>
    </row>
    <row r="234" spans="1:1">
      <c r="A234" s="256"/>
    </row>
    <row r="235" spans="1:1">
      <c r="A235" s="256"/>
    </row>
    <row r="236" spans="1:1">
      <c r="A236" s="256"/>
    </row>
    <row r="237" spans="1:1">
      <c r="A237" s="256"/>
    </row>
    <row r="238" spans="1:1">
      <c r="A238" s="256"/>
    </row>
    <row r="239" spans="1:1">
      <c r="A239" s="256"/>
    </row>
    <row r="240" spans="1:1">
      <c r="A240" s="256"/>
    </row>
    <row r="241" spans="1:1">
      <c r="A241" s="256"/>
    </row>
    <row r="242" spans="1:1">
      <c r="A242" s="256"/>
    </row>
    <row r="243" spans="1:1">
      <c r="A243" s="256"/>
    </row>
    <row r="244" spans="1:1">
      <c r="A244" s="256"/>
    </row>
    <row r="245" spans="1:1">
      <c r="A245" s="256"/>
    </row>
    <row r="246" spans="1:1">
      <c r="A246" s="256"/>
    </row>
    <row r="247" spans="1:1">
      <c r="A247" s="256"/>
    </row>
    <row r="248" spans="1:1">
      <c r="A248" s="256"/>
    </row>
    <row r="249" spans="1:1">
      <c r="A249" s="256"/>
    </row>
    <row r="250" spans="1:1">
      <c r="A250" s="256"/>
    </row>
    <row r="251" spans="1:1">
      <c r="A251" s="256"/>
    </row>
    <row r="252" spans="1:1">
      <c r="A252" s="256"/>
    </row>
    <row r="253" spans="1:1">
      <c r="A253" s="256"/>
    </row>
    <row r="254" spans="1:1">
      <c r="A254" s="256"/>
    </row>
    <row r="255" spans="1:1">
      <c r="A255" s="256"/>
    </row>
    <row r="256" spans="1:1">
      <c r="A256" s="256"/>
    </row>
    <row r="257" spans="1:1">
      <c r="A257" s="256"/>
    </row>
    <row r="258" spans="1:1">
      <c r="A258" s="256"/>
    </row>
    <row r="259" spans="1:1">
      <c r="A259" s="256"/>
    </row>
    <row r="260" spans="1:1">
      <c r="A260" s="256"/>
    </row>
    <row r="261" spans="1:1">
      <c r="A261" s="256"/>
    </row>
    <row r="262" spans="1:1">
      <c r="A262" s="256"/>
    </row>
    <row r="263" spans="1:1">
      <c r="A263" s="256"/>
    </row>
    <row r="264" spans="1:1">
      <c r="A264" s="256"/>
    </row>
    <row r="265" spans="1:1">
      <c r="A265" s="256"/>
    </row>
    <row r="266" spans="1:1">
      <c r="A266" s="256"/>
    </row>
    <row r="267" spans="1:1">
      <c r="A267" s="256"/>
    </row>
    <row r="268" spans="1:1">
      <c r="A268" s="256"/>
    </row>
    <row r="269" spans="1:1">
      <c r="A269" s="256"/>
    </row>
    <row r="270" spans="1:1">
      <c r="A270" s="256"/>
    </row>
    <row r="271" spans="1:1">
      <c r="A271" s="256"/>
    </row>
    <row r="272" spans="1:1">
      <c r="A272" s="256"/>
    </row>
    <row r="273" spans="1:1">
      <c r="A273" s="256"/>
    </row>
    <row r="274" spans="1:1">
      <c r="A274" s="256"/>
    </row>
    <row r="275" spans="1:1">
      <c r="A275" s="256"/>
    </row>
    <row r="276" spans="1:1">
      <c r="A276" s="256"/>
    </row>
    <row r="277" spans="1:1">
      <c r="A277" s="256"/>
    </row>
    <row r="278" spans="1:1">
      <c r="A278" s="256"/>
    </row>
    <row r="279" spans="1:1">
      <c r="A279" s="256"/>
    </row>
    <row r="280" spans="1:1">
      <c r="A280" s="256"/>
    </row>
    <row r="281" spans="1:1">
      <c r="A281" s="256"/>
    </row>
    <row r="282" spans="1:1">
      <c r="A282" s="256"/>
    </row>
    <row r="283" spans="1:1">
      <c r="A283" s="256"/>
    </row>
    <row r="284" spans="1:1">
      <c r="A284" s="256"/>
    </row>
    <row r="285" spans="1:1">
      <c r="A285" s="256"/>
    </row>
    <row r="286" spans="1:1">
      <c r="A286" s="256"/>
    </row>
    <row r="287" spans="1:1">
      <c r="A287" s="256"/>
    </row>
    <row r="288" spans="1:1">
      <c r="A288" s="256"/>
    </row>
    <row r="289" spans="1:1">
      <c r="A289" s="256"/>
    </row>
    <row r="290" spans="1:1">
      <c r="A290" s="256"/>
    </row>
    <row r="291" spans="1:1">
      <c r="A291" s="256"/>
    </row>
    <row r="292" spans="1:1">
      <c r="A292" s="256"/>
    </row>
    <row r="293" spans="1:1">
      <c r="A293" s="256"/>
    </row>
    <row r="294" spans="1:1">
      <c r="A294" s="256"/>
    </row>
    <row r="295" spans="1:1">
      <c r="A295" s="256"/>
    </row>
    <row r="296" spans="1:1">
      <c r="A296" s="256"/>
    </row>
    <row r="297" spans="1:1">
      <c r="A297" s="256"/>
    </row>
    <row r="298" spans="1:1">
      <c r="A298" s="256"/>
    </row>
    <row r="299" spans="1:1">
      <c r="A299" s="256"/>
    </row>
    <row r="300" spans="1:1">
      <c r="A300" s="256"/>
    </row>
    <row r="301" spans="1:1">
      <c r="A301" s="256"/>
    </row>
    <row r="302" spans="1:1">
      <c r="A302" s="256"/>
    </row>
    <row r="303" spans="1:1">
      <c r="A303" s="256"/>
    </row>
    <row r="304" spans="1:1">
      <c r="A304" s="256"/>
    </row>
    <row r="305" spans="1:1">
      <c r="A305" s="256"/>
    </row>
    <row r="306" spans="1:1">
      <c r="A306" s="256"/>
    </row>
    <row r="307" spans="1:1">
      <c r="A307" s="256"/>
    </row>
    <row r="308" spans="1:1">
      <c r="A308" s="256"/>
    </row>
    <row r="309" spans="1:1">
      <c r="A309" s="256"/>
    </row>
    <row r="310" spans="1:1">
      <c r="A310" s="256"/>
    </row>
    <row r="311" spans="1:1">
      <c r="A311" s="256"/>
    </row>
    <row r="312" spans="1:1">
      <c r="A312" s="256"/>
    </row>
    <row r="313" spans="1:1">
      <c r="A313" s="256"/>
    </row>
    <row r="314" spans="1:1">
      <c r="A314" s="256"/>
    </row>
    <row r="315" spans="1:1">
      <c r="A315" s="256"/>
    </row>
    <row r="316" spans="1:1">
      <c r="A316" s="256"/>
    </row>
    <row r="317" spans="1:1">
      <c r="A317" s="256"/>
    </row>
    <row r="318" spans="1:1">
      <c r="A318" s="256"/>
    </row>
    <row r="319" spans="1:1">
      <c r="A319" s="256"/>
    </row>
    <row r="320" spans="1:1">
      <c r="A320" s="256"/>
    </row>
    <row r="321" spans="1:1">
      <c r="A321" s="256"/>
    </row>
    <row r="322" spans="1:1">
      <c r="A322" s="256"/>
    </row>
    <row r="323" spans="1:1">
      <c r="A323" s="256"/>
    </row>
    <row r="324" spans="1:1">
      <c r="A324" s="256"/>
    </row>
    <row r="325" spans="1:1">
      <c r="A325" s="256"/>
    </row>
    <row r="326" spans="1:1">
      <c r="A326" s="256"/>
    </row>
    <row r="327" spans="1:1">
      <c r="A327" s="256"/>
    </row>
    <row r="328" spans="1:1">
      <c r="A328" s="256"/>
    </row>
    <row r="329" spans="1:1">
      <c r="A329" s="256"/>
    </row>
    <row r="330" spans="1:1">
      <c r="A330" s="256"/>
    </row>
    <row r="331" spans="1:1">
      <c r="A331" s="256"/>
    </row>
    <row r="332" spans="1:1">
      <c r="A332" s="256"/>
    </row>
    <row r="333" spans="1:1">
      <c r="A333" s="256"/>
    </row>
    <row r="334" spans="1:1">
      <c r="A334" s="256"/>
    </row>
    <row r="335" spans="1:1">
      <c r="A335" s="256"/>
    </row>
    <row r="336" spans="1:1">
      <c r="A336" s="256"/>
    </row>
    <row r="337" spans="1:1">
      <c r="A337" s="256"/>
    </row>
    <row r="338" spans="1:1">
      <c r="A338" s="256"/>
    </row>
    <row r="339" spans="1:1">
      <c r="A339" s="256"/>
    </row>
    <row r="340" spans="1:1">
      <c r="A340" s="256"/>
    </row>
    <row r="341" spans="1:1">
      <c r="A341" s="256"/>
    </row>
    <row r="342" spans="1:1">
      <c r="A342" s="256"/>
    </row>
    <row r="343" spans="1:1">
      <c r="A343" s="256"/>
    </row>
    <row r="344" spans="1:1">
      <c r="A344" s="256"/>
    </row>
    <row r="345" spans="1:1">
      <c r="A345" s="256"/>
    </row>
    <row r="346" spans="1:1">
      <c r="A346" s="256"/>
    </row>
    <row r="347" spans="1:1">
      <c r="A347" s="256"/>
    </row>
    <row r="348" spans="1:1">
      <c r="A348" s="256"/>
    </row>
    <row r="349" spans="1:1">
      <c r="A349" s="256"/>
    </row>
    <row r="350" spans="1:1">
      <c r="A350" s="256"/>
    </row>
    <row r="351" spans="1:1">
      <c r="A351" s="256"/>
    </row>
    <row r="352" spans="1:1">
      <c r="A352" s="256"/>
    </row>
    <row r="353" spans="1:1">
      <c r="A353" s="256"/>
    </row>
    <row r="354" spans="1:1">
      <c r="A354" s="256"/>
    </row>
    <row r="355" spans="1:1">
      <c r="A355" s="256"/>
    </row>
    <row r="356" spans="1:1">
      <c r="A356" s="256"/>
    </row>
    <row r="357" spans="1:1">
      <c r="A357" s="256"/>
    </row>
    <row r="358" spans="1:1">
      <c r="A358" s="256"/>
    </row>
    <row r="359" spans="1:1">
      <c r="A359" s="256"/>
    </row>
    <row r="360" spans="1:1">
      <c r="A360" s="256"/>
    </row>
    <row r="361" spans="1:1">
      <c r="A361" s="256"/>
    </row>
    <row r="362" spans="1:1">
      <c r="A362" s="256"/>
    </row>
    <row r="363" spans="1:1">
      <c r="A363" s="256"/>
    </row>
    <row r="364" spans="1:1">
      <c r="A364" s="256"/>
    </row>
    <row r="365" spans="1:1">
      <c r="A365" s="256"/>
    </row>
    <row r="366" spans="1:1">
      <c r="A366" s="256"/>
    </row>
    <row r="367" spans="1:1">
      <c r="A367" s="256"/>
    </row>
    <row r="368" spans="1:1">
      <c r="A368" s="256"/>
    </row>
    <row r="369" spans="1:1">
      <c r="A369" s="256"/>
    </row>
    <row r="370" spans="1:1">
      <c r="A370" s="256"/>
    </row>
    <row r="371" spans="1:1">
      <c r="A371" s="256"/>
    </row>
    <row r="372" spans="1:1">
      <c r="A372" s="256"/>
    </row>
    <row r="373" spans="1:1">
      <c r="A373" s="256"/>
    </row>
    <row r="374" spans="1:1">
      <c r="A374" s="256"/>
    </row>
    <row r="375" spans="1:1">
      <c r="A375" s="256"/>
    </row>
    <row r="376" spans="1:1">
      <c r="A376" s="256"/>
    </row>
    <row r="377" spans="1:1">
      <c r="A377" s="256"/>
    </row>
    <row r="378" spans="1:1">
      <c r="A378" s="256"/>
    </row>
    <row r="379" spans="1:1">
      <c r="A379" s="256"/>
    </row>
    <row r="380" spans="1:1">
      <c r="A380" s="256"/>
    </row>
    <row r="381" spans="1:1">
      <c r="A381" s="256"/>
    </row>
    <row r="382" spans="1:1">
      <c r="A382" s="256"/>
    </row>
    <row r="383" spans="1:1">
      <c r="A383" s="256"/>
    </row>
    <row r="384" spans="1:1">
      <c r="A384" s="256"/>
    </row>
    <row r="385" spans="1:1">
      <c r="A385" s="256"/>
    </row>
    <row r="386" spans="1:1">
      <c r="A386" s="256"/>
    </row>
    <row r="387" spans="1:1">
      <c r="A387" s="256"/>
    </row>
    <row r="388" spans="1:1">
      <c r="A388" s="256"/>
    </row>
    <row r="389" spans="1:1">
      <c r="A389" s="256"/>
    </row>
    <row r="390" spans="1:1">
      <c r="A390" s="256"/>
    </row>
    <row r="391" spans="1:1">
      <c r="A391" s="256"/>
    </row>
    <row r="392" spans="1:1">
      <c r="A392" s="256"/>
    </row>
    <row r="393" spans="1:1">
      <c r="A393" s="256"/>
    </row>
    <row r="394" spans="1:1">
      <c r="A394" s="256"/>
    </row>
    <row r="395" spans="1:1">
      <c r="A395" s="256"/>
    </row>
    <row r="396" spans="1:1">
      <c r="A396" s="256"/>
    </row>
    <row r="397" spans="1:1">
      <c r="A397" s="256"/>
    </row>
    <row r="398" spans="1:1">
      <c r="A398" s="256"/>
    </row>
    <row r="399" spans="1:1">
      <c r="A399" s="256"/>
    </row>
    <row r="400" spans="1:1">
      <c r="A400" s="256"/>
    </row>
    <row r="401" spans="1:1">
      <c r="A401" s="256"/>
    </row>
    <row r="402" spans="1:1">
      <c r="A402" s="256"/>
    </row>
    <row r="403" spans="1:1">
      <c r="A403" s="256"/>
    </row>
    <row r="404" spans="1:1">
      <c r="A404" s="256"/>
    </row>
    <row r="405" spans="1:1">
      <c r="A405" s="256"/>
    </row>
    <row r="406" spans="1:1">
      <c r="A406" s="256"/>
    </row>
    <row r="407" spans="1:1">
      <c r="A407" s="256"/>
    </row>
    <row r="408" spans="1:1">
      <c r="A408" s="256"/>
    </row>
    <row r="409" spans="1:1">
      <c r="A409" s="256"/>
    </row>
    <row r="410" spans="1:1">
      <c r="A410" s="256"/>
    </row>
    <row r="411" spans="1:1">
      <c r="A411" s="256"/>
    </row>
    <row r="412" spans="1:1">
      <c r="A412" s="256"/>
    </row>
    <row r="413" spans="1:1">
      <c r="A413" s="256"/>
    </row>
    <row r="414" spans="1:1">
      <c r="A414" s="256"/>
    </row>
    <row r="415" spans="1:1">
      <c r="A415" s="256"/>
    </row>
    <row r="416" spans="1:1">
      <c r="A416" s="256"/>
    </row>
    <row r="417" spans="1:1">
      <c r="A417" s="256"/>
    </row>
    <row r="418" spans="1:1">
      <c r="A418" s="256"/>
    </row>
    <row r="419" spans="1:1">
      <c r="A419" s="256"/>
    </row>
    <row r="420" spans="1:1">
      <c r="A420" s="256"/>
    </row>
    <row r="421" spans="1:1">
      <c r="A421" s="256"/>
    </row>
    <row r="422" spans="1:1">
      <c r="A422" s="256"/>
    </row>
    <row r="423" spans="1:1">
      <c r="A423" s="256"/>
    </row>
    <row r="424" spans="1:1">
      <c r="A424" s="256"/>
    </row>
    <row r="425" spans="1:1">
      <c r="A425" s="256"/>
    </row>
    <row r="426" spans="1:1">
      <c r="A426" s="256"/>
    </row>
    <row r="427" spans="1:1">
      <c r="A427" s="256"/>
    </row>
    <row r="428" spans="1:1">
      <c r="A428" s="256"/>
    </row>
    <row r="429" spans="1:1">
      <c r="A429" s="256"/>
    </row>
    <row r="430" spans="1:1">
      <c r="A430" s="256"/>
    </row>
    <row r="431" spans="1:1">
      <c r="A431" s="256"/>
    </row>
    <row r="432" spans="1:1">
      <c r="A432" s="256"/>
    </row>
    <row r="433" spans="1:1">
      <c r="A433" s="256"/>
    </row>
    <row r="434" spans="1:1">
      <c r="A434" s="256"/>
    </row>
    <row r="435" spans="1:1">
      <c r="A435" s="256"/>
    </row>
    <row r="436" spans="1:1">
      <c r="A436" s="256"/>
    </row>
    <row r="437" spans="1:1">
      <c r="A437" s="256"/>
    </row>
    <row r="438" spans="1:1">
      <c r="A438" s="256"/>
    </row>
    <row r="439" spans="1:1">
      <c r="A439" s="256"/>
    </row>
    <row r="440" spans="1:1">
      <c r="A440" s="256"/>
    </row>
    <row r="441" spans="1:1">
      <c r="A441" s="256"/>
    </row>
    <row r="442" spans="1:1">
      <c r="A442" s="256"/>
    </row>
    <row r="443" spans="1:1">
      <c r="A443" s="256"/>
    </row>
    <row r="444" spans="1:1">
      <c r="A444" s="256"/>
    </row>
    <row r="445" spans="1:1">
      <c r="A445" s="256"/>
    </row>
    <row r="446" spans="1:1">
      <c r="A446" s="256"/>
    </row>
    <row r="447" spans="1:1">
      <c r="A447" s="256"/>
    </row>
    <row r="448" spans="1:1">
      <c r="A448" s="256"/>
    </row>
    <row r="449" spans="1:1">
      <c r="A449" s="256"/>
    </row>
    <row r="450" spans="1:1">
      <c r="A450" s="256"/>
    </row>
    <row r="451" spans="1:1">
      <c r="A451" s="256"/>
    </row>
    <row r="452" spans="1:1">
      <c r="A452" s="256"/>
    </row>
    <row r="453" spans="1:1">
      <c r="A453" s="256"/>
    </row>
    <row r="454" spans="1:1">
      <c r="A454" s="256"/>
    </row>
    <row r="455" spans="1:1">
      <c r="A455" s="256"/>
    </row>
    <row r="456" spans="1:1">
      <c r="A456" s="256"/>
    </row>
    <row r="457" spans="1:1">
      <c r="A457" s="256"/>
    </row>
    <row r="458" spans="1:1">
      <c r="A458" s="256"/>
    </row>
    <row r="459" spans="1:1">
      <c r="A459" s="256"/>
    </row>
    <row r="460" spans="1:1">
      <c r="A460" s="256"/>
    </row>
    <row r="461" spans="1:1">
      <c r="A461" s="256"/>
    </row>
    <row r="462" spans="1:1">
      <c r="A462" s="256"/>
    </row>
    <row r="463" spans="1:1">
      <c r="A463" s="256"/>
    </row>
    <row r="464" spans="1:1">
      <c r="A464" s="256"/>
    </row>
    <row r="465" spans="1:1">
      <c r="A465" s="256"/>
    </row>
    <row r="466" spans="1:1">
      <c r="A466" s="256"/>
    </row>
    <row r="467" spans="1:1">
      <c r="A467" s="256"/>
    </row>
    <row r="468" spans="1:1">
      <c r="A468" s="256"/>
    </row>
    <row r="469" spans="1:1">
      <c r="A469" s="256"/>
    </row>
    <row r="470" spans="1:1">
      <c r="A470" s="256"/>
    </row>
    <row r="471" spans="1:1">
      <c r="A471" s="256"/>
    </row>
    <row r="472" spans="1:1">
      <c r="A472" s="256"/>
    </row>
    <row r="473" spans="1:1">
      <c r="A473" s="256"/>
    </row>
    <row r="474" spans="1:1">
      <c r="A474" s="256"/>
    </row>
    <row r="475" spans="1:1">
      <c r="A475" s="256"/>
    </row>
    <row r="476" spans="1:1">
      <c r="A476" s="256"/>
    </row>
    <row r="477" spans="1:1">
      <c r="A477" s="256"/>
    </row>
    <row r="478" spans="1:1">
      <c r="A478" s="256"/>
    </row>
    <row r="479" spans="1:1">
      <c r="A479" s="256"/>
    </row>
    <row r="480" spans="1:1">
      <c r="A480" s="256"/>
    </row>
    <row r="481" spans="1:1">
      <c r="A481" s="256"/>
    </row>
    <row r="482" spans="1:1">
      <c r="A482" s="256"/>
    </row>
    <row r="483" spans="1:1">
      <c r="A483" s="256"/>
    </row>
    <row r="484" spans="1:1">
      <c r="A484" s="256"/>
    </row>
    <row r="485" spans="1:1">
      <c r="A485" s="256"/>
    </row>
    <row r="486" spans="1:1">
      <c r="A486" s="256"/>
    </row>
    <row r="487" spans="1:1">
      <c r="A487" s="256"/>
    </row>
    <row r="488" spans="1:1">
      <c r="A488" s="256"/>
    </row>
    <row r="489" spans="1:1">
      <c r="A489" s="256"/>
    </row>
    <row r="490" spans="1:1">
      <c r="A490" s="256"/>
    </row>
    <row r="491" spans="1:1">
      <c r="A491" s="256"/>
    </row>
    <row r="492" spans="1:1">
      <c r="A492" s="256"/>
    </row>
    <row r="493" spans="1:1">
      <c r="A493" s="256"/>
    </row>
    <row r="494" spans="1:1">
      <c r="A494" s="256"/>
    </row>
    <row r="495" spans="1:1">
      <c r="A495" s="256"/>
    </row>
    <row r="496" spans="1:1">
      <c r="A496" s="256"/>
    </row>
    <row r="497" spans="1:1">
      <c r="A497" s="256"/>
    </row>
    <row r="498" spans="1:1">
      <c r="A498" s="256"/>
    </row>
    <row r="499" spans="1:1">
      <c r="A499" s="256"/>
    </row>
    <row r="500" spans="1:1">
      <c r="A500" s="256"/>
    </row>
    <row r="501" spans="1:1">
      <c r="A501" s="256"/>
    </row>
    <row r="502" spans="1:1">
      <c r="A502" s="256"/>
    </row>
    <row r="503" spans="1:1">
      <c r="A503" s="256"/>
    </row>
    <row r="504" spans="1:1">
      <c r="A504" s="256"/>
    </row>
    <row r="505" spans="1:1">
      <c r="A505" s="256"/>
    </row>
    <row r="506" spans="1:1">
      <c r="A506" s="256"/>
    </row>
    <row r="507" spans="1:1">
      <c r="A507" s="256"/>
    </row>
    <row r="508" spans="1:1">
      <c r="A508" s="256"/>
    </row>
    <row r="509" spans="1:1">
      <c r="A509" s="256"/>
    </row>
    <row r="510" spans="1:1">
      <c r="A510" s="256"/>
    </row>
    <row r="511" spans="1:1">
      <c r="A511" s="256"/>
    </row>
    <row r="512" spans="1:1">
      <c r="A512" s="256"/>
    </row>
    <row r="513" spans="1:1">
      <c r="A513" s="256"/>
    </row>
    <row r="514" spans="1:1">
      <c r="A514" s="256"/>
    </row>
    <row r="515" spans="1:1">
      <c r="A515" s="256"/>
    </row>
    <row r="516" spans="1:1">
      <c r="A516" s="256"/>
    </row>
    <row r="517" spans="1:1">
      <c r="A517" s="256"/>
    </row>
    <row r="518" spans="1:1">
      <c r="A518" s="256"/>
    </row>
    <row r="519" spans="1:1">
      <c r="A519" s="256"/>
    </row>
    <row r="520" spans="1:1">
      <c r="A520" s="256"/>
    </row>
    <row r="521" spans="1:1">
      <c r="A521" s="256"/>
    </row>
    <row r="522" spans="1:1">
      <c r="A522" s="256"/>
    </row>
    <row r="523" spans="1:1">
      <c r="A523" s="256"/>
    </row>
    <row r="524" spans="1:1">
      <c r="A524" s="256"/>
    </row>
    <row r="525" spans="1:1">
      <c r="A525" s="256"/>
    </row>
    <row r="526" spans="1:1">
      <c r="A526" s="256"/>
    </row>
    <row r="527" spans="1:1">
      <c r="A527" s="256"/>
    </row>
    <row r="528" spans="1:1">
      <c r="A528" s="256"/>
    </row>
    <row r="529" spans="1:1">
      <c r="A529" s="256"/>
    </row>
    <row r="530" spans="1:1">
      <c r="A530" s="256"/>
    </row>
    <row r="531" spans="1:1">
      <c r="A531" s="256"/>
    </row>
    <row r="532" spans="1:1">
      <c r="A532" s="256"/>
    </row>
    <row r="533" spans="1:1">
      <c r="A533" s="256"/>
    </row>
    <row r="534" spans="1:1">
      <c r="A534" s="256"/>
    </row>
    <row r="535" spans="1:1">
      <c r="A535" s="256"/>
    </row>
    <row r="536" spans="1:1">
      <c r="A536" s="256"/>
    </row>
    <row r="537" spans="1:1">
      <c r="A537" s="256"/>
    </row>
    <row r="538" spans="1:1">
      <c r="A538" s="256"/>
    </row>
    <row r="539" spans="1:1">
      <c r="A539" s="256"/>
    </row>
    <row r="540" spans="1:1">
      <c r="A540" s="256"/>
    </row>
    <row r="541" spans="1:1">
      <c r="A541" s="256"/>
    </row>
    <row r="542" spans="1:1">
      <c r="A542" s="256"/>
    </row>
    <row r="543" spans="1:1">
      <c r="A543" s="256"/>
    </row>
    <row r="544" spans="1:1">
      <c r="A544" s="256"/>
    </row>
    <row r="545" spans="1:1">
      <c r="A545" s="256"/>
    </row>
    <row r="546" spans="1:1">
      <c r="A546" s="256"/>
    </row>
    <row r="547" spans="1:1">
      <c r="A547" s="256"/>
    </row>
    <row r="548" spans="1:1">
      <c r="A548" s="256"/>
    </row>
    <row r="549" spans="1:1">
      <c r="A549" s="256"/>
    </row>
    <row r="550" spans="1:1">
      <c r="A550" s="256"/>
    </row>
    <row r="551" spans="1:1">
      <c r="A551" s="256"/>
    </row>
    <row r="552" spans="1:1">
      <c r="A552" s="256"/>
    </row>
    <row r="553" spans="1:1">
      <c r="A553" s="256"/>
    </row>
    <row r="554" spans="1:1">
      <c r="A554" s="256"/>
    </row>
    <row r="555" spans="1:1">
      <c r="A555" s="256"/>
    </row>
    <row r="556" spans="1:1">
      <c r="A556" s="256"/>
    </row>
    <row r="557" spans="1:1">
      <c r="A557" s="256"/>
    </row>
    <row r="558" spans="1:1">
      <c r="A558" s="256"/>
    </row>
    <row r="559" spans="1:1">
      <c r="A559" s="256"/>
    </row>
    <row r="560" spans="1:1">
      <c r="A560" s="256"/>
    </row>
    <row r="561" spans="1:1">
      <c r="A561" s="256"/>
    </row>
    <row r="562" spans="1:1">
      <c r="A562" s="256"/>
    </row>
    <row r="563" spans="1:1">
      <c r="A563" s="256"/>
    </row>
    <row r="564" spans="1:1">
      <c r="A564" s="256"/>
    </row>
    <row r="565" spans="1:1">
      <c r="A565" s="256"/>
    </row>
    <row r="566" spans="1:1">
      <c r="A566" s="256"/>
    </row>
    <row r="567" spans="1:1">
      <c r="A567" s="256"/>
    </row>
    <row r="568" spans="1:1">
      <c r="A568" s="256"/>
    </row>
    <row r="569" spans="1:1">
      <c r="A569" s="256"/>
    </row>
    <row r="570" spans="1:1">
      <c r="A570" s="256"/>
    </row>
    <row r="571" spans="1:1">
      <c r="A571" s="256"/>
    </row>
    <row r="572" spans="1:1">
      <c r="A572" s="256"/>
    </row>
    <row r="573" spans="1:1">
      <c r="A573" s="256"/>
    </row>
    <row r="574" spans="1:1">
      <c r="A574" s="256"/>
    </row>
    <row r="575" spans="1:1">
      <c r="A575" s="256"/>
    </row>
    <row r="576" spans="1:1">
      <c r="A576" s="256"/>
    </row>
    <row r="577" spans="1:1">
      <c r="A577" s="256"/>
    </row>
    <row r="578" spans="1:1">
      <c r="A578" s="256"/>
    </row>
    <row r="579" spans="1:1">
      <c r="A579" s="256"/>
    </row>
    <row r="580" spans="1:1">
      <c r="A580" s="256"/>
    </row>
    <row r="581" spans="1:1">
      <c r="A581" s="256"/>
    </row>
    <row r="582" spans="1:1">
      <c r="A582" s="256"/>
    </row>
    <row r="583" spans="1:1">
      <c r="A583" s="256"/>
    </row>
    <row r="584" spans="1:1">
      <c r="A584" s="256"/>
    </row>
    <row r="585" spans="1:1">
      <c r="A585" s="256"/>
    </row>
    <row r="586" spans="1:1">
      <c r="A586" s="256"/>
    </row>
    <row r="587" spans="1:1">
      <c r="A587" s="256"/>
    </row>
    <row r="588" spans="1:1">
      <c r="A588" s="256"/>
    </row>
    <row r="589" spans="1:1">
      <c r="A589" s="256"/>
    </row>
    <row r="590" spans="1:1">
      <c r="A590" s="256"/>
    </row>
    <row r="591" spans="1:1">
      <c r="A591" s="256"/>
    </row>
    <row r="592" spans="1:1">
      <c r="A592" s="256"/>
    </row>
    <row r="593" spans="1:1">
      <c r="A593" s="256"/>
    </row>
    <row r="594" spans="1:1">
      <c r="A594" s="256"/>
    </row>
    <row r="595" spans="1:1">
      <c r="A595" s="256"/>
    </row>
    <row r="596" spans="1:1">
      <c r="A596" s="256"/>
    </row>
    <row r="597" spans="1:1">
      <c r="A597" s="256"/>
    </row>
    <row r="598" spans="1:1">
      <c r="A598" s="256"/>
    </row>
    <row r="599" spans="1:1">
      <c r="A599" s="256"/>
    </row>
    <row r="600" spans="1:1">
      <c r="A600" s="256"/>
    </row>
    <row r="601" spans="1:1">
      <c r="A601" s="256"/>
    </row>
    <row r="602" spans="1:1">
      <c r="A602" s="256"/>
    </row>
    <row r="603" spans="1:1">
      <c r="A603" s="256"/>
    </row>
    <row r="604" spans="1:1">
      <c r="A604" s="256"/>
    </row>
    <row r="605" spans="1:1">
      <c r="A605" s="256"/>
    </row>
    <row r="606" spans="1:1">
      <c r="A606" s="256"/>
    </row>
    <row r="607" spans="1:1">
      <c r="A607" s="256"/>
    </row>
    <row r="608" spans="1:1">
      <c r="A608" s="256"/>
    </row>
    <row r="609" spans="1:1">
      <c r="A609" s="256"/>
    </row>
    <row r="610" spans="1:1">
      <c r="A610" s="256"/>
    </row>
    <row r="611" spans="1:1">
      <c r="A611" s="256"/>
    </row>
    <row r="612" spans="1:1">
      <c r="A612" s="256"/>
    </row>
    <row r="613" spans="1:1">
      <c r="A613" s="256"/>
    </row>
    <row r="614" spans="1:1">
      <c r="A614" s="256"/>
    </row>
    <row r="615" spans="1:1">
      <c r="A615" s="256"/>
    </row>
    <row r="616" spans="1:1">
      <c r="A616" s="256"/>
    </row>
    <row r="617" spans="1:1">
      <c r="A617" s="256"/>
    </row>
    <row r="618" spans="1:1">
      <c r="A618" s="256"/>
    </row>
    <row r="619" spans="1:1">
      <c r="A619" s="256"/>
    </row>
    <row r="620" spans="1:1">
      <c r="A620" s="256"/>
    </row>
    <row r="621" spans="1:1">
      <c r="A621" s="256"/>
    </row>
    <row r="622" spans="1:1">
      <c r="A622" s="256"/>
    </row>
    <row r="623" spans="1:1">
      <c r="A623" s="256"/>
    </row>
    <row r="624" spans="1:1">
      <c r="A624" s="256"/>
    </row>
    <row r="625" spans="1:1">
      <c r="A625" s="256"/>
    </row>
    <row r="626" spans="1:1">
      <c r="A626" s="256"/>
    </row>
    <row r="627" spans="1:1">
      <c r="A627" s="256"/>
    </row>
    <row r="628" spans="1:1">
      <c r="A628" s="256"/>
    </row>
    <row r="629" spans="1:1">
      <c r="A629" s="256"/>
    </row>
    <row r="630" spans="1:1">
      <c r="A630" s="256"/>
    </row>
    <row r="631" spans="1:1">
      <c r="A631" s="256"/>
    </row>
    <row r="632" spans="1:1">
      <c r="A632" s="256"/>
    </row>
    <row r="633" spans="1:1">
      <c r="A633" s="256"/>
    </row>
    <row r="634" spans="1:1">
      <c r="A634" s="256"/>
    </row>
    <row r="635" spans="1:1">
      <c r="A635" s="256"/>
    </row>
    <row r="636" spans="1:1">
      <c r="A636" s="256"/>
    </row>
    <row r="637" spans="1:1">
      <c r="A637" s="256"/>
    </row>
    <row r="638" spans="1:1">
      <c r="A638" s="256"/>
    </row>
    <row r="639" spans="1:1">
      <c r="A639" s="256"/>
    </row>
    <row r="640" spans="1:1">
      <c r="A640" s="256"/>
    </row>
    <row r="641" spans="1:1">
      <c r="A641" s="256"/>
    </row>
    <row r="642" spans="1:1">
      <c r="A642" s="256"/>
    </row>
    <row r="643" spans="1:1">
      <c r="A643" s="256"/>
    </row>
    <row r="644" spans="1:1">
      <c r="A644" s="256"/>
    </row>
    <row r="645" spans="1:1">
      <c r="A645" s="256"/>
    </row>
    <row r="646" spans="1:1">
      <c r="A646" s="256"/>
    </row>
    <row r="647" spans="1:1">
      <c r="A647" s="256"/>
    </row>
    <row r="648" spans="1:1">
      <c r="A648" s="256"/>
    </row>
    <row r="649" spans="1:1">
      <c r="A649" s="256"/>
    </row>
    <row r="650" spans="1:1">
      <c r="A650" s="256"/>
    </row>
    <row r="651" spans="1:1">
      <c r="A651" s="256"/>
    </row>
    <row r="652" spans="1:1">
      <c r="A652" s="256"/>
    </row>
    <row r="653" spans="1:1">
      <c r="A653" s="256"/>
    </row>
    <row r="654" spans="1:1">
      <c r="A654" s="256"/>
    </row>
    <row r="655" spans="1:1">
      <c r="A655" s="256"/>
    </row>
    <row r="656" spans="1:1">
      <c r="A656" s="256"/>
    </row>
    <row r="657" spans="1:1">
      <c r="A657" s="256"/>
    </row>
    <row r="658" spans="1:1">
      <c r="A658" s="256"/>
    </row>
    <row r="659" spans="1:1">
      <c r="A659" s="256"/>
    </row>
    <row r="660" spans="1:1">
      <c r="A660" s="256"/>
    </row>
    <row r="661" spans="1:1">
      <c r="A661" s="256"/>
    </row>
    <row r="662" spans="1:1">
      <c r="A662" s="256"/>
    </row>
    <row r="663" spans="1:1">
      <c r="A663" s="256"/>
    </row>
    <row r="664" spans="1:1">
      <c r="A664" s="256"/>
    </row>
    <row r="665" spans="1:1">
      <c r="A665" s="256"/>
    </row>
    <row r="666" spans="1:1">
      <c r="A666" s="256"/>
    </row>
    <row r="667" spans="1:1">
      <c r="A667" s="256"/>
    </row>
    <row r="668" spans="1:1">
      <c r="A668" s="256"/>
    </row>
    <row r="669" spans="1:1">
      <c r="A669" s="256"/>
    </row>
    <row r="670" spans="1:1">
      <c r="A670" s="256"/>
    </row>
    <row r="671" spans="1:1">
      <c r="A671" s="256"/>
    </row>
    <row r="672" spans="1:1">
      <c r="A672" s="256"/>
    </row>
    <row r="673" spans="1:1">
      <c r="A673" s="256"/>
    </row>
    <row r="674" spans="1:1">
      <c r="A674" s="256"/>
    </row>
    <row r="675" spans="1:1">
      <c r="A675" s="256"/>
    </row>
    <row r="676" spans="1:1">
      <c r="A676" s="256"/>
    </row>
    <row r="677" spans="1:1">
      <c r="A677" s="256"/>
    </row>
    <row r="678" spans="1:1">
      <c r="A678" s="256"/>
    </row>
    <row r="679" spans="1:1">
      <c r="A679" s="256"/>
    </row>
    <row r="680" spans="1:1">
      <c r="A680" s="256"/>
    </row>
    <row r="681" spans="1:1">
      <c r="A681" s="256"/>
    </row>
    <row r="682" spans="1:1">
      <c r="A682" s="256"/>
    </row>
    <row r="683" spans="1:1">
      <c r="A683" s="256"/>
    </row>
    <row r="684" spans="1:1">
      <c r="A684" s="256"/>
    </row>
    <row r="685" spans="1:1">
      <c r="A685" s="256"/>
    </row>
    <row r="686" spans="1:1">
      <c r="A686" s="256"/>
    </row>
    <row r="687" spans="1:1">
      <c r="A687" s="256"/>
    </row>
    <row r="688" spans="1:1">
      <c r="A688" s="256"/>
    </row>
    <row r="689" spans="1:1">
      <c r="A689" s="256"/>
    </row>
    <row r="690" spans="1:1">
      <c r="A690" s="256"/>
    </row>
    <row r="691" spans="1:1">
      <c r="A691" s="256"/>
    </row>
    <row r="692" spans="1:1">
      <c r="A692" s="256"/>
    </row>
    <row r="693" spans="1:1">
      <c r="A693" s="256"/>
    </row>
    <row r="694" spans="1:1">
      <c r="A694" s="256"/>
    </row>
    <row r="695" spans="1:1">
      <c r="A695" s="256"/>
    </row>
    <row r="696" spans="1:1">
      <c r="A696" s="256"/>
    </row>
    <row r="697" spans="1:1">
      <c r="A697" s="256"/>
    </row>
    <row r="698" spans="1:1">
      <c r="A698" s="256"/>
    </row>
    <row r="699" spans="1:1">
      <c r="A699" s="256"/>
    </row>
    <row r="700" spans="1:1">
      <c r="A700" s="256"/>
    </row>
    <row r="701" spans="1:1">
      <c r="A701" s="256"/>
    </row>
    <row r="702" spans="1:1">
      <c r="A702" s="256"/>
    </row>
    <row r="703" spans="1:1">
      <c r="A703" s="256"/>
    </row>
    <row r="704" spans="1:1">
      <c r="A704" s="256"/>
    </row>
    <row r="705" spans="1:1">
      <c r="A705" s="256"/>
    </row>
    <row r="706" spans="1:1">
      <c r="A706" s="256"/>
    </row>
    <row r="707" spans="1:1">
      <c r="A707" s="256"/>
    </row>
    <row r="708" spans="1:1">
      <c r="A708" s="256"/>
    </row>
    <row r="709" spans="1:1">
      <c r="A709" s="256"/>
    </row>
    <row r="710" spans="1:1">
      <c r="A710" s="256"/>
    </row>
    <row r="711" spans="1:1">
      <c r="A711" s="256"/>
    </row>
    <row r="712" spans="1:1">
      <c r="A712" s="256"/>
    </row>
    <row r="713" spans="1:1">
      <c r="A713" s="256"/>
    </row>
    <row r="714" spans="1:1">
      <c r="A714" s="256"/>
    </row>
    <row r="715" spans="1:1">
      <c r="A715" s="256"/>
    </row>
    <row r="716" spans="1:1">
      <c r="A716" s="256"/>
    </row>
    <row r="717" spans="1:1">
      <c r="A717" s="256"/>
    </row>
    <row r="718" spans="1:1">
      <c r="A718" s="256"/>
    </row>
    <row r="719" spans="1:1">
      <c r="A719" s="256"/>
    </row>
    <row r="720" spans="1:1">
      <c r="A720" s="256"/>
    </row>
    <row r="721" spans="1:1">
      <c r="A721" s="256"/>
    </row>
    <row r="722" spans="1:1">
      <c r="A722" s="256"/>
    </row>
    <row r="723" spans="1:1">
      <c r="A723" s="256"/>
    </row>
    <row r="724" spans="1:1">
      <c r="A724" s="256"/>
    </row>
    <row r="725" spans="1:1">
      <c r="A725" s="256"/>
    </row>
    <row r="726" spans="1:1">
      <c r="A726" s="256"/>
    </row>
    <row r="727" spans="1:1">
      <c r="A727" s="256"/>
    </row>
    <row r="728" spans="1:1">
      <c r="A728" s="256"/>
    </row>
    <row r="729" spans="1:1">
      <c r="A729" s="256"/>
    </row>
    <row r="730" spans="1:1">
      <c r="A730" s="256"/>
    </row>
    <row r="731" spans="1:1">
      <c r="A731" s="256"/>
    </row>
    <row r="732" spans="1:1">
      <c r="A732" s="256"/>
    </row>
    <row r="733" spans="1:1">
      <c r="A733" s="256"/>
    </row>
    <row r="734" spans="1:1">
      <c r="A734" s="256"/>
    </row>
    <row r="735" spans="1:1">
      <c r="A735" s="256"/>
    </row>
    <row r="736" spans="1:1">
      <c r="A736" s="256"/>
    </row>
    <row r="737" spans="1:1">
      <c r="A737" s="256"/>
    </row>
    <row r="738" spans="1:1">
      <c r="A738" s="256"/>
    </row>
    <row r="739" spans="1:1">
      <c r="A739" s="256"/>
    </row>
    <row r="740" spans="1:1">
      <c r="A740" s="256"/>
    </row>
    <row r="741" spans="1:1">
      <c r="A741" s="256"/>
    </row>
    <row r="742" spans="1:1">
      <c r="A742" s="256"/>
    </row>
    <row r="743" spans="1:1">
      <c r="A743" s="256"/>
    </row>
    <row r="744" spans="1:1">
      <c r="A744" s="256"/>
    </row>
    <row r="745" spans="1:1">
      <c r="A745" s="256"/>
    </row>
    <row r="746" spans="1:1">
      <c r="A746" s="256"/>
    </row>
    <row r="747" spans="1:1">
      <c r="A747" s="256"/>
    </row>
    <row r="748" spans="1:1">
      <c r="A748" s="256"/>
    </row>
    <row r="749" spans="1:1">
      <c r="A749" s="256"/>
    </row>
    <row r="750" spans="1:1">
      <c r="A750" s="256"/>
    </row>
    <row r="751" spans="1:1">
      <c r="A751" s="256"/>
    </row>
    <row r="752" spans="1:1">
      <c r="A752" s="256"/>
    </row>
    <row r="753" spans="1:1">
      <c r="A753" s="256"/>
    </row>
    <row r="754" spans="1:1">
      <c r="A754" s="256"/>
    </row>
    <row r="755" spans="1:1">
      <c r="A755" s="256"/>
    </row>
    <row r="756" spans="1:1">
      <c r="A756" s="256"/>
    </row>
    <row r="757" spans="1:1">
      <c r="A757" s="256"/>
    </row>
    <row r="758" spans="1:1">
      <c r="A758" s="256"/>
    </row>
    <row r="759" spans="1:1">
      <c r="A759" s="256"/>
    </row>
    <row r="760" spans="1:1">
      <c r="A760" s="256"/>
    </row>
    <row r="761" spans="1:1">
      <c r="A761" s="256"/>
    </row>
    <row r="762" spans="1:1">
      <c r="A762" s="256"/>
    </row>
    <row r="763" spans="1:1">
      <c r="A763" s="256"/>
    </row>
    <row r="764" spans="1:1">
      <c r="A764" s="256"/>
    </row>
    <row r="765" spans="1:1">
      <c r="A765" s="256"/>
    </row>
    <row r="766" spans="1:1">
      <c r="A766" s="256"/>
    </row>
    <row r="767" spans="1:1">
      <c r="A767" s="256"/>
    </row>
    <row r="768" spans="1:1">
      <c r="A768" s="256"/>
    </row>
    <row r="769" spans="1:1">
      <c r="A769" s="256"/>
    </row>
    <row r="770" spans="1:1">
      <c r="A770" s="256"/>
    </row>
    <row r="771" spans="1:1">
      <c r="A771" s="256"/>
    </row>
    <row r="772" spans="1:1">
      <c r="A772" s="256"/>
    </row>
    <row r="773" spans="1:1">
      <c r="A773" s="256"/>
    </row>
    <row r="774" spans="1:1">
      <c r="A774" s="256"/>
    </row>
    <row r="775" spans="1:1">
      <c r="A775" s="256"/>
    </row>
    <row r="776" spans="1:1">
      <c r="A776" s="256"/>
    </row>
    <row r="777" spans="1:1">
      <c r="A777" s="256"/>
    </row>
    <row r="778" spans="1:1">
      <c r="A778" s="256"/>
    </row>
    <row r="779" spans="1:1">
      <c r="A779" s="256"/>
    </row>
    <row r="780" spans="1:1">
      <c r="A780" s="256"/>
    </row>
    <row r="781" spans="1:1">
      <c r="A781" s="256"/>
    </row>
    <row r="782" spans="1:1">
      <c r="A782" s="256"/>
    </row>
    <row r="783" spans="1:1">
      <c r="A783" s="256"/>
    </row>
    <row r="784" spans="1:1">
      <c r="A784" s="256"/>
    </row>
    <row r="785" spans="1:1">
      <c r="A785" s="256"/>
    </row>
    <row r="786" spans="1:1">
      <c r="A786" s="256"/>
    </row>
    <row r="787" spans="1:1">
      <c r="A787" s="256"/>
    </row>
    <row r="788" spans="1:1">
      <c r="A788" s="256"/>
    </row>
    <row r="789" spans="1:1">
      <c r="A789" s="256"/>
    </row>
    <row r="790" spans="1:1">
      <c r="A790" s="256"/>
    </row>
    <row r="791" spans="1:1">
      <c r="A791" s="256"/>
    </row>
    <row r="792" spans="1:1">
      <c r="A792" s="256"/>
    </row>
    <row r="793" spans="1:1">
      <c r="A793" s="256"/>
    </row>
    <row r="794" spans="1:1">
      <c r="A794" s="256"/>
    </row>
    <row r="795" spans="1:1">
      <c r="A795" s="256"/>
    </row>
    <row r="796" spans="1:1">
      <c r="A796" s="256"/>
    </row>
    <row r="797" spans="1:1">
      <c r="A797" s="256"/>
    </row>
    <row r="798" spans="1:1">
      <c r="A798" s="256"/>
    </row>
    <row r="799" spans="1:1">
      <c r="A799" s="256"/>
    </row>
    <row r="800" spans="1:1">
      <c r="A800" s="256"/>
    </row>
    <row r="801" spans="1:1">
      <c r="A801" s="256"/>
    </row>
    <row r="802" spans="1:1">
      <c r="A802" s="256"/>
    </row>
    <row r="803" spans="1:1">
      <c r="A803" s="256"/>
    </row>
    <row r="804" spans="1:1">
      <c r="A804" s="256"/>
    </row>
    <row r="805" spans="1:1">
      <c r="A805" s="256"/>
    </row>
    <row r="806" spans="1:1">
      <c r="A806" s="256"/>
    </row>
    <row r="807" spans="1:1">
      <c r="A807" s="256"/>
    </row>
    <row r="808" spans="1:1">
      <c r="A808" s="256"/>
    </row>
    <row r="809" spans="1:1">
      <c r="A809" s="256"/>
    </row>
    <row r="810" spans="1:1">
      <c r="A810" s="256"/>
    </row>
    <row r="811" spans="1:1">
      <c r="A811" s="256"/>
    </row>
    <row r="812" spans="1:1">
      <c r="A812" s="256"/>
    </row>
    <row r="813" spans="1:1">
      <c r="A813" s="256"/>
    </row>
    <row r="814" spans="1:1">
      <c r="A814" s="256"/>
    </row>
    <row r="815" spans="1:1">
      <c r="A815" s="256"/>
    </row>
    <row r="816" spans="1:1">
      <c r="A816" s="256"/>
    </row>
    <row r="817" spans="1:1">
      <c r="A817" s="256"/>
    </row>
    <row r="818" spans="1:1">
      <c r="A818" s="256"/>
    </row>
    <row r="819" spans="1:1">
      <c r="A819" s="256"/>
    </row>
    <row r="820" spans="1:1">
      <c r="A820" s="256"/>
    </row>
    <row r="821" spans="1:1">
      <c r="A821" s="256"/>
    </row>
    <row r="822" spans="1:1">
      <c r="A822" s="256"/>
    </row>
    <row r="823" spans="1:1">
      <c r="A823" s="256"/>
    </row>
    <row r="824" spans="1:1">
      <c r="A824" s="256"/>
    </row>
    <row r="825" spans="1:1">
      <c r="A825" s="256"/>
    </row>
    <row r="826" spans="1:1">
      <c r="A826" s="256"/>
    </row>
    <row r="827" spans="1:1">
      <c r="A827" s="256"/>
    </row>
    <row r="828" spans="1:1">
      <c r="A828" s="256"/>
    </row>
    <row r="829" spans="1:1">
      <c r="A829" s="256"/>
    </row>
    <row r="830" spans="1:1">
      <c r="A830" s="256"/>
    </row>
    <row r="831" spans="1:1">
      <c r="A831" s="256"/>
    </row>
    <row r="832" spans="1:1">
      <c r="A832" s="256"/>
    </row>
    <row r="833" spans="1:1">
      <c r="A833" s="256"/>
    </row>
    <row r="834" spans="1:1">
      <c r="A834" s="256"/>
    </row>
    <row r="835" spans="1:1">
      <c r="A835" s="256"/>
    </row>
    <row r="836" spans="1:1">
      <c r="A836" s="256"/>
    </row>
    <row r="837" spans="1:1">
      <c r="A837" s="256"/>
    </row>
    <row r="838" spans="1:1">
      <c r="A838" s="256"/>
    </row>
    <row r="839" spans="1:1">
      <c r="A839" s="256"/>
    </row>
    <row r="840" spans="1:1">
      <c r="A840" s="256"/>
    </row>
    <row r="841" spans="1:1">
      <c r="A841" s="256"/>
    </row>
    <row r="842" spans="1:1">
      <c r="A842" s="256"/>
    </row>
    <row r="843" spans="1:1">
      <c r="A843" s="256"/>
    </row>
    <row r="844" spans="1:1">
      <c r="A844" s="256"/>
    </row>
    <row r="845" spans="1:1">
      <c r="A845" s="256"/>
    </row>
    <row r="846" spans="1:1">
      <c r="A846" s="256"/>
    </row>
    <row r="847" spans="1:1">
      <c r="A847" s="256"/>
    </row>
    <row r="848" spans="1:1">
      <c r="A848" s="256"/>
    </row>
    <row r="849" spans="1:1">
      <c r="A849" s="256"/>
    </row>
    <row r="850" spans="1:1">
      <c r="A850" s="256"/>
    </row>
    <row r="851" spans="1:1">
      <c r="A851" s="256"/>
    </row>
    <row r="852" spans="1:1">
      <c r="A852" s="256"/>
    </row>
    <row r="853" spans="1:1">
      <c r="A853" s="256"/>
    </row>
    <row r="854" spans="1:1">
      <c r="A854" s="256"/>
    </row>
    <row r="855" spans="1:1">
      <c r="A855" s="256"/>
    </row>
    <row r="856" spans="1:1">
      <c r="A856" s="256"/>
    </row>
    <row r="857" spans="1:1">
      <c r="A857" s="256"/>
    </row>
    <row r="858" spans="1:1">
      <c r="A858" s="256"/>
    </row>
    <row r="859" spans="1:1">
      <c r="A859" s="256"/>
    </row>
    <row r="860" spans="1:1">
      <c r="A860" s="256"/>
    </row>
    <row r="861" spans="1:1">
      <c r="A861" s="256"/>
    </row>
    <row r="862" spans="1:1">
      <c r="A862" s="256"/>
    </row>
    <row r="863" spans="1:1">
      <c r="A863" s="256"/>
    </row>
    <row r="864" spans="1:1">
      <c r="A864" s="256"/>
    </row>
    <row r="865" spans="1:1">
      <c r="A865" s="256"/>
    </row>
    <row r="866" spans="1:1">
      <c r="A866" s="256"/>
    </row>
    <row r="867" spans="1:1">
      <c r="A867" s="256"/>
    </row>
    <row r="868" spans="1:1">
      <c r="A868" s="256"/>
    </row>
    <row r="869" spans="1:1">
      <c r="A869" s="256"/>
    </row>
    <row r="870" spans="1:1">
      <c r="A870" s="256"/>
    </row>
    <row r="871" spans="1:1">
      <c r="A871" s="256"/>
    </row>
    <row r="872" spans="1:1">
      <c r="A872" s="256"/>
    </row>
    <row r="873" spans="1:1">
      <c r="A873" s="256"/>
    </row>
    <row r="874" spans="1:1">
      <c r="A874" s="256"/>
    </row>
    <row r="875" spans="1:1">
      <c r="A875" s="256"/>
    </row>
    <row r="876" spans="1:1">
      <c r="A876" s="256"/>
    </row>
    <row r="877" spans="1:1">
      <c r="A877" s="256"/>
    </row>
    <row r="878" spans="1:1">
      <c r="A878" s="256"/>
    </row>
    <row r="879" spans="1:1">
      <c r="A879" s="256"/>
    </row>
    <row r="880" spans="1:1">
      <c r="A880" s="256"/>
    </row>
    <row r="881" spans="1:1">
      <c r="A881" s="256"/>
    </row>
    <row r="882" spans="1:1">
      <c r="A882" s="256"/>
    </row>
    <row r="883" spans="1:1">
      <c r="A883" s="256"/>
    </row>
    <row r="884" spans="1:1">
      <c r="A884" s="256"/>
    </row>
    <row r="885" spans="1:1">
      <c r="A885" s="256"/>
    </row>
    <row r="886" spans="1:1">
      <c r="A886" s="256"/>
    </row>
    <row r="887" spans="1:1">
      <c r="A887" s="256"/>
    </row>
    <row r="888" spans="1:1">
      <c r="A888" s="256"/>
    </row>
    <row r="889" spans="1:1">
      <c r="A889" s="256"/>
    </row>
    <row r="890" spans="1:1">
      <c r="A890" s="256"/>
    </row>
    <row r="891" spans="1:1">
      <c r="A891" s="256"/>
    </row>
    <row r="892" spans="1:1">
      <c r="A892" s="256"/>
    </row>
    <row r="893" spans="1:1">
      <c r="A893" s="256"/>
    </row>
    <row r="894" spans="1:1">
      <c r="A894" s="256"/>
    </row>
    <row r="895" spans="1:1">
      <c r="A895" s="256"/>
    </row>
    <row r="896" spans="1:1">
      <c r="A896" s="256"/>
    </row>
    <row r="897" spans="1:1">
      <c r="A897" s="256"/>
    </row>
    <row r="898" spans="1:1">
      <c r="A898" s="256"/>
    </row>
    <row r="899" spans="1:1">
      <c r="A899" s="256"/>
    </row>
    <row r="900" spans="1:1">
      <c r="A900" s="256"/>
    </row>
    <row r="901" spans="1:1">
      <c r="A901" s="256"/>
    </row>
    <row r="902" spans="1:1">
      <c r="A902" s="256"/>
    </row>
    <row r="903" spans="1:1">
      <c r="A903" s="256"/>
    </row>
    <row r="904" spans="1:1">
      <c r="A904" s="256"/>
    </row>
    <row r="905" spans="1:1">
      <c r="A905" s="256"/>
    </row>
    <row r="906" spans="1:1">
      <c r="A906" s="256"/>
    </row>
    <row r="907" spans="1:1">
      <c r="A907" s="256"/>
    </row>
    <row r="908" spans="1:1">
      <c r="A908" s="256"/>
    </row>
    <row r="909" spans="1:1">
      <c r="A909" s="256"/>
    </row>
    <row r="910" spans="1:1">
      <c r="A910" s="256"/>
    </row>
    <row r="911" spans="1:1">
      <c r="A911" s="256"/>
    </row>
    <row r="912" spans="1:1">
      <c r="A912" s="256"/>
    </row>
    <row r="913" spans="1:1">
      <c r="A913" s="256"/>
    </row>
    <row r="914" spans="1:1">
      <c r="A914" s="256"/>
    </row>
    <row r="915" spans="1:1">
      <c r="A915" s="256"/>
    </row>
    <row r="916" spans="1:1">
      <c r="A916" s="256"/>
    </row>
    <row r="917" spans="1:1">
      <c r="A917" s="256"/>
    </row>
    <row r="918" spans="1:1">
      <c r="A918" s="256"/>
    </row>
    <row r="919" spans="1:1">
      <c r="A919" s="256"/>
    </row>
    <row r="920" spans="1:1">
      <c r="A920" s="256"/>
    </row>
    <row r="921" spans="1:1">
      <c r="A921" s="256"/>
    </row>
    <row r="922" spans="1:1">
      <c r="A922" s="256"/>
    </row>
    <row r="923" spans="1:1">
      <c r="A923" s="256"/>
    </row>
    <row r="924" spans="1:1">
      <c r="A924" s="256"/>
    </row>
    <row r="925" spans="1:1">
      <c r="A925" s="256"/>
    </row>
    <row r="926" spans="1:1">
      <c r="A926" s="256"/>
    </row>
    <row r="927" spans="1:1">
      <c r="A927" s="256"/>
    </row>
    <row r="928" spans="1:1">
      <c r="A928" s="256"/>
    </row>
    <row r="929" spans="1:1">
      <c r="A929" s="256"/>
    </row>
    <row r="930" spans="1:1">
      <c r="A930" s="256"/>
    </row>
    <row r="931" spans="1:1">
      <c r="A931" s="256"/>
    </row>
    <row r="932" spans="1:1">
      <c r="A932" s="256"/>
    </row>
    <row r="933" spans="1:1">
      <c r="A933" s="256"/>
    </row>
    <row r="934" spans="1:1">
      <c r="A934" s="256"/>
    </row>
    <row r="935" spans="1:1">
      <c r="A935" s="256"/>
    </row>
    <row r="936" spans="1:1">
      <c r="A936" s="256"/>
    </row>
    <row r="937" spans="1:1">
      <c r="A937" s="256"/>
    </row>
    <row r="938" spans="1:1">
      <c r="A938" s="256"/>
    </row>
    <row r="939" spans="1:1">
      <c r="A939" s="256"/>
    </row>
    <row r="940" spans="1:1">
      <c r="A940" s="256"/>
    </row>
    <row r="941" spans="1:1">
      <c r="A941" s="256"/>
    </row>
    <row r="942" spans="1:1">
      <c r="A942" s="256"/>
    </row>
    <row r="943" spans="1:1">
      <c r="A943" s="256"/>
    </row>
    <row r="944" spans="1:1">
      <c r="A944" s="256"/>
    </row>
    <row r="945" spans="1:1">
      <c r="A945" s="256"/>
    </row>
    <row r="946" spans="1:1">
      <c r="A946" s="256"/>
    </row>
    <row r="947" spans="1:1">
      <c r="A947" s="256"/>
    </row>
    <row r="948" spans="1:1">
      <c r="A948" s="256"/>
    </row>
    <row r="949" spans="1:1">
      <c r="A949" s="256"/>
    </row>
    <row r="950" spans="1:1">
      <c r="A950" s="256"/>
    </row>
    <row r="951" spans="1:1">
      <c r="A951" s="256"/>
    </row>
    <row r="952" spans="1:1">
      <c r="A952" s="256"/>
    </row>
    <row r="953" spans="1:1">
      <c r="A953" s="256"/>
    </row>
    <row r="954" spans="1:1">
      <c r="A954" s="256"/>
    </row>
    <row r="955" spans="1:1">
      <c r="A955" s="256"/>
    </row>
    <row r="956" spans="1:1">
      <c r="A956" s="256"/>
    </row>
    <row r="957" spans="1:1">
      <c r="A957" s="256"/>
    </row>
    <row r="958" spans="1:1">
      <c r="A958" s="256"/>
    </row>
    <row r="959" spans="1:1">
      <c r="A959" s="256"/>
    </row>
    <row r="960" spans="1:1">
      <c r="A960" s="256"/>
    </row>
    <row r="961" spans="1:1">
      <c r="A961" s="256"/>
    </row>
    <row r="962" spans="1:1">
      <c r="A962" s="256"/>
    </row>
    <row r="963" spans="1:1">
      <c r="A963" s="256"/>
    </row>
    <row r="964" spans="1:1">
      <c r="A964" s="256"/>
    </row>
    <row r="965" spans="1:1">
      <c r="A965" s="256"/>
    </row>
    <row r="966" spans="1:1">
      <c r="A966" s="256"/>
    </row>
    <row r="967" spans="1:1">
      <c r="A967" s="256"/>
    </row>
    <row r="968" spans="1:1">
      <c r="A968" s="256"/>
    </row>
    <row r="969" spans="1:1">
      <c r="A969" s="256"/>
    </row>
    <row r="970" spans="1:1">
      <c r="A970" s="256"/>
    </row>
    <row r="971" spans="1:1">
      <c r="A971" s="256"/>
    </row>
    <row r="972" spans="1:1">
      <c r="A972" s="256"/>
    </row>
    <row r="973" spans="1:1">
      <c r="A973" s="256"/>
    </row>
    <row r="974" spans="1:1">
      <c r="A974" s="256"/>
    </row>
    <row r="975" spans="1:1">
      <c r="A975" s="256"/>
    </row>
    <row r="976" spans="1:1">
      <c r="A976" s="256"/>
    </row>
    <row r="977" spans="1:1">
      <c r="A977" s="256"/>
    </row>
    <row r="978" spans="1:1">
      <c r="A978" s="256"/>
    </row>
    <row r="979" spans="1:1">
      <c r="A979" s="256"/>
    </row>
    <row r="980" spans="1:1">
      <c r="A980" s="256"/>
    </row>
    <row r="981" spans="1:1">
      <c r="A981" s="256"/>
    </row>
    <row r="982" spans="1:1">
      <c r="A982" s="256"/>
    </row>
    <row r="983" spans="1:1">
      <c r="A983" s="256"/>
    </row>
    <row r="984" spans="1:1">
      <c r="A984" s="256"/>
    </row>
    <row r="985" spans="1:1">
      <c r="A985" s="256"/>
    </row>
    <row r="986" spans="1:1">
      <c r="A986" s="256"/>
    </row>
    <row r="987" spans="1:1">
      <c r="A987" s="256"/>
    </row>
    <row r="988" spans="1:1">
      <c r="A988" s="256"/>
    </row>
    <row r="989" spans="1:1">
      <c r="A989" s="256"/>
    </row>
    <row r="990" spans="1:1">
      <c r="A990" s="256"/>
    </row>
    <row r="991" spans="1:1">
      <c r="A991" s="256"/>
    </row>
    <row r="992" spans="1:1">
      <c r="A992" s="256"/>
    </row>
    <row r="993" spans="1:1">
      <c r="A993" s="256"/>
    </row>
    <row r="994" spans="1:1">
      <c r="A994" s="256"/>
    </row>
    <row r="995" spans="1:1">
      <c r="A995" s="256"/>
    </row>
    <row r="996" spans="1:1">
      <c r="A996" s="256"/>
    </row>
    <row r="997" spans="1:1">
      <c r="A997" s="256"/>
    </row>
    <row r="998" spans="1:1">
      <c r="A998" s="256"/>
    </row>
    <row r="999" spans="1:1">
      <c r="A999" s="256"/>
    </row>
    <row r="1000" spans="1:1">
      <c r="A1000" s="256"/>
    </row>
    <row r="1001" spans="1:1">
      <c r="A1001" s="256"/>
    </row>
    <row r="1002" spans="1:1">
      <c r="A1002" s="256"/>
    </row>
    <row r="1003" spans="1:1">
      <c r="A1003" s="256"/>
    </row>
    <row r="1004" spans="1:1">
      <c r="A1004" s="256"/>
    </row>
    <row r="1005" spans="1:1">
      <c r="A1005" s="256"/>
    </row>
    <row r="1006" spans="1:1">
      <c r="A1006" s="256"/>
    </row>
    <row r="1007" spans="1:1">
      <c r="A1007" s="256"/>
    </row>
    <row r="1008" spans="1:1">
      <c r="A1008" s="256"/>
    </row>
    <row r="1009" spans="1:1">
      <c r="A1009" s="256"/>
    </row>
    <row r="1010" spans="1:1">
      <c r="A1010" s="256"/>
    </row>
    <row r="1011" spans="1:1">
      <c r="A1011" s="256"/>
    </row>
    <row r="1012" spans="1:1">
      <c r="A1012" s="256"/>
    </row>
    <row r="1013" spans="1:1">
      <c r="A1013" s="256"/>
    </row>
    <row r="1014" spans="1:1">
      <c r="A1014" s="256"/>
    </row>
    <row r="1015" spans="1:1">
      <c r="A1015" s="256"/>
    </row>
    <row r="1016" spans="1:1">
      <c r="A1016" s="256"/>
    </row>
    <row r="1017" spans="1:1">
      <c r="A1017" s="256"/>
    </row>
    <row r="1018" spans="1:1">
      <c r="A1018" s="256"/>
    </row>
    <row r="1019" spans="1:1">
      <c r="A1019" s="256"/>
    </row>
    <row r="1020" spans="1:1">
      <c r="A1020" s="256"/>
    </row>
    <row r="1021" spans="1:1">
      <c r="A1021" s="256"/>
    </row>
    <row r="1022" spans="1:1">
      <c r="A1022" s="256"/>
    </row>
    <row r="1023" spans="1:1">
      <c r="A1023" s="256"/>
    </row>
    <row r="1024" spans="1:1">
      <c r="A1024" s="256"/>
    </row>
    <row r="1025" spans="1:1">
      <c r="A1025" s="256"/>
    </row>
    <row r="1026" spans="1:1">
      <c r="A1026" s="256"/>
    </row>
    <row r="1027" spans="1:1">
      <c r="A1027" s="256"/>
    </row>
    <row r="1028" spans="1:1">
      <c r="A1028" s="256"/>
    </row>
    <row r="1029" spans="1:1">
      <c r="A1029" s="256"/>
    </row>
    <row r="1030" spans="1:1">
      <c r="A1030" s="256"/>
    </row>
    <row r="1031" spans="1:1">
      <c r="A1031" s="256"/>
    </row>
    <row r="1032" spans="1:1">
      <c r="A1032" s="256"/>
    </row>
    <row r="1033" spans="1:1">
      <c r="A1033" s="256"/>
    </row>
    <row r="1034" spans="1:1">
      <c r="A1034" s="256"/>
    </row>
    <row r="1035" spans="1:1">
      <c r="A1035" s="256"/>
    </row>
    <row r="1036" spans="1:1">
      <c r="A1036" s="256"/>
    </row>
    <row r="1037" spans="1:1">
      <c r="A1037" s="256"/>
    </row>
    <row r="1038" spans="1:1">
      <c r="A1038" s="256"/>
    </row>
    <row r="1039" spans="1:1">
      <c r="A1039" s="256"/>
    </row>
    <row r="1040" spans="1:1">
      <c r="A1040" s="256"/>
    </row>
    <row r="1041" spans="1:1">
      <c r="A1041" s="256"/>
    </row>
    <row r="1042" spans="1:1">
      <c r="A1042" s="256"/>
    </row>
    <row r="1043" spans="1:1">
      <c r="A1043" s="256"/>
    </row>
    <row r="1044" spans="1:1">
      <c r="A1044" s="256"/>
    </row>
    <row r="1045" spans="1:1">
      <c r="A1045" s="256"/>
    </row>
    <row r="1046" spans="1:1">
      <c r="A1046" s="256"/>
    </row>
    <row r="1047" spans="1:1">
      <c r="A1047" s="256"/>
    </row>
    <row r="1048" spans="1:1">
      <c r="A1048" s="256"/>
    </row>
    <row r="1049" spans="1:1">
      <c r="A1049" s="256"/>
    </row>
    <row r="1050" spans="1:1">
      <c r="A1050" s="256"/>
    </row>
    <row r="1051" spans="1:1">
      <c r="A1051" s="256"/>
    </row>
    <row r="1052" spans="1:1">
      <c r="A1052" s="256"/>
    </row>
    <row r="1053" spans="1:1">
      <c r="A1053" s="256"/>
    </row>
    <row r="1054" spans="1:1">
      <c r="A1054" s="256"/>
    </row>
    <row r="1055" spans="1:1">
      <c r="A1055" s="256"/>
    </row>
    <row r="1056" spans="1:1">
      <c r="A1056" s="256"/>
    </row>
    <row r="1057" spans="1:1">
      <c r="A1057" s="256"/>
    </row>
    <row r="1058" spans="1:1">
      <c r="A1058" s="256"/>
    </row>
    <row r="1059" spans="1:1">
      <c r="A1059" s="256"/>
    </row>
    <row r="1060" spans="1:1">
      <c r="A1060" s="256"/>
    </row>
    <row r="1061" spans="1:1">
      <c r="A1061" s="256"/>
    </row>
    <row r="1062" spans="1:1">
      <c r="A1062" s="256"/>
    </row>
    <row r="1063" spans="1:1">
      <c r="A1063" s="256"/>
    </row>
    <row r="1064" spans="1:1">
      <c r="A1064" s="256"/>
    </row>
    <row r="1065" spans="1:1">
      <c r="A1065" s="256"/>
    </row>
    <row r="1066" spans="1:1">
      <c r="A1066" s="256"/>
    </row>
    <row r="1067" spans="1:1">
      <c r="A1067" s="256"/>
    </row>
    <row r="1068" spans="1:1">
      <c r="A1068" s="256"/>
    </row>
    <row r="1069" spans="1:1">
      <c r="A1069" s="256"/>
    </row>
    <row r="1070" spans="1:1">
      <c r="A1070" s="256"/>
    </row>
    <row r="1071" spans="1:1">
      <c r="A1071" s="256"/>
    </row>
    <row r="1072" spans="1:1">
      <c r="A1072" s="256"/>
    </row>
    <row r="1073" spans="1:1">
      <c r="A1073" s="256"/>
    </row>
    <row r="1074" spans="1:1">
      <c r="A1074" s="256"/>
    </row>
    <row r="1075" spans="1:1">
      <c r="A1075" s="256"/>
    </row>
    <row r="1076" spans="1:1">
      <c r="A1076" s="256"/>
    </row>
    <row r="1077" spans="1:1">
      <c r="A1077" s="256"/>
    </row>
    <row r="1078" spans="1:1">
      <c r="A1078" s="256"/>
    </row>
    <row r="1079" spans="1:1">
      <c r="A1079" s="256"/>
    </row>
    <row r="1080" spans="1:1">
      <c r="A1080" s="256"/>
    </row>
    <row r="1081" spans="1:1">
      <c r="A1081" s="256"/>
    </row>
    <row r="1082" spans="1:1">
      <c r="A1082" s="256"/>
    </row>
    <row r="1083" spans="1:1">
      <c r="A1083" s="256"/>
    </row>
    <row r="1084" spans="1:1">
      <c r="A1084" s="256"/>
    </row>
    <row r="1085" spans="1:1">
      <c r="A1085" s="256"/>
    </row>
    <row r="1086" spans="1:1">
      <c r="A1086" s="256"/>
    </row>
    <row r="1087" spans="1:1">
      <c r="A1087" s="256"/>
    </row>
    <row r="1088" spans="1:1">
      <c r="A1088" s="256"/>
    </row>
    <row r="1089" spans="1:1">
      <c r="A1089" s="256"/>
    </row>
    <row r="1090" spans="1:1">
      <c r="A1090" s="256"/>
    </row>
    <row r="1091" spans="1:1">
      <c r="A1091" s="256"/>
    </row>
    <row r="1092" spans="1:1">
      <c r="A1092" s="256"/>
    </row>
    <row r="1093" spans="1:1">
      <c r="A1093" s="256"/>
    </row>
    <row r="1094" spans="1:1">
      <c r="A1094" s="256"/>
    </row>
    <row r="1095" spans="1:1">
      <c r="A1095" s="256"/>
    </row>
    <row r="1096" spans="1:1">
      <c r="A1096" s="256"/>
    </row>
    <row r="1097" spans="1:1">
      <c r="A1097" s="256"/>
    </row>
    <row r="1098" spans="1:1">
      <c r="A1098" s="256"/>
    </row>
    <row r="1099" spans="1:1">
      <c r="A1099" s="256"/>
    </row>
    <row r="1100" spans="1:1">
      <c r="A1100" s="256"/>
    </row>
    <row r="1101" spans="1:1">
      <c r="A1101" s="256"/>
    </row>
    <row r="1102" spans="1:1">
      <c r="A1102" s="256"/>
    </row>
    <row r="1103" spans="1:1">
      <c r="A1103" s="256"/>
    </row>
    <row r="1104" spans="1:1">
      <c r="A1104" s="256"/>
    </row>
    <row r="1105" spans="1:1">
      <c r="A1105" s="256"/>
    </row>
    <row r="1106" spans="1:1">
      <c r="A1106" s="256"/>
    </row>
    <row r="1107" spans="1:1">
      <c r="A1107" s="256"/>
    </row>
    <row r="1108" spans="1:1">
      <c r="A1108" s="256"/>
    </row>
    <row r="1109" spans="1:1">
      <c r="A1109" s="256"/>
    </row>
    <row r="1110" spans="1:1">
      <c r="A1110" s="256"/>
    </row>
    <row r="1111" spans="1:1">
      <c r="A1111" s="256"/>
    </row>
    <row r="1112" spans="1:1">
      <c r="A1112" s="256"/>
    </row>
    <row r="1113" spans="1:1">
      <c r="A1113" s="256"/>
    </row>
    <row r="1114" spans="1:1">
      <c r="A1114" s="256"/>
    </row>
    <row r="1115" spans="1:1">
      <c r="A1115" s="256"/>
    </row>
    <row r="1116" spans="1:1">
      <c r="A1116" s="256"/>
    </row>
    <row r="1117" spans="1:1">
      <c r="A1117" s="256"/>
    </row>
    <row r="1118" spans="1:1">
      <c r="A1118" s="256"/>
    </row>
    <row r="1119" spans="1:1">
      <c r="A1119" s="256"/>
    </row>
    <row r="1120" spans="1:1">
      <c r="A1120" s="256"/>
    </row>
    <row r="1121" spans="1:1">
      <c r="A1121" s="256"/>
    </row>
    <row r="1122" spans="1:1">
      <c r="A1122" s="256"/>
    </row>
    <row r="1123" spans="1:1">
      <c r="A1123" s="256"/>
    </row>
    <row r="1124" spans="1:1">
      <c r="A1124" s="256"/>
    </row>
    <row r="1125" spans="1:1">
      <c r="A1125" s="256"/>
    </row>
    <row r="1126" spans="1:1">
      <c r="A1126" s="256"/>
    </row>
    <row r="1127" spans="1:1">
      <c r="A1127" s="256"/>
    </row>
    <row r="1128" spans="1:1">
      <c r="A1128" s="256"/>
    </row>
    <row r="1129" spans="1:1">
      <c r="A1129" s="256"/>
    </row>
    <row r="1130" spans="1:1">
      <c r="A1130" s="256"/>
    </row>
    <row r="1131" spans="1:1">
      <c r="A1131" s="256"/>
    </row>
    <row r="1132" spans="1:1">
      <c r="A1132" s="256"/>
    </row>
    <row r="1133" spans="1:1">
      <c r="A1133" s="256"/>
    </row>
    <row r="1134" spans="1:1">
      <c r="A1134" s="256"/>
    </row>
    <row r="1135" spans="1:1">
      <c r="A1135" s="256"/>
    </row>
    <row r="1136" spans="1:1">
      <c r="A1136" s="256"/>
    </row>
    <row r="1137" spans="1:1">
      <c r="A1137" s="256"/>
    </row>
    <row r="1138" spans="1:1">
      <c r="A1138" s="256"/>
    </row>
    <row r="1139" spans="1:1">
      <c r="A1139" s="256"/>
    </row>
    <row r="1140" spans="1:1">
      <c r="A1140" s="256"/>
    </row>
    <row r="1141" spans="1:1">
      <c r="A1141" s="256"/>
    </row>
    <row r="1142" spans="1:1">
      <c r="A1142" s="256"/>
    </row>
    <row r="1143" spans="1:1">
      <c r="A1143" s="256"/>
    </row>
    <row r="1144" spans="1:1">
      <c r="A1144" s="256"/>
    </row>
    <row r="1145" spans="1:1">
      <c r="A1145" s="256"/>
    </row>
    <row r="1146" spans="1:1">
      <c r="A1146" s="256"/>
    </row>
    <row r="1147" spans="1:1">
      <c r="A1147" s="256"/>
    </row>
    <row r="1148" spans="1:1">
      <c r="A1148" s="256"/>
    </row>
    <row r="1149" spans="1:1">
      <c r="A1149" s="256"/>
    </row>
    <row r="1150" spans="1:1">
      <c r="A1150" s="256"/>
    </row>
    <row r="1151" spans="1:1">
      <c r="A1151" s="256"/>
    </row>
    <row r="1152" spans="1:1">
      <c r="A1152" s="256"/>
    </row>
    <row r="1153" spans="1:1">
      <c r="A1153" s="256"/>
    </row>
    <row r="1154" spans="1:1">
      <c r="A1154" s="256"/>
    </row>
    <row r="1155" spans="1:1">
      <c r="A1155" s="256"/>
    </row>
    <row r="1156" spans="1:1">
      <c r="A1156" s="256"/>
    </row>
    <row r="1157" spans="1:1">
      <c r="A1157" s="256"/>
    </row>
    <row r="1158" spans="1:1">
      <c r="A1158" s="256"/>
    </row>
    <row r="1159" spans="1:1">
      <c r="A1159" s="256"/>
    </row>
    <row r="1160" spans="1:1">
      <c r="A1160" s="256"/>
    </row>
    <row r="1161" spans="1:1">
      <c r="A1161" s="256"/>
    </row>
    <row r="1162" spans="1:1">
      <c r="A1162" s="256"/>
    </row>
    <row r="1163" spans="1:1">
      <c r="A1163" s="256"/>
    </row>
    <row r="1164" spans="1:1">
      <c r="A1164" s="256"/>
    </row>
    <row r="1165" spans="1:1">
      <c r="A1165" s="256"/>
    </row>
    <row r="1166" spans="1:1">
      <c r="A1166" s="256"/>
    </row>
    <row r="1167" spans="1:1">
      <c r="A1167" s="256"/>
    </row>
    <row r="1168" spans="1:1">
      <c r="A1168" s="256"/>
    </row>
    <row r="1169" spans="1:1">
      <c r="A1169" s="256"/>
    </row>
    <row r="1170" spans="1:1">
      <c r="A1170" s="256"/>
    </row>
    <row r="1171" spans="1:1">
      <c r="A1171" s="256"/>
    </row>
    <row r="1172" spans="1:1">
      <c r="A1172" s="256"/>
    </row>
    <row r="1173" spans="1:1">
      <c r="A1173" s="256"/>
    </row>
    <row r="1174" spans="1:1">
      <c r="A1174" s="256"/>
    </row>
    <row r="1175" spans="1:1">
      <c r="A1175" s="256"/>
    </row>
    <row r="1176" spans="1:1">
      <c r="A1176" s="256"/>
    </row>
    <row r="1177" spans="1:1">
      <c r="A1177" s="256"/>
    </row>
    <row r="1178" spans="1:1">
      <c r="A1178" s="256"/>
    </row>
    <row r="1179" spans="1:1">
      <c r="A1179" s="256"/>
    </row>
    <row r="1180" spans="1:1">
      <c r="A1180" s="256"/>
    </row>
    <row r="1181" spans="1:1">
      <c r="A1181" s="256"/>
    </row>
    <row r="1182" spans="1:1">
      <c r="A1182" s="256"/>
    </row>
    <row r="1183" spans="1:1">
      <c r="A1183" s="256"/>
    </row>
    <row r="1184" spans="1:1">
      <c r="A1184" s="256"/>
    </row>
    <row r="1185" spans="1:1">
      <c r="A1185" s="256"/>
    </row>
    <row r="1186" spans="1:1">
      <c r="A1186" s="256"/>
    </row>
    <row r="1187" spans="1:1">
      <c r="A1187" s="256"/>
    </row>
    <row r="1188" spans="1:1">
      <c r="A1188" s="256"/>
    </row>
    <row r="1189" spans="1:1">
      <c r="A1189" s="256"/>
    </row>
    <row r="1190" spans="1:1">
      <c r="A1190" s="256"/>
    </row>
    <row r="1191" spans="1:1">
      <c r="A1191" s="256"/>
    </row>
    <row r="1192" spans="1:1">
      <c r="A1192" s="256"/>
    </row>
    <row r="1193" spans="1:1">
      <c r="A1193" s="256"/>
    </row>
    <row r="1194" spans="1:1">
      <c r="A1194" s="256"/>
    </row>
    <row r="1195" spans="1:1">
      <c r="A1195" s="256"/>
    </row>
    <row r="1196" spans="1:1">
      <c r="A1196" s="256"/>
    </row>
    <row r="1197" spans="1:1">
      <c r="A1197" s="256"/>
    </row>
    <row r="1198" spans="1:1">
      <c r="A1198" s="256"/>
    </row>
    <row r="1199" spans="1:1">
      <c r="A1199" s="256"/>
    </row>
    <row r="1200" spans="1:1">
      <c r="A1200" s="256"/>
    </row>
    <row r="1201" spans="1:1">
      <c r="A1201" s="256"/>
    </row>
    <row r="1202" spans="1:1">
      <c r="A1202" s="256"/>
    </row>
    <row r="1203" spans="1:1">
      <c r="A1203" s="256"/>
    </row>
    <row r="1204" spans="1:1">
      <c r="A1204" s="256"/>
    </row>
    <row r="1205" spans="1:1">
      <c r="A1205" s="256"/>
    </row>
    <row r="1206" spans="1:1">
      <c r="A1206" s="256"/>
    </row>
    <row r="1207" spans="1:1">
      <c r="A1207" s="256"/>
    </row>
    <row r="1208" spans="1:1">
      <c r="A1208" s="256"/>
    </row>
    <row r="1209" spans="1:1">
      <c r="A1209" s="256"/>
    </row>
    <row r="1210" spans="1:1">
      <c r="A1210" s="256"/>
    </row>
    <row r="1211" spans="1:1">
      <c r="A1211" s="256"/>
    </row>
    <row r="1212" spans="1:1">
      <c r="A1212" s="256"/>
    </row>
    <row r="1213" spans="1:1">
      <c r="A1213" s="256"/>
    </row>
    <row r="1214" spans="1:1">
      <c r="A1214" s="256"/>
    </row>
    <row r="1215" spans="1:1">
      <c r="A1215" s="256"/>
    </row>
    <row r="1216" spans="1:1">
      <c r="A1216" s="256"/>
    </row>
    <row r="1217" spans="1:1">
      <c r="A1217" s="256"/>
    </row>
    <row r="1218" spans="1:1">
      <c r="A1218" s="256"/>
    </row>
    <row r="1219" spans="1:1">
      <c r="A1219" s="256"/>
    </row>
    <row r="1220" spans="1:1">
      <c r="A1220" s="256"/>
    </row>
    <row r="1221" spans="1:1">
      <c r="A1221" s="256"/>
    </row>
    <row r="1222" spans="1:1">
      <c r="A1222" s="256"/>
    </row>
    <row r="1223" spans="1:1">
      <c r="A1223" s="256"/>
    </row>
    <row r="1224" spans="1:1">
      <c r="A1224" s="256"/>
    </row>
    <row r="1225" spans="1:1">
      <c r="A1225" s="256"/>
    </row>
    <row r="1226" spans="1:1">
      <c r="A1226" s="256"/>
    </row>
    <row r="1227" spans="1:1">
      <c r="A1227" s="256"/>
    </row>
    <row r="1228" spans="1:1">
      <c r="A1228" s="256"/>
    </row>
    <row r="1229" spans="1:1">
      <c r="A1229" s="256"/>
    </row>
    <row r="1230" spans="1:1">
      <c r="A1230" s="256"/>
    </row>
    <row r="1231" spans="1:1">
      <c r="A1231" s="256"/>
    </row>
    <row r="1232" spans="1:1">
      <c r="A1232" s="256"/>
    </row>
    <row r="1233" spans="1:1">
      <c r="A1233" s="256"/>
    </row>
    <row r="1234" spans="1:1">
      <c r="A1234" s="256"/>
    </row>
    <row r="1235" spans="1:1">
      <c r="A1235" s="256"/>
    </row>
    <row r="1236" spans="1:1">
      <c r="A1236" s="256"/>
    </row>
    <row r="1237" spans="1:1">
      <c r="A1237" s="256"/>
    </row>
    <row r="1238" spans="1:1">
      <c r="A1238" s="256"/>
    </row>
    <row r="1239" spans="1:1">
      <c r="A1239" s="256"/>
    </row>
    <row r="1240" spans="1:1">
      <c r="A1240" s="256"/>
    </row>
    <row r="1241" spans="1:1">
      <c r="A1241" s="256"/>
    </row>
    <row r="1242" spans="1:1">
      <c r="A1242" s="256"/>
    </row>
    <row r="1243" spans="1:1">
      <c r="A1243" s="256"/>
    </row>
    <row r="1244" spans="1:1">
      <c r="A1244" s="256"/>
    </row>
    <row r="1245" spans="1:1">
      <c r="A1245" s="256"/>
    </row>
    <row r="1246" spans="1:1">
      <c r="A1246" s="256"/>
    </row>
    <row r="1247" spans="1:1">
      <c r="A1247" s="256"/>
    </row>
    <row r="1248" spans="1:1">
      <c r="A1248" s="256"/>
    </row>
    <row r="1249" spans="1:1">
      <c r="A1249" s="256"/>
    </row>
    <row r="1250" spans="1:1">
      <c r="A1250" s="256"/>
    </row>
    <row r="1251" spans="1:1">
      <c r="A1251" s="256"/>
    </row>
    <row r="1252" spans="1:1">
      <c r="A1252" s="256"/>
    </row>
    <row r="1253" spans="1:1">
      <c r="A1253" s="256"/>
    </row>
    <row r="1254" spans="1:1">
      <c r="A1254" s="256"/>
    </row>
    <row r="1255" spans="1:1">
      <c r="A1255" s="256"/>
    </row>
    <row r="1256" spans="1:1">
      <c r="A1256" s="256"/>
    </row>
    <row r="1257" spans="1:1">
      <c r="A1257" s="256"/>
    </row>
    <row r="1258" spans="1:1">
      <c r="A1258" s="256"/>
    </row>
    <row r="1259" spans="1:1">
      <c r="A1259" s="256"/>
    </row>
    <row r="1260" spans="1:1">
      <c r="A1260" s="256"/>
    </row>
    <row r="1261" spans="1:1">
      <c r="A1261" s="256"/>
    </row>
    <row r="1262" spans="1:1">
      <c r="A1262" s="256"/>
    </row>
    <row r="1263" spans="1:1">
      <c r="A1263" s="256"/>
    </row>
    <row r="1264" spans="1:1">
      <c r="A1264" s="256"/>
    </row>
    <row r="1265" spans="1:1">
      <c r="A1265" s="256"/>
    </row>
    <row r="1266" spans="1:1">
      <c r="A1266" s="256"/>
    </row>
    <row r="1267" spans="1:1">
      <c r="A1267" s="256"/>
    </row>
    <row r="1268" spans="1:1">
      <c r="A1268" s="256"/>
    </row>
    <row r="1269" spans="1:1">
      <c r="A1269" s="256"/>
    </row>
    <row r="1270" spans="1:1">
      <c r="A1270" s="256"/>
    </row>
    <row r="1271" spans="1:1">
      <c r="A1271" s="256"/>
    </row>
    <row r="1272" spans="1:1">
      <c r="A1272" s="256"/>
    </row>
    <row r="1273" spans="1:1">
      <c r="A1273" s="256"/>
    </row>
    <row r="1274" spans="1:1">
      <c r="A1274" s="256"/>
    </row>
    <row r="1275" spans="1:1">
      <c r="A1275" s="256"/>
    </row>
    <row r="1276" spans="1:1">
      <c r="A1276" s="256"/>
    </row>
    <row r="1277" spans="1:1">
      <c r="A1277" s="256"/>
    </row>
    <row r="1278" spans="1:1">
      <c r="A1278" s="256"/>
    </row>
    <row r="1279" spans="1:1">
      <c r="A1279" s="256"/>
    </row>
    <row r="1280" spans="1:1">
      <c r="A1280" s="256"/>
    </row>
    <row r="1281" spans="1:1">
      <c r="A1281" s="256"/>
    </row>
    <row r="1282" spans="1:1">
      <c r="A1282" s="256"/>
    </row>
    <row r="1283" spans="1:1">
      <c r="A1283" s="256"/>
    </row>
    <row r="1284" spans="1:1">
      <c r="A1284" s="256"/>
    </row>
    <row r="1285" spans="1:1">
      <c r="A1285" s="256"/>
    </row>
    <row r="1286" spans="1:1">
      <c r="A1286" s="256"/>
    </row>
    <row r="1287" spans="1:1">
      <c r="A1287" s="256"/>
    </row>
    <row r="1288" spans="1:1">
      <c r="A1288" s="256"/>
    </row>
    <row r="1289" spans="1:1">
      <c r="A1289" s="256"/>
    </row>
    <row r="1290" spans="1:1">
      <c r="A1290" s="256"/>
    </row>
    <row r="1291" spans="1:1">
      <c r="A1291" s="256"/>
    </row>
    <row r="1292" spans="1:1">
      <c r="A1292" s="256"/>
    </row>
    <row r="1293" spans="1:1">
      <c r="A1293" s="256"/>
    </row>
    <row r="1294" spans="1:1">
      <c r="A1294" s="256"/>
    </row>
    <row r="1295" spans="1:1">
      <c r="A1295" s="256"/>
    </row>
    <row r="1296" spans="1:1">
      <c r="A1296" s="256"/>
    </row>
    <row r="1297" spans="1:1">
      <c r="A1297" s="256"/>
    </row>
    <row r="1298" spans="1:1">
      <c r="A1298" s="256"/>
    </row>
    <row r="1299" spans="1:1">
      <c r="A1299" s="256"/>
    </row>
    <row r="1300" spans="1:1">
      <c r="A1300" s="256"/>
    </row>
    <row r="1301" spans="1:1">
      <c r="A1301" s="256"/>
    </row>
    <row r="1302" spans="1:1">
      <c r="A1302" s="256"/>
    </row>
    <row r="1303" spans="1:1">
      <c r="A1303" s="256"/>
    </row>
    <row r="1304" spans="1:1">
      <c r="A1304" s="256"/>
    </row>
    <row r="1305" spans="1:1">
      <c r="A1305" s="256"/>
    </row>
    <row r="1306" spans="1:1">
      <c r="A1306" s="256"/>
    </row>
    <row r="1307" spans="1:1">
      <c r="A1307" s="256"/>
    </row>
    <row r="1308" spans="1:1">
      <c r="A1308" s="256"/>
    </row>
    <row r="1309" spans="1:1">
      <c r="A1309" s="256"/>
    </row>
    <row r="1310" spans="1:1">
      <c r="A1310" s="256"/>
    </row>
    <row r="1311" spans="1:1">
      <c r="A1311" s="256"/>
    </row>
    <row r="1312" spans="1:1">
      <c r="A1312" s="256"/>
    </row>
    <row r="1313" spans="1:1">
      <c r="A1313" s="256"/>
    </row>
    <row r="1314" spans="1:1">
      <c r="A1314" s="256"/>
    </row>
    <row r="1315" spans="1:1">
      <c r="A1315" s="256"/>
    </row>
    <row r="1316" spans="1:1">
      <c r="A1316" s="256"/>
    </row>
    <row r="1317" spans="1:1">
      <c r="A1317" s="256"/>
    </row>
    <row r="1318" spans="1:1">
      <c r="A1318" s="256"/>
    </row>
    <row r="1319" spans="1:1">
      <c r="A1319" s="256"/>
    </row>
    <row r="1320" spans="1:1">
      <c r="A1320" s="256"/>
    </row>
    <row r="1321" spans="1:1">
      <c r="A1321" s="256"/>
    </row>
    <row r="1322" spans="1:1">
      <c r="A1322" s="256"/>
    </row>
    <row r="1323" spans="1:1">
      <c r="A1323" s="256"/>
    </row>
    <row r="1324" spans="1:1">
      <c r="A1324" s="256"/>
    </row>
    <row r="1325" spans="1:1">
      <c r="A1325" s="256"/>
    </row>
    <row r="1326" spans="1:1">
      <c r="A1326" s="256"/>
    </row>
    <row r="1327" spans="1:1">
      <c r="A1327" s="256"/>
    </row>
    <row r="1328" spans="1:1">
      <c r="A1328" s="256"/>
    </row>
    <row r="1329" spans="1:1">
      <c r="A1329" s="256"/>
    </row>
    <row r="1330" spans="1:1">
      <c r="A1330" s="256"/>
    </row>
    <row r="1331" spans="1:1">
      <c r="A1331" s="256"/>
    </row>
    <row r="1332" spans="1:1">
      <c r="A1332" s="256"/>
    </row>
    <row r="1333" spans="1:1">
      <c r="A1333" s="256"/>
    </row>
    <row r="1334" spans="1:1">
      <c r="A1334" s="256"/>
    </row>
    <row r="1335" spans="1:1">
      <c r="A1335" s="256"/>
    </row>
    <row r="1336" spans="1:1">
      <c r="A1336" s="256"/>
    </row>
    <row r="1337" spans="1:1">
      <c r="A1337" s="256"/>
    </row>
    <row r="1338" spans="1:1">
      <c r="A1338" s="256"/>
    </row>
    <row r="1339" spans="1:1">
      <c r="A1339" s="256"/>
    </row>
    <row r="1340" spans="1:1">
      <c r="A1340" s="256"/>
    </row>
    <row r="1341" spans="1:1">
      <c r="A1341" s="256"/>
    </row>
    <row r="1342" spans="1:1">
      <c r="A1342" s="256"/>
    </row>
    <row r="1343" spans="1:1">
      <c r="A1343" s="256"/>
    </row>
    <row r="1344" spans="1:1">
      <c r="A1344" s="256"/>
    </row>
    <row r="1345" spans="1:1">
      <c r="A1345" s="256"/>
    </row>
    <row r="1346" spans="1:1">
      <c r="A1346" s="256"/>
    </row>
    <row r="1347" spans="1:1">
      <c r="A1347" s="256"/>
    </row>
    <row r="1348" spans="1:1">
      <c r="A1348" s="256"/>
    </row>
    <row r="1349" spans="1:1">
      <c r="A1349" s="256"/>
    </row>
    <row r="1350" spans="1:1">
      <c r="A1350" s="256"/>
    </row>
    <row r="1351" spans="1:1">
      <c r="A1351" s="256"/>
    </row>
    <row r="1352" spans="1:1">
      <c r="A1352" s="256"/>
    </row>
    <row r="1353" spans="1:1">
      <c r="A1353" s="256"/>
    </row>
    <row r="1354" spans="1:1">
      <c r="A1354" s="256"/>
    </row>
    <row r="1355" spans="1:1">
      <c r="A1355" s="256"/>
    </row>
    <row r="1356" spans="1:1">
      <c r="A1356" s="256"/>
    </row>
    <row r="1357" spans="1:1">
      <c r="A1357" s="256"/>
    </row>
    <row r="1358" spans="1:1">
      <c r="A1358" s="256"/>
    </row>
    <row r="1359" spans="1:1">
      <c r="A1359" s="256"/>
    </row>
    <row r="1360" spans="1:1">
      <c r="A1360" s="256"/>
    </row>
    <row r="1361" spans="1:1">
      <c r="A1361" s="256"/>
    </row>
    <row r="1362" spans="1:1">
      <c r="A1362" s="256"/>
    </row>
    <row r="1363" spans="1:1">
      <c r="A1363" s="256"/>
    </row>
    <row r="1364" spans="1:1">
      <c r="A1364" s="256"/>
    </row>
    <row r="1365" spans="1:1">
      <c r="A1365" s="256"/>
    </row>
    <row r="1366" spans="1:1">
      <c r="A1366" s="256"/>
    </row>
    <row r="1367" spans="1:1">
      <c r="A1367" s="256"/>
    </row>
    <row r="1368" spans="1:1">
      <c r="A1368" s="256"/>
    </row>
    <row r="1369" spans="1:1">
      <c r="A1369" s="256"/>
    </row>
    <row r="1370" spans="1:1">
      <c r="A1370" s="256"/>
    </row>
    <row r="1371" spans="1:1">
      <c r="A1371" s="256"/>
    </row>
    <row r="1372" spans="1:1">
      <c r="A1372" s="256"/>
    </row>
    <row r="1373" spans="1:1">
      <c r="A1373" s="256"/>
    </row>
    <row r="1374" spans="1:1">
      <c r="A1374" s="256"/>
    </row>
    <row r="1375" spans="1:1">
      <c r="A1375" s="256"/>
    </row>
    <row r="1376" spans="1:1">
      <c r="A1376" s="256"/>
    </row>
    <row r="1377" spans="1:1">
      <c r="A1377" s="256"/>
    </row>
    <row r="1378" spans="1:1">
      <c r="A1378" s="256"/>
    </row>
    <row r="1379" spans="1:1">
      <c r="A1379" s="256"/>
    </row>
    <row r="1380" spans="1:1">
      <c r="A1380" s="256"/>
    </row>
    <row r="1381" spans="1:1">
      <c r="A1381" s="256"/>
    </row>
    <row r="1382" spans="1:1">
      <c r="A1382" s="256"/>
    </row>
    <row r="1383" spans="1:1">
      <c r="A1383" s="256"/>
    </row>
    <row r="1384" spans="1:1">
      <c r="A1384" s="256"/>
    </row>
    <row r="1385" spans="1:1">
      <c r="A1385" s="256"/>
    </row>
    <row r="1386" spans="1:1">
      <c r="A1386" s="256"/>
    </row>
    <row r="1387" spans="1:1">
      <c r="A1387" s="256"/>
    </row>
    <row r="1388" spans="1:1">
      <c r="A1388" s="256"/>
    </row>
    <row r="1389" spans="1:1">
      <c r="A1389" s="256"/>
    </row>
    <row r="1390" spans="1:1">
      <c r="A1390" s="256"/>
    </row>
    <row r="1391" spans="1:1">
      <c r="A1391" s="256"/>
    </row>
    <row r="1392" spans="1:1">
      <c r="A1392" s="256"/>
    </row>
    <row r="1393" spans="1:1">
      <c r="A1393" s="256"/>
    </row>
    <row r="1394" spans="1:1">
      <c r="A1394" s="256"/>
    </row>
    <row r="1395" spans="1:1">
      <c r="A1395" s="256"/>
    </row>
    <row r="1396" spans="1:1">
      <c r="A1396" s="256"/>
    </row>
    <row r="1397" spans="1:1">
      <c r="A1397" s="256"/>
    </row>
    <row r="1398" spans="1:1">
      <c r="A1398" s="256"/>
    </row>
    <row r="1399" spans="1:1">
      <c r="A1399" s="256"/>
    </row>
    <row r="1400" spans="1:1">
      <c r="A1400" s="256"/>
    </row>
    <row r="1401" spans="1:1">
      <c r="A1401" s="256"/>
    </row>
    <row r="1402" spans="1:1">
      <c r="A1402" s="256"/>
    </row>
    <row r="1403" spans="1:1">
      <c r="A1403" s="256"/>
    </row>
    <row r="1404" spans="1:1">
      <c r="A1404" s="256"/>
    </row>
    <row r="1405" spans="1:1">
      <c r="A1405" s="256"/>
    </row>
    <row r="1406" spans="1:1">
      <c r="A1406" s="256"/>
    </row>
    <row r="1407" spans="1:1">
      <c r="A1407" s="256"/>
    </row>
    <row r="1408" spans="1:1">
      <c r="A1408" s="256"/>
    </row>
    <row r="1409" spans="1:1">
      <c r="A1409" s="256"/>
    </row>
    <row r="1410" spans="1:1">
      <c r="A1410" s="256"/>
    </row>
    <row r="1411" spans="1:1">
      <c r="A1411" s="256"/>
    </row>
    <row r="1412" spans="1:1">
      <c r="A1412" s="256"/>
    </row>
    <row r="1413" spans="1:1">
      <c r="A1413" s="256"/>
    </row>
    <row r="1414" spans="1:1">
      <c r="A1414" s="256"/>
    </row>
    <row r="1415" spans="1:1">
      <c r="A1415" s="256"/>
    </row>
    <row r="1416" spans="1:1">
      <c r="A1416" s="256"/>
    </row>
    <row r="1417" spans="1:1">
      <c r="A1417" s="256"/>
    </row>
    <row r="1418" spans="1:1">
      <c r="A1418" s="256"/>
    </row>
    <row r="1419" spans="1:1">
      <c r="A1419" s="256"/>
    </row>
    <row r="1420" spans="1:1">
      <c r="A1420" s="256"/>
    </row>
    <row r="1421" spans="1:1">
      <c r="A1421" s="256"/>
    </row>
    <row r="1422" spans="1:1">
      <c r="A1422" s="256"/>
    </row>
    <row r="1423" spans="1:1">
      <c r="A1423" s="256"/>
    </row>
    <row r="1424" spans="1:1">
      <c r="A1424" s="256"/>
    </row>
    <row r="1425" spans="1:1">
      <c r="A1425" s="256"/>
    </row>
    <row r="1426" spans="1:1">
      <c r="A1426" s="256"/>
    </row>
    <row r="1427" spans="1:1">
      <c r="A1427" s="256"/>
    </row>
    <row r="1428" spans="1:1">
      <c r="A1428" s="256"/>
    </row>
    <row r="1429" spans="1:1">
      <c r="A1429" s="256"/>
    </row>
    <row r="1430" spans="1:1">
      <c r="A1430" s="256"/>
    </row>
    <row r="1431" spans="1:1">
      <c r="A1431" s="256"/>
    </row>
    <row r="1432" spans="1:1">
      <c r="A1432" s="256"/>
    </row>
    <row r="1433" spans="1:1">
      <c r="A1433" s="256"/>
    </row>
    <row r="1434" spans="1:1">
      <c r="A1434" s="256"/>
    </row>
    <row r="1435" spans="1:1">
      <c r="A1435" s="256"/>
    </row>
    <row r="1436" spans="1:1">
      <c r="A1436" s="256"/>
    </row>
    <row r="1437" spans="1:1">
      <c r="A1437" s="256"/>
    </row>
    <row r="1438" spans="1:1">
      <c r="A1438" s="256"/>
    </row>
    <row r="1439" spans="1:1">
      <c r="A1439" s="256"/>
    </row>
    <row r="1440" spans="1:1">
      <c r="A1440" s="256"/>
    </row>
    <row r="1441" spans="1:1">
      <c r="A1441" s="256"/>
    </row>
    <row r="1442" spans="1:1">
      <c r="A1442" s="256"/>
    </row>
    <row r="1443" spans="1:1">
      <c r="A1443" s="256"/>
    </row>
    <row r="1444" spans="1:1">
      <c r="A1444" s="256"/>
    </row>
    <row r="1445" spans="1:1">
      <c r="A1445" s="256"/>
    </row>
    <row r="1446" spans="1:1">
      <c r="A1446" s="256"/>
    </row>
    <row r="1447" spans="1:1">
      <c r="A1447" s="256"/>
    </row>
    <row r="1448" spans="1:1">
      <c r="A1448" s="256"/>
    </row>
    <row r="1449" spans="1:1">
      <c r="A1449" s="256"/>
    </row>
    <row r="1450" spans="1:1">
      <c r="A1450" s="256"/>
    </row>
    <row r="1451" spans="1:1">
      <c r="A1451" s="256"/>
    </row>
    <row r="1452" spans="1:1">
      <c r="A1452" s="256"/>
    </row>
    <row r="1453" spans="1:1">
      <c r="A1453" s="256"/>
    </row>
    <row r="1454" spans="1:1">
      <c r="A1454" s="256"/>
    </row>
    <row r="1455" spans="1:1">
      <c r="A1455" s="256"/>
    </row>
    <row r="1456" spans="1:1">
      <c r="A1456" s="256"/>
    </row>
    <row r="1457" spans="1:1">
      <c r="A1457" s="256"/>
    </row>
    <row r="1458" spans="1:1">
      <c r="A1458" s="256"/>
    </row>
    <row r="1459" spans="1:1">
      <c r="A1459" s="256"/>
    </row>
    <row r="1460" spans="1:1">
      <c r="A1460" s="256"/>
    </row>
    <row r="1461" spans="1:1">
      <c r="A1461" s="256"/>
    </row>
    <row r="1462" spans="1:1">
      <c r="A1462" s="256"/>
    </row>
    <row r="1463" spans="1:1">
      <c r="A1463" s="256"/>
    </row>
    <row r="1464" spans="1:1">
      <c r="A1464" s="256"/>
    </row>
    <row r="1465" spans="1:1">
      <c r="A1465" s="256"/>
    </row>
    <row r="1466" spans="1:1">
      <c r="A1466" s="256"/>
    </row>
    <row r="1467" spans="1:1">
      <c r="A1467" s="256"/>
    </row>
    <row r="1468" spans="1:1">
      <c r="A1468" s="256"/>
    </row>
    <row r="1469" spans="1:1">
      <c r="A1469" s="256"/>
    </row>
    <row r="1470" spans="1:1">
      <c r="A1470" s="256"/>
    </row>
    <row r="1471" spans="1:1">
      <c r="A1471" s="256"/>
    </row>
    <row r="1472" spans="1:1">
      <c r="A1472" s="256"/>
    </row>
    <row r="1473" spans="1:1">
      <c r="A1473" s="256"/>
    </row>
    <row r="1474" spans="1:1">
      <c r="A1474" s="256"/>
    </row>
    <row r="1475" spans="1:1">
      <c r="A1475" s="256"/>
    </row>
    <row r="1476" spans="1:1">
      <c r="A1476" s="256"/>
    </row>
    <row r="1477" spans="1:1">
      <c r="A1477" s="256"/>
    </row>
    <row r="1478" spans="1:1">
      <c r="A1478" s="256"/>
    </row>
    <row r="1479" spans="1:1">
      <c r="A1479" s="256"/>
    </row>
    <row r="1480" spans="1:1">
      <c r="A1480" s="256"/>
    </row>
    <row r="1481" spans="1:1">
      <c r="A1481" s="256"/>
    </row>
    <row r="1482" spans="1:1">
      <c r="A1482" s="256"/>
    </row>
    <row r="1483" spans="1:1">
      <c r="A1483" s="256"/>
    </row>
    <row r="1484" spans="1:1">
      <c r="A1484" s="256"/>
    </row>
    <row r="1485" spans="1:1">
      <c r="A1485" s="256"/>
    </row>
    <row r="1486" spans="1:1">
      <c r="A1486" s="256"/>
    </row>
    <row r="1487" spans="1:1">
      <c r="A1487" s="256"/>
    </row>
    <row r="1488" spans="1:1">
      <c r="A1488" s="256"/>
    </row>
    <row r="1489" spans="1:1">
      <c r="A1489" s="256"/>
    </row>
    <row r="1490" spans="1:1">
      <c r="A1490" s="256"/>
    </row>
    <row r="1491" spans="1:1">
      <c r="A1491" s="256"/>
    </row>
    <row r="1492" spans="1:1">
      <c r="A1492" s="256"/>
    </row>
    <row r="1493" spans="1:1">
      <c r="A1493" s="256"/>
    </row>
    <row r="1494" spans="1:1">
      <c r="A1494" s="256"/>
    </row>
    <row r="1495" spans="1:1">
      <c r="A1495" s="256"/>
    </row>
    <row r="1496" spans="1:1">
      <c r="A1496" s="256"/>
    </row>
    <row r="1497" spans="1:1">
      <c r="A1497" s="256"/>
    </row>
    <row r="1498" spans="1:1">
      <c r="A1498" s="256"/>
    </row>
    <row r="1499" spans="1:1">
      <c r="A1499" s="256"/>
    </row>
    <row r="1500" spans="1:1">
      <c r="A1500" s="256"/>
    </row>
    <row r="1501" spans="1:1">
      <c r="A1501" s="256"/>
    </row>
    <row r="1502" spans="1:1">
      <c r="A1502" s="256"/>
    </row>
    <row r="1503" spans="1:1">
      <c r="A1503" s="256"/>
    </row>
    <row r="1504" spans="1:1">
      <c r="A1504" s="256"/>
    </row>
    <row r="1505" spans="1:1">
      <c r="A1505" s="256"/>
    </row>
    <row r="1506" spans="1:1">
      <c r="A1506" s="256"/>
    </row>
    <row r="1507" spans="1:1">
      <c r="A1507" s="256"/>
    </row>
    <row r="1508" spans="1:1">
      <c r="A1508" s="256"/>
    </row>
    <row r="1509" spans="1:1">
      <c r="A1509" s="256"/>
    </row>
    <row r="1510" spans="1:1">
      <c r="A1510" s="256"/>
    </row>
    <row r="1511" spans="1:1">
      <c r="A1511" s="256"/>
    </row>
    <row r="1512" spans="1:1">
      <c r="A1512" s="256"/>
    </row>
    <row r="1513" spans="1:1">
      <c r="A1513" s="256"/>
    </row>
    <row r="1514" spans="1:1">
      <c r="A1514" s="256"/>
    </row>
    <row r="1515" spans="1:1">
      <c r="A1515" s="256"/>
    </row>
    <row r="1516" spans="1:1">
      <c r="A1516" s="256"/>
    </row>
    <row r="1517" spans="1:1">
      <c r="A1517" s="256"/>
    </row>
    <row r="1518" spans="1:1">
      <c r="A1518" s="256"/>
    </row>
    <row r="1519" spans="1:1">
      <c r="A1519" s="256"/>
    </row>
    <row r="1520" spans="1:1">
      <c r="A1520" s="256"/>
    </row>
    <row r="1521" spans="1:1">
      <c r="A1521" s="256"/>
    </row>
    <row r="1522" spans="1:1">
      <c r="A1522" s="256"/>
    </row>
    <row r="1523" spans="1:1">
      <c r="A1523" s="256"/>
    </row>
    <row r="1524" spans="1:1">
      <c r="A1524" s="256"/>
    </row>
    <row r="1525" spans="1:1">
      <c r="A1525" s="256"/>
    </row>
    <row r="1526" spans="1:1">
      <c r="A1526" s="256"/>
    </row>
    <row r="1527" spans="1:1">
      <c r="A1527" s="256"/>
    </row>
    <row r="1528" spans="1:1">
      <c r="A1528" s="256"/>
    </row>
    <row r="1529" spans="1:1">
      <c r="A1529" s="256"/>
    </row>
    <row r="1530" spans="1:1">
      <c r="A1530" s="256"/>
    </row>
    <row r="1531" spans="1:1">
      <c r="A1531" s="256"/>
    </row>
    <row r="1532" spans="1:1">
      <c r="A1532" s="256"/>
    </row>
    <row r="1533" spans="1:1">
      <c r="A1533" s="256"/>
    </row>
    <row r="1534" spans="1:1">
      <c r="A1534" s="256"/>
    </row>
    <row r="1535" spans="1:1">
      <c r="A1535" s="256"/>
    </row>
    <row r="1536" spans="1:1">
      <c r="A1536" s="256"/>
    </row>
    <row r="1537" spans="1:1">
      <c r="A1537" s="256"/>
    </row>
    <row r="1538" spans="1:1">
      <c r="A1538" s="256"/>
    </row>
    <row r="1539" spans="1:1">
      <c r="A1539" s="256"/>
    </row>
    <row r="1540" spans="1:1">
      <c r="A1540" s="256"/>
    </row>
    <row r="1541" spans="1:1">
      <c r="A1541" s="256"/>
    </row>
    <row r="1542" spans="1:1">
      <c r="A1542" s="256"/>
    </row>
    <row r="1543" spans="1:1">
      <c r="A1543" s="256"/>
    </row>
    <row r="1544" spans="1:1">
      <c r="A1544" s="256"/>
    </row>
    <row r="1545" spans="1:1">
      <c r="A1545" s="256"/>
    </row>
    <row r="1546" spans="1:1">
      <c r="A1546" s="256"/>
    </row>
    <row r="1547" spans="1:1">
      <c r="A1547" s="256"/>
    </row>
    <row r="1548" spans="1:1">
      <c r="A1548" s="256"/>
    </row>
    <row r="1549" spans="1:1">
      <c r="A1549" s="256"/>
    </row>
    <row r="1550" spans="1:1">
      <c r="A1550" s="256"/>
    </row>
    <row r="1551" spans="1:1">
      <c r="A1551" s="256"/>
    </row>
    <row r="1552" spans="1:1">
      <c r="A1552" s="256"/>
    </row>
    <row r="1553" spans="1:1">
      <c r="A1553" s="256"/>
    </row>
    <row r="1554" spans="1:1">
      <c r="A1554" s="256"/>
    </row>
    <row r="1555" spans="1:1">
      <c r="A1555" s="256"/>
    </row>
    <row r="1556" spans="1:1">
      <c r="A1556" s="256"/>
    </row>
    <row r="1557" spans="1:1">
      <c r="A1557" s="256"/>
    </row>
    <row r="1558" spans="1:1">
      <c r="A1558" s="256"/>
    </row>
    <row r="1559" spans="1:1">
      <c r="A1559" s="256"/>
    </row>
    <row r="1560" spans="1:1">
      <c r="A1560" s="256"/>
    </row>
    <row r="1561" spans="1:1">
      <c r="A1561" s="256"/>
    </row>
    <row r="1562" spans="1:1">
      <c r="A1562" s="256"/>
    </row>
    <row r="1563" spans="1:1">
      <c r="A1563" s="256"/>
    </row>
    <row r="1564" spans="1:1">
      <c r="A1564" s="256"/>
    </row>
    <row r="1565" spans="1:1">
      <c r="A1565" s="256"/>
    </row>
    <row r="1566" spans="1:1">
      <c r="A1566" s="256"/>
    </row>
    <row r="1567" spans="1:1">
      <c r="A1567" s="256"/>
    </row>
    <row r="1568" spans="1:1">
      <c r="A1568" s="256"/>
    </row>
    <row r="1569" spans="1:1">
      <c r="A1569" s="256"/>
    </row>
    <row r="1570" spans="1:1">
      <c r="A1570" s="256"/>
    </row>
    <row r="1571" spans="1:1">
      <c r="A1571" s="256"/>
    </row>
    <row r="1572" spans="1:1">
      <c r="A1572" s="256"/>
    </row>
    <row r="1573" spans="1:1">
      <c r="A1573" s="256"/>
    </row>
    <row r="1574" spans="1:1">
      <c r="A1574" s="256"/>
    </row>
    <row r="1575" spans="1:1">
      <c r="A1575" s="256"/>
    </row>
    <row r="1576" spans="1:1">
      <c r="A1576" s="256"/>
    </row>
    <row r="1577" spans="1:1">
      <c r="A1577" s="256"/>
    </row>
    <row r="1578" spans="1:1">
      <c r="A1578" s="256"/>
    </row>
    <row r="1579" spans="1:1">
      <c r="A1579" s="256"/>
    </row>
    <row r="1580" spans="1:1">
      <c r="A1580" s="256"/>
    </row>
    <row r="1581" spans="1:1">
      <c r="A1581" s="256"/>
    </row>
    <row r="1582" spans="1:1">
      <c r="A1582" s="256"/>
    </row>
    <row r="1583" spans="1:1">
      <c r="A1583" s="256"/>
    </row>
    <row r="1584" spans="1:1">
      <c r="A1584" s="256"/>
    </row>
    <row r="1585" spans="1:1">
      <c r="A1585" s="256"/>
    </row>
    <row r="1586" spans="1:1">
      <c r="A1586" s="256"/>
    </row>
    <row r="1587" spans="1:1">
      <c r="A1587" s="256"/>
    </row>
    <row r="1588" spans="1:1">
      <c r="A1588" s="256"/>
    </row>
    <row r="1589" spans="1:1">
      <c r="A1589" s="256"/>
    </row>
    <row r="1590" spans="1:1">
      <c r="A1590" s="256"/>
    </row>
    <row r="1591" spans="1:1">
      <c r="A1591" s="256"/>
    </row>
    <row r="1592" spans="1:1">
      <c r="A1592" s="256"/>
    </row>
    <row r="1593" spans="1:1">
      <c r="A1593" s="256"/>
    </row>
    <row r="1594" spans="1:1">
      <c r="A1594" s="256"/>
    </row>
    <row r="1595" spans="1:1">
      <c r="A1595" s="256"/>
    </row>
    <row r="1596" spans="1:1">
      <c r="A1596" s="256"/>
    </row>
    <row r="1597" spans="1:1">
      <c r="A1597" s="256"/>
    </row>
    <row r="1598" spans="1:1">
      <c r="A1598" s="256"/>
    </row>
    <row r="1599" spans="1:1">
      <c r="A1599" s="256"/>
    </row>
    <row r="1600" spans="1:1">
      <c r="A1600" s="256"/>
    </row>
    <row r="1601" spans="1:1">
      <c r="A1601" s="256"/>
    </row>
    <row r="1602" spans="1:1">
      <c r="A1602" s="256"/>
    </row>
    <row r="1603" spans="1:1">
      <c r="A1603" s="256"/>
    </row>
    <row r="1604" spans="1:1">
      <c r="A1604" s="256"/>
    </row>
    <row r="1605" spans="1:1">
      <c r="A1605" s="256"/>
    </row>
    <row r="1606" spans="1:1">
      <c r="A1606" s="256"/>
    </row>
    <row r="1607" spans="1:1">
      <c r="A1607" s="256"/>
    </row>
    <row r="1608" spans="1:1">
      <c r="A1608" s="256"/>
    </row>
    <row r="1609" spans="1:1">
      <c r="A1609" s="256"/>
    </row>
    <row r="1610" spans="1:1">
      <c r="A1610" s="256"/>
    </row>
    <row r="1611" spans="1:1">
      <c r="A1611" s="256"/>
    </row>
    <row r="1612" spans="1:1">
      <c r="A1612" s="256"/>
    </row>
    <row r="1613" spans="1:1">
      <c r="A1613" s="256"/>
    </row>
    <row r="1614" spans="1:1">
      <c r="A1614" s="256"/>
    </row>
    <row r="1615" spans="1:1">
      <c r="A1615" s="256"/>
    </row>
    <row r="1616" spans="1:1">
      <c r="A1616" s="256"/>
    </row>
    <row r="1617" spans="1:1">
      <c r="A1617" s="256"/>
    </row>
    <row r="1618" spans="1:1">
      <c r="A1618" s="256"/>
    </row>
    <row r="1619" spans="1:1">
      <c r="A1619" s="256"/>
    </row>
    <row r="1620" spans="1:1">
      <c r="A1620" s="256"/>
    </row>
    <row r="1621" spans="1:1">
      <c r="A1621" s="256"/>
    </row>
    <row r="1622" spans="1:1">
      <c r="A1622" s="256"/>
    </row>
    <row r="1623" spans="1:1">
      <c r="A1623" s="256"/>
    </row>
    <row r="1624" spans="1:1">
      <c r="A1624" s="256"/>
    </row>
    <row r="1625" spans="1:1">
      <c r="A1625" s="256"/>
    </row>
    <row r="1626" spans="1:1">
      <c r="A1626" s="256"/>
    </row>
    <row r="1627" spans="1:1">
      <c r="A1627" s="256"/>
    </row>
    <row r="1628" spans="1:1">
      <c r="A1628" s="256"/>
    </row>
    <row r="1629" spans="1:1">
      <c r="A1629" s="256"/>
    </row>
    <row r="1630" spans="1:1">
      <c r="A1630" s="256"/>
    </row>
    <row r="1631" spans="1:1">
      <c r="A1631" s="256"/>
    </row>
    <row r="1632" spans="1:1">
      <c r="A1632" s="256"/>
    </row>
    <row r="1633" spans="1:1">
      <c r="A1633" s="256"/>
    </row>
    <row r="1634" spans="1:1">
      <c r="A1634" s="256"/>
    </row>
    <row r="1635" spans="1:1">
      <c r="A1635" s="256"/>
    </row>
    <row r="1636" spans="1:1">
      <c r="A1636" s="256"/>
    </row>
    <row r="1637" spans="1:1">
      <c r="A1637" s="256"/>
    </row>
    <row r="1638" spans="1:1">
      <c r="A1638" s="256"/>
    </row>
    <row r="1639" spans="1:1">
      <c r="A1639" s="256"/>
    </row>
    <row r="1640" spans="1:1">
      <c r="A1640" s="256"/>
    </row>
    <row r="1641" spans="1:1">
      <c r="A1641" s="256"/>
    </row>
    <row r="1642" spans="1:1">
      <c r="A1642" s="256"/>
    </row>
    <row r="1643" spans="1:1">
      <c r="A1643" s="256"/>
    </row>
    <row r="1644" spans="1:1">
      <c r="A1644" s="256"/>
    </row>
    <row r="1645" spans="1:1">
      <c r="A1645" s="256"/>
    </row>
    <row r="1646" spans="1:1">
      <c r="A1646" s="256"/>
    </row>
    <row r="1647" spans="1:1">
      <c r="A1647" s="256"/>
    </row>
    <row r="1648" spans="1:1">
      <c r="A1648" s="256"/>
    </row>
    <row r="1649" spans="1:1">
      <c r="A1649" s="256"/>
    </row>
    <row r="1650" spans="1:1">
      <c r="A1650" s="256"/>
    </row>
    <row r="1651" spans="1:1">
      <c r="A1651" s="256"/>
    </row>
    <row r="1652" spans="1:1">
      <c r="A1652" s="256"/>
    </row>
    <row r="1653" spans="1:1">
      <c r="A1653" s="256"/>
    </row>
    <row r="1654" spans="1:1">
      <c r="A1654" s="256"/>
    </row>
    <row r="1655" spans="1:1">
      <c r="A1655" s="256"/>
    </row>
    <row r="1656" spans="1:1">
      <c r="A1656" s="256"/>
    </row>
    <row r="1657" spans="1:1">
      <c r="A1657" s="256"/>
    </row>
    <row r="1658" spans="1:1">
      <c r="A1658" s="256"/>
    </row>
    <row r="1659" spans="1:1">
      <c r="A1659" s="256"/>
    </row>
    <row r="1660" spans="1:1">
      <c r="A1660" s="256"/>
    </row>
    <row r="1661" spans="1:1">
      <c r="A1661" s="256"/>
    </row>
    <row r="1662" spans="1:1">
      <c r="A1662" s="256"/>
    </row>
    <row r="1663" spans="1:1">
      <c r="A1663" s="256"/>
    </row>
    <row r="1664" spans="1:1">
      <c r="A1664" s="256"/>
    </row>
    <row r="1665" spans="1:1">
      <c r="A1665" s="256"/>
    </row>
    <row r="1666" spans="1:1">
      <c r="A1666" s="256"/>
    </row>
    <row r="1667" spans="1:1">
      <c r="A1667" s="256"/>
    </row>
    <row r="1668" spans="1:1">
      <c r="A1668" s="256"/>
    </row>
    <row r="1669" spans="1:1">
      <c r="A1669" s="256"/>
    </row>
    <row r="1670" spans="1:1">
      <c r="A1670" s="256"/>
    </row>
    <row r="1671" spans="1:1">
      <c r="A1671" s="256"/>
    </row>
    <row r="1672" spans="1:1">
      <c r="A1672" s="256"/>
    </row>
    <row r="1673" spans="1:1">
      <c r="A1673" s="256"/>
    </row>
    <row r="1674" spans="1:1">
      <c r="A1674" s="256"/>
    </row>
    <row r="1675" spans="1:1">
      <c r="A1675" s="256"/>
    </row>
    <row r="1676" spans="1:1">
      <c r="A1676" s="256"/>
    </row>
    <row r="1677" spans="1:1">
      <c r="A1677" s="256"/>
    </row>
    <row r="1678" spans="1:1">
      <c r="A1678" s="256"/>
    </row>
    <row r="1679" spans="1:1">
      <c r="A1679" s="256"/>
    </row>
    <row r="1680" spans="1:1">
      <c r="A1680" s="256"/>
    </row>
    <row r="1681" spans="1:1">
      <c r="A1681" s="256"/>
    </row>
    <row r="1682" spans="1:1">
      <c r="A1682" s="256"/>
    </row>
    <row r="1683" spans="1:1">
      <c r="A1683" s="256"/>
    </row>
    <row r="1684" spans="1:1">
      <c r="A1684" s="256"/>
    </row>
    <row r="1685" spans="1:1">
      <c r="A1685" s="256"/>
    </row>
    <row r="1686" spans="1:1">
      <c r="A1686" s="256"/>
    </row>
    <row r="1687" spans="1:1">
      <c r="A1687" s="256"/>
    </row>
    <row r="1688" spans="1:1">
      <c r="A1688" s="256"/>
    </row>
    <row r="1689" spans="1:1">
      <c r="A1689" s="256"/>
    </row>
    <row r="1690" spans="1:1">
      <c r="A1690" s="256"/>
    </row>
    <row r="1691" spans="1:1">
      <c r="A1691" s="256"/>
    </row>
    <row r="1692" spans="1:1">
      <c r="A1692" s="256"/>
    </row>
    <row r="1693" spans="1:1">
      <c r="A1693" s="256"/>
    </row>
    <row r="1694" spans="1:1">
      <c r="A1694" s="256"/>
    </row>
    <row r="1695" spans="1:1">
      <c r="A1695" s="256"/>
    </row>
    <row r="1696" spans="1:1">
      <c r="A1696" s="256"/>
    </row>
    <row r="1697" spans="1:1">
      <c r="A1697" s="256"/>
    </row>
    <row r="1698" spans="1:1">
      <c r="A1698" s="256"/>
    </row>
    <row r="1699" spans="1:1">
      <c r="A1699" s="256"/>
    </row>
    <row r="1700" spans="1:1">
      <c r="A1700" s="256"/>
    </row>
    <row r="1701" spans="1:1">
      <c r="A1701" s="256"/>
    </row>
    <row r="1702" spans="1:1">
      <c r="A1702" s="256"/>
    </row>
    <row r="1703" spans="1:1">
      <c r="A1703" s="256"/>
    </row>
    <row r="1704" spans="1:1">
      <c r="A1704" s="256"/>
    </row>
    <row r="1705" spans="1:1">
      <c r="A1705" s="256"/>
    </row>
    <row r="1706" spans="1:1">
      <c r="A1706" s="256"/>
    </row>
    <row r="1707" spans="1:1">
      <c r="A1707" s="256"/>
    </row>
    <row r="1708" spans="1:1">
      <c r="A1708" s="256"/>
    </row>
    <row r="1709" spans="1:1">
      <c r="A1709" s="256"/>
    </row>
    <row r="1710" spans="1:1">
      <c r="A1710" s="256"/>
    </row>
    <row r="1711" spans="1:1">
      <c r="A1711" s="256"/>
    </row>
    <row r="1712" spans="1:1">
      <c r="A1712" s="256"/>
    </row>
    <row r="1713" spans="1:1">
      <c r="A1713" s="256"/>
    </row>
    <row r="1714" spans="1:1">
      <c r="A1714" s="256"/>
    </row>
    <row r="1715" spans="1:1">
      <c r="A1715" s="256"/>
    </row>
    <row r="1716" spans="1:1">
      <c r="A1716" s="256"/>
    </row>
    <row r="1717" spans="1:1">
      <c r="A1717" s="256"/>
    </row>
    <row r="1718" spans="1:1">
      <c r="A1718" s="256"/>
    </row>
    <row r="1719" spans="1:1">
      <c r="A1719" s="256"/>
    </row>
    <row r="1720" spans="1:1">
      <c r="A1720" s="256"/>
    </row>
    <row r="1721" spans="1:1">
      <c r="A1721" s="256"/>
    </row>
    <row r="1722" spans="1:1">
      <c r="A1722" s="256"/>
    </row>
    <row r="1723" spans="1:1">
      <c r="A1723" s="256"/>
    </row>
    <row r="1724" spans="1:1">
      <c r="A1724" s="256"/>
    </row>
    <row r="1725" spans="1:1">
      <c r="A1725" s="256"/>
    </row>
    <row r="1726" spans="1:1">
      <c r="A1726" s="256"/>
    </row>
    <row r="1727" spans="1:1">
      <c r="A1727" s="256"/>
    </row>
    <row r="1728" spans="1:1">
      <c r="A1728" s="256"/>
    </row>
    <row r="1729" spans="1:1">
      <c r="A1729" s="256"/>
    </row>
    <row r="1730" spans="1:1">
      <c r="A1730" s="256"/>
    </row>
    <row r="1731" spans="1:1">
      <c r="A1731" s="256"/>
    </row>
    <row r="1732" spans="1:1">
      <c r="A1732" s="256"/>
    </row>
    <row r="1733" spans="1:1">
      <c r="A1733" s="256"/>
    </row>
    <row r="1734" spans="1:1">
      <c r="A1734" s="256"/>
    </row>
    <row r="1735" spans="1:1">
      <c r="A1735" s="256"/>
    </row>
    <row r="1736" spans="1:1">
      <c r="A1736" s="256"/>
    </row>
    <row r="1737" spans="1:1">
      <c r="A1737" s="256"/>
    </row>
    <row r="1738" spans="1:1">
      <c r="A1738" s="256"/>
    </row>
    <row r="1739" spans="1:1">
      <c r="A1739" s="256"/>
    </row>
    <row r="1740" spans="1:1">
      <c r="A1740" s="256"/>
    </row>
    <row r="1741" spans="1:1">
      <c r="A1741" s="256"/>
    </row>
    <row r="1742" spans="1:1">
      <c r="A1742" s="256"/>
    </row>
    <row r="1743" spans="1:1">
      <c r="A1743" s="256"/>
    </row>
    <row r="1744" spans="1:1">
      <c r="A1744" s="256"/>
    </row>
    <row r="1745" spans="1:1">
      <c r="A1745" s="256"/>
    </row>
    <row r="1746" spans="1:1">
      <c r="A1746" s="256"/>
    </row>
    <row r="1747" spans="1:1">
      <c r="A1747" s="256"/>
    </row>
    <row r="1748" spans="1:1">
      <c r="A1748" s="256"/>
    </row>
    <row r="1749" spans="1:1">
      <c r="A1749" s="256"/>
    </row>
    <row r="1750" spans="1:1">
      <c r="A1750" s="256"/>
    </row>
    <row r="1751" spans="1:1">
      <c r="A1751" s="256"/>
    </row>
    <row r="1752" spans="1:1">
      <c r="A1752" s="256"/>
    </row>
    <row r="1753" spans="1:1">
      <c r="A1753" s="256"/>
    </row>
    <row r="1754" spans="1:1">
      <c r="A1754" s="256"/>
    </row>
    <row r="1755" spans="1:1">
      <c r="A1755" s="256"/>
    </row>
    <row r="1756" spans="1:1">
      <c r="A1756" s="256"/>
    </row>
    <row r="1757" spans="1:1">
      <c r="A1757" s="256"/>
    </row>
    <row r="1758" spans="1:1">
      <c r="A1758" s="256"/>
    </row>
    <row r="1759" spans="1:1">
      <c r="A1759" s="256"/>
    </row>
    <row r="1760" spans="1:1">
      <c r="A1760" s="256"/>
    </row>
    <row r="1761" spans="1:1">
      <c r="A1761" s="256"/>
    </row>
    <row r="1762" spans="1:1">
      <c r="A1762" s="256"/>
    </row>
    <row r="1763" spans="1:1">
      <c r="A1763" s="256"/>
    </row>
    <row r="1764" spans="1:1">
      <c r="A1764" s="256"/>
    </row>
    <row r="1765" spans="1:1">
      <c r="A1765" s="256"/>
    </row>
    <row r="1766" spans="1:1">
      <c r="A1766" s="256"/>
    </row>
    <row r="1767" spans="1:1">
      <c r="A1767" s="256"/>
    </row>
    <row r="1768" spans="1:1">
      <c r="A1768" s="256"/>
    </row>
    <row r="1769" spans="1:1">
      <c r="A1769" s="256"/>
    </row>
    <row r="1770" spans="1:1">
      <c r="A1770" s="256"/>
    </row>
    <row r="1771" spans="1:1">
      <c r="A1771" s="256"/>
    </row>
    <row r="1772" spans="1:1">
      <c r="A1772" s="256"/>
    </row>
    <row r="1773" spans="1:1">
      <c r="A1773" s="256"/>
    </row>
    <row r="1774" spans="1:1">
      <c r="A1774" s="256"/>
    </row>
    <row r="1775" spans="1:1">
      <c r="A1775" s="256"/>
    </row>
    <row r="1776" spans="1:1">
      <c r="A1776" s="256"/>
    </row>
    <row r="1777" spans="1:1">
      <c r="A1777" s="256"/>
    </row>
    <row r="1778" spans="1:1">
      <c r="A1778" s="256"/>
    </row>
    <row r="1779" spans="1:1">
      <c r="A1779" s="256"/>
    </row>
    <row r="1780" spans="1:1">
      <c r="A1780" s="256"/>
    </row>
    <row r="1781" spans="1:1">
      <c r="A1781" s="256"/>
    </row>
    <row r="1782" spans="1:1">
      <c r="A1782" s="256"/>
    </row>
    <row r="1783" spans="1:1">
      <c r="A1783" s="256"/>
    </row>
    <row r="1784" spans="1:1">
      <c r="A1784" s="256"/>
    </row>
    <row r="1785" spans="1:1">
      <c r="A1785" s="256"/>
    </row>
    <row r="1786" spans="1:1">
      <c r="A1786" s="256"/>
    </row>
    <row r="1787" spans="1:1">
      <c r="A1787" s="256"/>
    </row>
    <row r="1788" spans="1:1">
      <c r="A1788" s="256"/>
    </row>
    <row r="1789" spans="1:1">
      <c r="A1789" s="256"/>
    </row>
    <row r="1790" spans="1:1">
      <c r="A1790" s="256"/>
    </row>
    <row r="1791" spans="1:1">
      <c r="A1791" s="256"/>
    </row>
    <row r="1792" spans="1:1">
      <c r="A1792" s="256"/>
    </row>
    <row r="1793" spans="1:1">
      <c r="A1793" s="256"/>
    </row>
    <row r="1794" spans="1:1">
      <c r="A1794" s="256"/>
    </row>
    <row r="1795" spans="1:1">
      <c r="A1795" s="256"/>
    </row>
    <row r="1796" spans="1:1">
      <c r="A1796" s="256"/>
    </row>
    <row r="1797" spans="1:1">
      <c r="A1797" s="256"/>
    </row>
    <row r="1798" spans="1:1">
      <c r="A1798" s="256"/>
    </row>
    <row r="1799" spans="1:1">
      <c r="A1799" s="256"/>
    </row>
    <row r="1800" spans="1:1">
      <c r="A1800" s="256"/>
    </row>
    <row r="1801" spans="1:1">
      <c r="A1801" s="256"/>
    </row>
    <row r="1802" spans="1:1">
      <c r="A1802" s="256"/>
    </row>
    <row r="1803" spans="1:1">
      <c r="A1803" s="256"/>
    </row>
    <row r="1804" spans="1:1">
      <c r="A1804" s="256"/>
    </row>
    <row r="1805" spans="1:1">
      <c r="A1805" s="256"/>
    </row>
    <row r="1806" spans="1:1">
      <c r="A1806" s="256"/>
    </row>
    <row r="1807" spans="1:1">
      <c r="A1807" s="256"/>
    </row>
    <row r="1808" spans="1:1">
      <c r="A1808" s="256"/>
    </row>
    <row r="1809" spans="1:1">
      <c r="A1809" s="256"/>
    </row>
    <row r="1810" spans="1:1">
      <c r="A1810" s="256"/>
    </row>
    <row r="1811" spans="1:1">
      <c r="A1811" s="256"/>
    </row>
    <row r="1812" spans="1:1">
      <c r="A1812" s="256"/>
    </row>
    <row r="1813" spans="1:1">
      <c r="A1813" s="256"/>
    </row>
    <row r="1814" spans="1:1">
      <c r="A1814" s="256"/>
    </row>
    <row r="1815" spans="1:1">
      <c r="A1815" s="256"/>
    </row>
    <row r="1816" spans="1:1">
      <c r="A1816" s="256"/>
    </row>
    <row r="1817" spans="1:1">
      <c r="A1817" s="256"/>
    </row>
    <row r="1818" spans="1:1">
      <c r="A1818" s="256"/>
    </row>
    <row r="1819" spans="1:1">
      <c r="A1819" s="256"/>
    </row>
    <row r="1820" spans="1:1">
      <c r="A1820" s="256"/>
    </row>
    <row r="1821" spans="1:1">
      <c r="A1821" s="256"/>
    </row>
    <row r="1822" spans="1:1">
      <c r="A1822" s="256"/>
    </row>
    <row r="1823" spans="1:1">
      <c r="A1823" s="256"/>
    </row>
    <row r="1824" spans="1:1">
      <c r="A1824" s="256"/>
    </row>
    <row r="1825" spans="1:1">
      <c r="A1825" s="256"/>
    </row>
    <row r="1826" spans="1:1">
      <c r="A1826" s="256"/>
    </row>
    <row r="1827" spans="1:1">
      <c r="A1827" s="256"/>
    </row>
    <row r="1828" spans="1:1">
      <c r="A1828" s="256"/>
    </row>
    <row r="1829" spans="1:1">
      <c r="A1829" s="256"/>
    </row>
    <row r="1830" spans="1:1">
      <c r="A1830" s="256"/>
    </row>
    <row r="1831" spans="1:1">
      <c r="A1831" s="256"/>
    </row>
    <row r="1832" spans="1:1">
      <c r="A1832" s="256"/>
    </row>
    <row r="1833" spans="1:1">
      <c r="A1833" s="256"/>
    </row>
    <row r="1834" spans="1:1">
      <c r="A1834" s="256"/>
    </row>
    <row r="1835" spans="1:1">
      <c r="A1835" s="256"/>
    </row>
    <row r="1836" spans="1:1">
      <c r="A1836" s="256"/>
    </row>
    <row r="1837" spans="1:1">
      <c r="A1837" s="256"/>
    </row>
    <row r="1838" spans="1:1">
      <c r="A1838" s="256"/>
    </row>
    <row r="1839" spans="1:1">
      <c r="A1839" s="256"/>
    </row>
    <row r="1840" spans="1:1">
      <c r="A1840" s="256"/>
    </row>
    <row r="1841" spans="1:1">
      <c r="A1841" s="256"/>
    </row>
    <row r="1842" spans="1:1">
      <c r="A1842" s="256"/>
    </row>
    <row r="1843" spans="1:1">
      <c r="A1843" s="256"/>
    </row>
    <row r="1844" spans="1:1">
      <c r="A1844" s="256"/>
    </row>
    <row r="1845" spans="1:1">
      <c r="A1845" s="256"/>
    </row>
    <row r="1846" spans="1:1">
      <c r="A1846" s="256"/>
    </row>
    <row r="1847" spans="1:1">
      <c r="A1847" s="256"/>
    </row>
    <row r="1848" spans="1:1">
      <c r="A1848" s="256"/>
    </row>
    <row r="1849" spans="1:1">
      <c r="A1849" s="256"/>
    </row>
    <row r="1850" spans="1:1">
      <c r="A1850" s="256"/>
    </row>
    <row r="1851" spans="1:1">
      <c r="A1851" s="256"/>
    </row>
    <row r="1852" spans="1:1">
      <c r="A1852" s="256"/>
    </row>
    <row r="1853" spans="1:1">
      <c r="A1853" s="256"/>
    </row>
    <row r="1854" spans="1:1">
      <c r="A1854" s="256"/>
    </row>
    <row r="1855" spans="1:1">
      <c r="A1855" s="256"/>
    </row>
    <row r="1856" spans="1:1">
      <c r="A1856" s="256"/>
    </row>
    <row r="1857" spans="1:1">
      <c r="A1857" s="256"/>
    </row>
    <row r="1858" spans="1:1">
      <c r="A1858" s="256"/>
    </row>
    <row r="1859" spans="1:1">
      <c r="A1859" s="256"/>
    </row>
    <row r="1860" spans="1:1">
      <c r="A1860" s="256"/>
    </row>
    <row r="1861" spans="1:1">
      <c r="A1861" s="256"/>
    </row>
    <row r="1862" spans="1:1">
      <c r="A1862" s="256"/>
    </row>
    <row r="1863" spans="1:1">
      <c r="A1863" s="256"/>
    </row>
    <row r="1864" spans="1:1">
      <c r="A1864" s="256"/>
    </row>
    <row r="1865" spans="1:1">
      <c r="A1865" s="256"/>
    </row>
    <row r="1866" spans="1:1">
      <c r="A1866" s="256"/>
    </row>
    <row r="1867" spans="1:1">
      <c r="A1867" s="256"/>
    </row>
    <row r="1868" spans="1:1">
      <c r="A1868" s="256"/>
    </row>
    <row r="1869" spans="1:1">
      <c r="A1869" s="256"/>
    </row>
    <row r="1870" spans="1:1">
      <c r="A1870" s="256"/>
    </row>
    <row r="1871" spans="1:1">
      <c r="A1871" s="256"/>
    </row>
    <row r="1872" spans="1:1">
      <c r="A1872" s="256"/>
    </row>
    <row r="1873" spans="1:1">
      <c r="A1873" s="256"/>
    </row>
    <row r="1874" spans="1:1">
      <c r="A1874" s="256"/>
    </row>
    <row r="1875" spans="1:1">
      <c r="A1875" s="256"/>
    </row>
    <row r="1876" spans="1:1">
      <c r="A1876" s="256"/>
    </row>
    <row r="1877" spans="1:1">
      <c r="A1877" s="256"/>
    </row>
    <row r="1878" spans="1:1">
      <c r="A1878" s="256"/>
    </row>
    <row r="1879" spans="1:1">
      <c r="A1879" s="256"/>
    </row>
    <row r="1880" spans="1:1">
      <c r="A1880" s="256"/>
    </row>
    <row r="1881" spans="1:1">
      <c r="A1881" s="256"/>
    </row>
    <row r="1882" spans="1:1">
      <c r="A1882" s="256"/>
    </row>
    <row r="1883" spans="1:1">
      <c r="A1883" s="256"/>
    </row>
    <row r="1884" spans="1:1">
      <c r="A1884" s="256"/>
    </row>
    <row r="1885" spans="1:1">
      <c r="A1885" s="256"/>
    </row>
    <row r="1886" spans="1:1">
      <c r="A1886" s="256"/>
    </row>
    <row r="1887" spans="1:1">
      <c r="A1887" s="256"/>
    </row>
    <row r="1888" spans="1:1">
      <c r="A1888" s="256"/>
    </row>
    <row r="1889" spans="1:1">
      <c r="A1889" s="256"/>
    </row>
    <row r="1890" spans="1:1">
      <c r="A1890" s="256"/>
    </row>
    <row r="1891" spans="1:1">
      <c r="A1891" s="256"/>
    </row>
    <row r="1892" spans="1:1">
      <c r="A1892" s="256"/>
    </row>
    <row r="1893" spans="1:1">
      <c r="A1893" s="256"/>
    </row>
    <row r="1894" spans="1:1">
      <c r="A1894" s="256"/>
    </row>
    <row r="1895" spans="1:1">
      <c r="A1895" s="256"/>
    </row>
    <row r="1896" spans="1:1">
      <c r="A1896" s="256"/>
    </row>
    <row r="1897" spans="1:1">
      <c r="A1897" s="256"/>
    </row>
    <row r="1898" spans="1:1">
      <c r="A1898" s="256"/>
    </row>
    <row r="1899" spans="1:1">
      <c r="A1899" s="256"/>
    </row>
    <row r="1900" spans="1:1">
      <c r="A1900" s="256"/>
    </row>
    <row r="1901" spans="1:1">
      <c r="A1901" s="256"/>
    </row>
    <row r="1902" spans="1:1">
      <c r="A1902" s="256"/>
    </row>
    <row r="1903" spans="1:1">
      <c r="A1903" s="256"/>
    </row>
    <row r="1904" spans="1:1">
      <c r="A1904" s="256"/>
    </row>
    <row r="1905" spans="1:1">
      <c r="A1905" s="256"/>
    </row>
    <row r="1906" spans="1:1">
      <c r="A1906" s="256"/>
    </row>
    <row r="1907" spans="1:1">
      <c r="A1907" s="256"/>
    </row>
    <row r="1908" spans="1:1">
      <c r="A1908" s="256"/>
    </row>
    <row r="1909" spans="1:1">
      <c r="A1909" s="256"/>
    </row>
    <row r="1910" spans="1:1">
      <c r="A1910" s="256"/>
    </row>
    <row r="1911" spans="1:1">
      <c r="A1911" s="256"/>
    </row>
    <row r="1912" spans="1:1">
      <c r="A1912" s="256"/>
    </row>
    <row r="1913" spans="1:1">
      <c r="A1913" s="256"/>
    </row>
    <row r="1914" spans="1:1">
      <c r="A1914" s="256"/>
    </row>
    <row r="1915" spans="1:1">
      <c r="A1915" s="256"/>
    </row>
    <row r="1916" spans="1:1">
      <c r="A1916" s="256"/>
    </row>
    <row r="1917" spans="1:1">
      <c r="A1917" s="256"/>
    </row>
    <row r="1918" spans="1:1">
      <c r="A1918" s="256"/>
    </row>
    <row r="1919" spans="1:1">
      <c r="A1919" s="256"/>
    </row>
    <row r="1920" spans="1:1">
      <c r="A1920" s="256"/>
    </row>
    <row r="1921" spans="1:1">
      <c r="A1921" s="256"/>
    </row>
    <row r="1922" spans="1:1">
      <c r="A1922" s="256"/>
    </row>
    <row r="1923" spans="1:1">
      <c r="A1923" s="256"/>
    </row>
    <row r="1924" spans="1:1">
      <c r="A1924" s="256"/>
    </row>
    <row r="1925" spans="1:1">
      <c r="A1925" s="256"/>
    </row>
    <row r="1926" spans="1:1">
      <c r="A1926" s="256"/>
    </row>
    <row r="1927" spans="1:1">
      <c r="A1927" s="256"/>
    </row>
    <row r="1928" spans="1:1">
      <c r="A1928" s="256"/>
    </row>
    <row r="1929" spans="1:1">
      <c r="A1929" s="256"/>
    </row>
    <row r="1930" spans="1:1">
      <c r="A1930" s="256"/>
    </row>
    <row r="1931" spans="1:1">
      <c r="A1931" s="256"/>
    </row>
    <row r="1932" spans="1:1">
      <c r="A1932" s="256"/>
    </row>
    <row r="1933" spans="1:1">
      <c r="A1933" s="256"/>
    </row>
    <row r="1934" spans="1:1">
      <c r="A1934" s="256"/>
    </row>
    <row r="1935" spans="1:1">
      <c r="A1935" s="256"/>
    </row>
    <row r="1936" spans="1:1">
      <c r="A1936" s="256"/>
    </row>
    <row r="1937" spans="1:1">
      <c r="A1937" s="256"/>
    </row>
    <row r="1938" spans="1:1">
      <c r="A1938" s="256"/>
    </row>
    <row r="1939" spans="1:1">
      <c r="A1939" s="256"/>
    </row>
    <row r="1940" spans="1:1">
      <c r="A1940" s="256"/>
    </row>
    <row r="1941" spans="1:1">
      <c r="A1941" s="256"/>
    </row>
    <row r="1942" spans="1:1">
      <c r="A1942" s="256"/>
    </row>
    <row r="1943" spans="1:1">
      <c r="A1943" s="256"/>
    </row>
    <row r="1944" spans="1:1">
      <c r="A1944" s="256"/>
    </row>
    <row r="1945" spans="1:1">
      <c r="A1945" s="256"/>
    </row>
    <row r="1946" spans="1:1">
      <c r="A1946" s="256"/>
    </row>
    <row r="1947" spans="1:1">
      <c r="A1947" s="256"/>
    </row>
    <row r="1948" spans="1:1">
      <c r="A1948" s="256"/>
    </row>
    <row r="1949" spans="1:1">
      <c r="A1949" s="256"/>
    </row>
    <row r="1950" spans="1:1">
      <c r="A1950" s="256"/>
    </row>
    <row r="1951" spans="1:1">
      <c r="A1951" s="256"/>
    </row>
    <row r="1952" spans="1:1">
      <c r="A1952" s="256"/>
    </row>
    <row r="1953" spans="1:1">
      <c r="A1953" s="256"/>
    </row>
    <row r="1954" spans="1:1">
      <c r="A1954" s="256"/>
    </row>
    <row r="1955" spans="1:1">
      <c r="A1955" s="256"/>
    </row>
    <row r="1956" spans="1:1">
      <c r="A1956" s="256"/>
    </row>
    <row r="1957" spans="1:1">
      <c r="A1957" s="256"/>
    </row>
    <row r="1958" spans="1:1">
      <c r="A1958" s="256"/>
    </row>
    <row r="1959" spans="1:1">
      <c r="A1959" s="256"/>
    </row>
    <row r="1960" spans="1:1">
      <c r="A1960" s="256"/>
    </row>
    <row r="1961" spans="1:1">
      <c r="A1961" s="256"/>
    </row>
    <row r="1962" spans="1:1">
      <c r="A1962" s="256"/>
    </row>
    <row r="1963" spans="1:1">
      <c r="A1963" s="256"/>
    </row>
    <row r="1964" spans="1:1">
      <c r="A1964" s="256"/>
    </row>
    <row r="1965" spans="1:1">
      <c r="A1965" s="256"/>
    </row>
    <row r="1966" spans="1:1">
      <c r="A1966" s="256"/>
    </row>
    <row r="1967" spans="1:1">
      <c r="A1967" s="256"/>
    </row>
    <row r="1968" spans="1:1">
      <c r="A1968" s="256"/>
    </row>
    <row r="1969" spans="1:1">
      <c r="A1969" s="256"/>
    </row>
    <row r="1970" spans="1:1">
      <c r="A1970" s="256"/>
    </row>
    <row r="1971" spans="1:1">
      <c r="A1971" s="256"/>
    </row>
    <row r="1972" spans="1:1">
      <c r="A1972" s="256"/>
    </row>
    <row r="1973" spans="1:1">
      <c r="A1973" s="256"/>
    </row>
    <row r="1974" spans="1:1">
      <c r="A1974" s="256"/>
    </row>
    <row r="1975" spans="1:1">
      <c r="A1975" s="256"/>
    </row>
    <row r="1976" spans="1:1">
      <c r="A1976" s="256"/>
    </row>
    <row r="1977" spans="1:1">
      <c r="A1977" s="256"/>
    </row>
    <row r="1978" spans="1:1">
      <c r="A1978" s="256"/>
    </row>
    <row r="1979" spans="1:1">
      <c r="A1979" s="256"/>
    </row>
    <row r="1980" spans="1:1">
      <c r="A1980" s="256"/>
    </row>
    <row r="1981" spans="1:1">
      <c r="A1981" s="256"/>
    </row>
    <row r="1982" spans="1:1">
      <c r="A1982" s="256"/>
    </row>
    <row r="1983" spans="1:1">
      <c r="A1983" s="256"/>
    </row>
    <row r="1984" spans="1:1">
      <c r="A1984" s="256"/>
    </row>
    <row r="1985" spans="1:1">
      <c r="A1985" s="256"/>
    </row>
    <row r="1986" spans="1:1">
      <c r="A1986" s="256"/>
    </row>
    <row r="1987" spans="1:1">
      <c r="A1987" s="256"/>
    </row>
    <row r="1988" spans="1:1">
      <c r="A1988" s="256"/>
    </row>
    <row r="1989" spans="1:1">
      <c r="A1989" s="256"/>
    </row>
    <row r="1990" spans="1:1">
      <c r="A1990" s="256"/>
    </row>
    <row r="1991" spans="1:1">
      <c r="A1991" s="256"/>
    </row>
    <row r="1992" spans="1:1">
      <c r="A1992" s="256"/>
    </row>
    <row r="1993" spans="1:1">
      <c r="A1993" s="256"/>
    </row>
    <row r="1994" spans="1:1">
      <c r="A1994" s="256"/>
    </row>
    <row r="1995" spans="1:1">
      <c r="A1995" s="256"/>
    </row>
    <row r="1996" spans="1:1">
      <c r="A1996" s="256"/>
    </row>
    <row r="1997" spans="1:1">
      <c r="A1997" s="256"/>
    </row>
    <row r="1998" spans="1:1">
      <c r="A1998" s="256"/>
    </row>
    <row r="1999" spans="1:1">
      <c r="A1999" s="256"/>
    </row>
    <row r="2000" spans="1:1">
      <c r="A2000" s="256"/>
    </row>
    <row r="2001" spans="1:1">
      <c r="A2001" s="256"/>
    </row>
    <row r="2002" spans="1:1">
      <c r="A2002" s="256"/>
    </row>
    <row r="2003" spans="1:1">
      <c r="A2003" s="256"/>
    </row>
    <row r="2004" spans="1:1">
      <c r="A2004" s="256"/>
    </row>
    <row r="2005" spans="1:1">
      <c r="A2005" s="256"/>
    </row>
    <row r="2006" spans="1:1">
      <c r="A2006" s="256"/>
    </row>
    <row r="2007" spans="1:1">
      <c r="A2007" s="256"/>
    </row>
    <row r="2008" spans="1:1">
      <c r="A2008" s="256"/>
    </row>
    <row r="2009" spans="1:1">
      <c r="A2009" s="256"/>
    </row>
    <row r="2010" spans="1:1">
      <c r="A2010" s="256"/>
    </row>
    <row r="2011" spans="1:1">
      <c r="A2011" s="256"/>
    </row>
    <row r="2012" spans="1:1">
      <c r="A2012" s="256"/>
    </row>
    <row r="2013" spans="1:1">
      <c r="A2013" s="256"/>
    </row>
    <row r="2014" spans="1:1">
      <c r="A2014" s="256"/>
    </row>
    <row r="2015" spans="1:1">
      <c r="A2015" s="256"/>
    </row>
    <row r="2016" spans="1:1">
      <c r="A2016" s="256"/>
    </row>
    <row r="2017" spans="1:1">
      <c r="A2017" s="256"/>
    </row>
    <row r="2018" spans="1:1">
      <c r="A2018" s="256"/>
    </row>
    <row r="2019" spans="1:1">
      <c r="A2019" s="256"/>
    </row>
    <row r="2020" spans="1:1">
      <c r="A2020" s="256"/>
    </row>
    <row r="2021" spans="1:1">
      <c r="A2021" s="256"/>
    </row>
    <row r="2022" spans="1:1">
      <c r="A2022" s="256"/>
    </row>
    <row r="2023" spans="1:1">
      <c r="A2023" s="256"/>
    </row>
    <row r="2024" spans="1:1">
      <c r="A2024" s="256"/>
    </row>
    <row r="2025" spans="1:1">
      <c r="A2025" s="256"/>
    </row>
    <row r="2026" spans="1:1">
      <c r="A2026" s="256"/>
    </row>
    <row r="2027" spans="1:1">
      <c r="A2027" s="256"/>
    </row>
    <row r="2028" spans="1:1">
      <c r="A2028" s="256"/>
    </row>
    <row r="2029" spans="1:1">
      <c r="A2029" s="256"/>
    </row>
    <row r="2030" spans="1:1">
      <c r="A2030" s="256"/>
    </row>
    <row r="2031" spans="1:1">
      <c r="A2031" s="256"/>
    </row>
    <row r="2032" spans="1:1">
      <c r="A2032" s="256"/>
    </row>
    <row r="2033" spans="1:1">
      <c r="A2033" s="256"/>
    </row>
    <row r="2034" spans="1:1">
      <c r="A2034" s="256"/>
    </row>
    <row r="2035" spans="1:1">
      <c r="A2035" s="256"/>
    </row>
    <row r="2036" spans="1:1">
      <c r="A2036" s="256"/>
    </row>
    <row r="2037" spans="1:1">
      <c r="A2037" s="256"/>
    </row>
    <row r="2038" spans="1:1">
      <c r="A2038" s="256"/>
    </row>
    <row r="2039" spans="1:1">
      <c r="A2039" s="256"/>
    </row>
    <row r="2040" spans="1:1">
      <c r="A2040" s="256"/>
    </row>
    <row r="2041" spans="1:1">
      <c r="A2041" s="256"/>
    </row>
    <row r="2042" spans="1:1">
      <c r="A2042" s="256"/>
    </row>
    <row r="2043" spans="1:1">
      <c r="A2043" s="256"/>
    </row>
    <row r="2044" spans="1:1">
      <c r="A2044" s="256"/>
    </row>
    <row r="2045" spans="1:1">
      <c r="A2045" s="256"/>
    </row>
    <row r="2046" spans="1:1">
      <c r="A2046" s="256"/>
    </row>
    <row r="2047" spans="1:1">
      <c r="A2047" s="256"/>
    </row>
    <row r="2048" spans="1:1">
      <c r="A2048" s="256"/>
    </row>
    <row r="2049" spans="1:1">
      <c r="A2049" s="256"/>
    </row>
    <row r="2050" spans="1:1">
      <c r="A2050" s="256"/>
    </row>
    <row r="2051" spans="1:1">
      <c r="A2051" s="256"/>
    </row>
    <row r="2052" spans="1:1">
      <c r="A2052" s="256"/>
    </row>
    <row r="2053" spans="1:1">
      <c r="A2053" s="256"/>
    </row>
    <row r="2054" spans="1:1">
      <c r="A2054" s="256"/>
    </row>
    <row r="2055" spans="1:1">
      <c r="A2055" s="256"/>
    </row>
    <row r="2056" spans="1:1">
      <c r="A2056" s="256"/>
    </row>
    <row r="2057" spans="1:1">
      <c r="A2057" s="256"/>
    </row>
    <row r="2058" spans="1:1">
      <c r="A2058" s="256"/>
    </row>
    <row r="2059" spans="1:1">
      <c r="A2059" s="256"/>
    </row>
    <row r="2060" spans="1:1">
      <c r="A2060" s="256"/>
    </row>
    <row r="2061" spans="1:1">
      <c r="A2061" s="256"/>
    </row>
    <row r="2062" spans="1:1">
      <c r="A2062" s="256"/>
    </row>
    <row r="2063" spans="1:1">
      <c r="A2063" s="256"/>
    </row>
    <row r="2064" spans="1:1">
      <c r="A2064" s="256"/>
    </row>
    <row r="2065" spans="1:1">
      <c r="A2065" s="256"/>
    </row>
    <row r="2066" spans="1:1">
      <c r="A2066" s="256"/>
    </row>
    <row r="2067" spans="1:1">
      <c r="A2067" s="256"/>
    </row>
    <row r="2068" spans="1:1">
      <c r="A2068" s="256"/>
    </row>
    <row r="2069" spans="1:1">
      <c r="A2069" s="256"/>
    </row>
    <row r="2070" spans="1:1">
      <c r="A2070" s="256"/>
    </row>
    <row r="2071" spans="1:1">
      <c r="A2071" s="256"/>
    </row>
    <row r="2072" spans="1:1">
      <c r="A2072" s="256"/>
    </row>
    <row r="2073" spans="1:1">
      <c r="A2073" s="256"/>
    </row>
    <row r="2074" spans="1:1">
      <c r="A2074" s="256"/>
    </row>
    <row r="2075" spans="1:1">
      <c r="A2075" s="256"/>
    </row>
    <row r="2076" spans="1:1">
      <c r="A2076" s="256"/>
    </row>
    <row r="2077" spans="1:1">
      <c r="A2077" s="256"/>
    </row>
    <row r="2078" spans="1:1">
      <c r="A2078" s="256"/>
    </row>
    <row r="2079" spans="1:1">
      <c r="A2079" s="256"/>
    </row>
    <row r="2080" spans="1:1">
      <c r="A2080" s="256"/>
    </row>
    <row r="2081" spans="1:1">
      <c r="A2081" s="256"/>
    </row>
    <row r="2082" spans="1:1">
      <c r="A2082" s="256"/>
    </row>
    <row r="2083" spans="1:1">
      <c r="A2083" s="256"/>
    </row>
    <row r="2084" spans="1:1">
      <c r="A2084" s="256"/>
    </row>
    <row r="2085" spans="1:1">
      <c r="A2085" s="256"/>
    </row>
    <row r="2086" spans="1:1">
      <c r="A2086" s="256"/>
    </row>
    <row r="2087" spans="1:1">
      <c r="A2087" s="256"/>
    </row>
    <row r="2088" spans="1:1">
      <c r="A2088" s="256"/>
    </row>
    <row r="2089" spans="1:1">
      <c r="A2089" s="256"/>
    </row>
    <row r="2090" spans="1:1">
      <c r="A2090" s="256"/>
    </row>
    <row r="2091" spans="1:1">
      <c r="A2091" s="256"/>
    </row>
    <row r="2092" spans="1:1">
      <c r="A2092" s="256"/>
    </row>
    <row r="2093" spans="1:1">
      <c r="A2093" s="256"/>
    </row>
    <row r="2094" spans="1:1">
      <c r="A2094" s="256"/>
    </row>
    <row r="2095" spans="1:1">
      <c r="A2095" s="256"/>
    </row>
    <row r="2096" spans="1:1">
      <c r="A2096" s="256"/>
    </row>
    <row r="2097" spans="1:1">
      <c r="A2097" s="256"/>
    </row>
    <row r="2098" spans="1:1">
      <c r="A2098" s="256"/>
    </row>
    <row r="2099" spans="1:1">
      <c r="A2099" s="256"/>
    </row>
    <row r="2100" spans="1:1">
      <c r="A2100" s="256"/>
    </row>
    <row r="2101" spans="1:1">
      <c r="A2101" s="256"/>
    </row>
    <row r="2102" spans="1:1">
      <c r="A2102" s="256"/>
    </row>
    <row r="2103" spans="1:1">
      <c r="A2103" s="256"/>
    </row>
    <row r="2104" spans="1:1">
      <c r="A2104" s="256"/>
    </row>
    <row r="2105" spans="1:1">
      <c r="A2105" s="256"/>
    </row>
    <row r="2106" spans="1:1">
      <c r="A2106" s="256"/>
    </row>
    <row r="2107" spans="1:1">
      <c r="A2107" s="256"/>
    </row>
    <row r="2108" spans="1:1">
      <c r="A2108" s="256"/>
    </row>
    <row r="2109" spans="1:1">
      <c r="A2109" s="256"/>
    </row>
    <row r="2110" spans="1:1">
      <c r="A2110" s="256"/>
    </row>
    <row r="2111" spans="1:1">
      <c r="A2111" s="256"/>
    </row>
    <row r="2112" spans="1:1">
      <c r="A2112" s="256"/>
    </row>
    <row r="2113" spans="1:1">
      <c r="A2113" s="256"/>
    </row>
    <row r="2114" spans="1:1">
      <c r="A2114" s="256"/>
    </row>
    <row r="2115" spans="1:1">
      <c r="A2115" s="256"/>
    </row>
    <row r="2116" spans="1:1">
      <c r="A2116" s="256"/>
    </row>
    <row r="2117" spans="1:1">
      <c r="A2117" s="256"/>
    </row>
    <row r="2118" spans="1:1">
      <c r="A2118" s="256"/>
    </row>
    <row r="2119" spans="1:1">
      <c r="A2119" s="256"/>
    </row>
    <row r="2120" spans="1:1">
      <c r="A2120" s="256"/>
    </row>
    <row r="2121" spans="1:1">
      <c r="A2121" s="256"/>
    </row>
    <row r="2122" spans="1:1">
      <c r="A2122" s="256"/>
    </row>
    <row r="2123" spans="1:1">
      <c r="A2123" s="256"/>
    </row>
    <row r="2124" spans="1:1">
      <c r="A2124" s="256"/>
    </row>
    <row r="2125" spans="1:1">
      <c r="A2125" s="256"/>
    </row>
    <row r="2126" spans="1:1">
      <c r="A2126" s="256"/>
    </row>
    <row r="2127" spans="1:1">
      <c r="A2127" s="256"/>
    </row>
    <row r="2128" spans="1:1">
      <c r="A2128" s="256"/>
    </row>
    <row r="2129" spans="1:1">
      <c r="A2129" s="256"/>
    </row>
    <row r="2130" spans="1:1">
      <c r="A2130" s="256"/>
    </row>
    <row r="2131" spans="1:1">
      <c r="A2131" s="256"/>
    </row>
    <row r="2132" spans="1:1">
      <c r="A2132" s="256"/>
    </row>
    <row r="2133" spans="1:1">
      <c r="A2133" s="256"/>
    </row>
    <row r="2134" spans="1:1">
      <c r="A2134" s="256"/>
    </row>
    <row r="2135" spans="1:1">
      <c r="A2135" s="256"/>
    </row>
    <row r="2136" spans="1:1">
      <c r="A2136" s="256"/>
    </row>
    <row r="2137" spans="1:1">
      <c r="A2137" s="256"/>
    </row>
    <row r="2138" spans="1:1">
      <c r="A2138" s="256"/>
    </row>
    <row r="2139" spans="1:1">
      <c r="A2139" s="256"/>
    </row>
    <row r="2140" spans="1:1">
      <c r="A2140" s="256"/>
    </row>
    <row r="2141" spans="1:1">
      <c r="A2141" s="256"/>
    </row>
    <row r="2142" spans="1:1">
      <c r="A2142" s="256"/>
    </row>
    <row r="2143" spans="1:1">
      <c r="A2143" s="256"/>
    </row>
    <row r="2144" spans="1:1">
      <c r="A2144" s="256"/>
    </row>
    <row r="2145" spans="1:1">
      <c r="A2145" s="256"/>
    </row>
    <row r="2146" spans="1:1">
      <c r="A2146" s="256"/>
    </row>
    <row r="2147" spans="1:1">
      <c r="A2147" s="256"/>
    </row>
    <row r="2148" spans="1:1">
      <c r="A2148" s="256"/>
    </row>
    <row r="2149" spans="1:1">
      <c r="A2149" s="256"/>
    </row>
    <row r="2150" spans="1:1">
      <c r="A2150" s="256"/>
    </row>
    <row r="2151" spans="1:1">
      <c r="A2151" s="256"/>
    </row>
    <row r="2152" spans="1:1">
      <c r="A2152" s="256"/>
    </row>
    <row r="2153" spans="1:1">
      <c r="A2153" s="256"/>
    </row>
    <row r="2154" spans="1:1">
      <c r="A2154" s="256"/>
    </row>
    <row r="2155" spans="1:1">
      <c r="A2155" s="256"/>
    </row>
    <row r="2156" spans="1:1">
      <c r="A2156" s="256"/>
    </row>
    <row r="2157" spans="1:1">
      <c r="A2157" s="256"/>
    </row>
    <row r="2158" spans="1:1">
      <c r="A2158" s="256"/>
    </row>
    <row r="2159" spans="1:1">
      <c r="A2159" s="256"/>
    </row>
    <row r="2160" spans="1:1">
      <c r="A2160" s="256"/>
    </row>
    <row r="2161" spans="1:1">
      <c r="A2161" s="256"/>
    </row>
    <row r="2162" spans="1:1">
      <c r="A2162" s="256"/>
    </row>
    <row r="2163" spans="1:1">
      <c r="A2163" s="256"/>
    </row>
    <row r="2164" spans="1:1">
      <c r="A2164" s="256"/>
    </row>
    <row r="2165" spans="1:1">
      <c r="A2165" s="256"/>
    </row>
    <row r="2166" spans="1:1">
      <c r="A2166" s="256"/>
    </row>
    <row r="2167" spans="1:1">
      <c r="A2167" s="256"/>
    </row>
    <row r="2168" spans="1:1">
      <c r="A2168" s="256"/>
    </row>
    <row r="2169" spans="1:1">
      <c r="A2169" s="256"/>
    </row>
    <row r="2170" spans="1:1">
      <c r="A2170" s="256"/>
    </row>
    <row r="2171" spans="1:1">
      <c r="A2171" s="256"/>
    </row>
    <row r="2172" spans="1:1">
      <c r="A2172" s="256"/>
    </row>
    <row r="2173" spans="1:1">
      <c r="A2173" s="256"/>
    </row>
    <row r="2174" spans="1:1">
      <c r="A2174" s="256"/>
    </row>
    <row r="2175" spans="1:1">
      <c r="A2175" s="256"/>
    </row>
    <row r="2176" spans="1:1">
      <c r="A2176" s="256"/>
    </row>
    <row r="2177" spans="1:1">
      <c r="A2177" s="256"/>
    </row>
    <row r="2178" spans="1:1">
      <c r="A2178" s="256"/>
    </row>
    <row r="2179" spans="1:1">
      <c r="A2179" s="256"/>
    </row>
    <row r="2180" spans="1:1">
      <c r="A2180" s="256"/>
    </row>
    <row r="2181" spans="1:1">
      <c r="A2181" s="256"/>
    </row>
    <row r="2182" spans="1:1">
      <c r="A2182" s="256"/>
    </row>
    <row r="2183" spans="1:1">
      <c r="A2183" s="256"/>
    </row>
    <row r="2184" spans="1:1">
      <c r="A2184" s="256"/>
    </row>
    <row r="2185" spans="1:1">
      <c r="A2185" s="256"/>
    </row>
    <row r="2186" spans="1:1">
      <c r="A2186" s="256"/>
    </row>
    <row r="2187" spans="1:1">
      <c r="A2187" s="256"/>
    </row>
    <row r="2188" spans="1:1">
      <c r="A2188" s="256"/>
    </row>
    <row r="2189" spans="1:1">
      <c r="A2189" s="256"/>
    </row>
    <row r="2190" spans="1:1">
      <c r="A2190" s="256"/>
    </row>
    <row r="2191" spans="1:1">
      <c r="A2191" s="256"/>
    </row>
    <row r="2192" spans="1:1">
      <c r="A2192" s="256"/>
    </row>
    <row r="2193" spans="1:1">
      <c r="A2193" s="256"/>
    </row>
    <row r="2194" spans="1:1">
      <c r="A2194" s="256"/>
    </row>
    <row r="2195" spans="1:1">
      <c r="A2195" s="256"/>
    </row>
    <row r="2196" spans="1:1">
      <c r="A2196" s="256"/>
    </row>
    <row r="2197" spans="1:1">
      <c r="A2197" s="256"/>
    </row>
    <row r="2198" spans="1:1">
      <c r="A2198" s="256"/>
    </row>
    <row r="2199" spans="1:1">
      <c r="A2199" s="256"/>
    </row>
    <row r="2200" spans="1:1">
      <c r="A2200" s="256"/>
    </row>
    <row r="2201" spans="1:1">
      <c r="A2201" s="256"/>
    </row>
    <row r="2202" spans="1:1">
      <c r="A2202" s="256"/>
    </row>
    <row r="2203" spans="1:1">
      <c r="A2203" s="256"/>
    </row>
    <row r="2204" spans="1:1">
      <c r="A2204" s="256"/>
    </row>
    <row r="2205" spans="1:1">
      <c r="A2205" s="256"/>
    </row>
    <row r="2206" spans="1:1">
      <c r="A2206" s="256"/>
    </row>
    <row r="2207" spans="1:1">
      <c r="A2207" s="256"/>
    </row>
    <row r="2208" spans="1:1">
      <c r="A2208" s="256"/>
    </row>
    <row r="2209" spans="1:1">
      <c r="A2209" s="256"/>
    </row>
    <row r="2210" spans="1:1">
      <c r="A2210" s="256"/>
    </row>
    <row r="2211" spans="1:1">
      <c r="A2211" s="256"/>
    </row>
    <row r="2212" spans="1:1">
      <c r="A2212" s="256"/>
    </row>
    <row r="2213" spans="1:1">
      <c r="A2213" s="256"/>
    </row>
    <row r="2214" spans="1:1">
      <c r="A2214" s="256"/>
    </row>
    <row r="2215" spans="1:1">
      <c r="A2215" s="256"/>
    </row>
    <row r="2216" spans="1:1">
      <c r="A2216" s="256"/>
    </row>
    <row r="2217" spans="1:1">
      <c r="A2217" s="256"/>
    </row>
    <row r="2218" spans="1:1">
      <c r="A2218" s="256"/>
    </row>
    <row r="2219" spans="1:1">
      <c r="A2219" s="256"/>
    </row>
    <row r="2220" spans="1:1">
      <c r="A2220" s="256"/>
    </row>
    <row r="2221" spans="1:1">
      <c r="A2221" s="256"/>
    </row>
    <row r="2222" spans="1:1">
      <c r="A2222" s="256"/>
    </row>
    <row r="2223" spans="1:1">
      <c r="A2223" s="256"/>
    </row>
    <row r="2224" spans="1:1">
      <c r="A2224" s="256"/>
    </row>
    <row r="2225" spans="1:1">
      <c r="A2225" s="256"/>
    </row>
    <row r="2226" spans="1:1">
      <c r="A2226" s="256"/>
    </row>
    <row r="2227" spans="1:1">
      <c r="A2227" s="256"/>
    </row>
    <row r="2228" spans="1:1">
      <c r="A2228" s="256"/>
    </row>
    <row r="2229" spans="1:1">
      <c r="A2229" s="256"/>
    </row>
    <row r="2230" spans="1:1">
      <c r="A2230" s="256"/>
    </row>
    <row r="2231" spans="1:1">
      <c r="A2231" s="256"/>
    </row>
    <row r="2232" spans="1:1">
      <c r="A2232" s="256"/>
    </row>
    <row r="2233" spans="1:1">
      <c r="A2233" s="256"/>
    </row>
    <row r="2234" spans="1:1">
      <c r="A2234" s="256"/>
    </row>
    <row r="2235" spans="1:1">
      <c r="A2235" s="256"/>
    </row>
    <row r="2236" spans="1:1">
      <c r="A2236" s="256"/>
    </row>
    <row r="2237" spans="1:1">
      <c r="A2237" s="256"/>
    </row>
    <row r="2238" spans="1:1">
      <c r="A2238" s="256"/>
    </row>
    <row r="2239" spans="1:1">
      <c r="A2239" s="256"/>
    </row>
    <row r="2240" spans="1:1">
      <c r="A2240" s="256"/>
    </row>
    <row r="2241" spans="1:1">
      <c r="A2241" s="256"/>
    </row>
    <row r="2242" spans="1:1">
      <c r="A2242" s="256"/>
    </row>
    <row r="2243" spans="1:1">
      <c r="A2243" s="256"/>
    </row>
    <row r="2244" spans="1:1">
      <c r="A2244" s="256"/>
    </row>
    <row r="2245" spans="1:1">
      <c r="A2245" s="256"/>
    </row>
    <row r="2246" spans="1:1">
      <c r="A2246" s="256"/>
    </row>
    <row r="2247" spans="1:1">
      <c r="A2247" s="256"/>
    </row>
    <row r="2248" spans="1:1">
      <c r="A2248" s="256"/>
    </row>
    <row r="2249" spans="1:1">
      <c r="A2249" s="256"/>
    </row>
    <row r="2250" spans="1:1">
      <c r="A2250" s="256"/>
    </row>
    <row r="2251" spans="1:1">
      <c r="A2251" s="256"/>
    </row>
    <row r="2252" spans="1:1">
      <c r="A2252" s="256"/>
    </row>
    <row r="2253" spans="1:1">
      <c r="A2253" s="256"/>
    </row>
    <row r="2254" spans="1:1">
      <c r="A2254" s="256"/>
    </row>
    <row r="2255" spans="1:1">
      <c r="A2255" s="256"/>
    </row>
    <row r="2256" spans="1:1">
      <c r="A2256" s="256"/>
    </row>
    <row r="2257" spans="1:1">
      <c r="A2257" s="256"/>
    </row>
    <row r="2258" spans="1:1">
      <c r="A2258" s="256"/>
    </row>
    <row r="2259" spans="1:1">
      <c r="A2259" s="256"/>
    </row>
    <row r="2260" spans="1:1">
      <c r="A2260" s="256"/>
    </row>
    <row r="2261" spans="1:1">
      <c r="A2261" s="256"/>
    </row>
    <row r="2262" spans="1:1">
      <c r="A2262" s="256"/>
    </row>
    <row r="2263" spans="1:1">
      <c r="A2263" s="256"/>
    </row>
    <row r="2264" spans="1:1">
      <c r="A2264" s="256"/>
    </row>
    <row r="2265" spans="1:1">
      <c r="A2265" s="256"/>
    </row>
    <row r="2266" spans="1:1">
      <c r="A2266" s="256"/>
    </row>
    <row r="2267" spans="1:1">
      <c r="A2267" s="256"/>
    </row>
    <row r="2268" spans="1:1">
      <c r="A2268" s="256"/>
    </row>
    <row r="2269" spans="1:1">
      <c r="A2269" s="256"/>
    </row>
    <row r="2270" spans="1:1">
      <c r="A2270" s="256"/>
    </row>
    <row r="2271" spans="1:1">
      <c r="A2271" s="256"/>
    </row>
    <row r="2272" spans="1:1">
      <c r="A2272" s="256"/>
    </row>
    <row r="2273" spans="1:1">
      <c r="A2273" s="256"/>
    </row>
    <row r="2274" spans="1:1">
      <c r="A2274" s="256"/>
    </row>
    <row r="2275" spans="1:1">
      <c r="A2275" s="256"/>
    </row>
    <row r="2276" spans="1:1">
      <c r="A2276" s="256"/>
    </row>
    <row r="2277" spans="1:1">
      <c r="A2277" s="256"/>
    </row>
    <row r="2278" spans="1:1">
      <c r="A2278" s="256"/>
    </row>
    <row r="2279" spans="1:1">
      <c r="A2279" s="256"/>
    </row>
    <row r="2280" spans="1:1">
      <c r="A2280" s="256"/>
    </row>
    <row r="2281" spans="1:1">
      <c r="A2281" s="256"/>
    </row>
    <row r="2282" spans="1:1">
      <c r="A2282" s="256"/>
    </row>
    <row r="2283" spans="1:1">
      <c r="A2283" s="256"/>
    </row>
    <row r="2284" spans="1:1">
      <c r="A2284" s="256"/>
    </row>
    <row r="2285" spans="1:1">
      <c r="A2285" s="256"/>
    </row>
    <row r="2286" spans="1:1">
      <c r="A2286" s="256"/>
    </row>
    <row r="2287" spans="1:1">
      <c r="A2287" s="256"/>
    </row>
    <row r="2288" spans="1:1">
      <c r="A2288" s="256"/>
    </row>
    <row r="2289" spans="1:1">
      <c r="A2289" s="256"/>
    </row>
    <row r="2290" spans="1:1">
      <c r="A2290" s="256"/>
    </row>
    <row r="2291" spans="1:1">
      <c r="A2291" s="256"/>
    </row>
    <row r="2292" spans="1:1">
      <c r="A2292" s="256"/>
    </row>
    <row r="2293" spans="1:1">
      <c r="A2293" s="256"/>
    </row>
    <row r="2294" spans="1:1">
      <c r="A2294" s="256"/>
    </row>
    <row r="2295" spans="1:1">
      <c r="A2295" s="256"/>
    </row>
    <row r="2296" spans="1:1">
      <c r="A2296" s="256"/>
    </row>
    <row r="2297" spans="1:1">
      <c r="A2297" s="256"/>
    </row>
    <row r="2298" spans="1:1">
      <c r="A2298" s="256"/>
    </row>
    <row r="2299" spans="1:1">
      <c r="A2299" s="256"/>
    </row>
    <row r="2300" spans="1:1">
      <c r="A2300" s="256"/>
    </row>
    <row r="2301" spans="1:1">
      <c r="A2301" s="256"/>
    </row>
    <row r="2302" spans="1:1">
      <c r="A2302" s="256"/>
    </row>
    <row r="2303" spans="1:1">
      <c r="A2303" s="256"/>
    </row>
    <row r="2304" spans="1:1">
      <c r="A2304" s="256"/>
    </row>
    <row r="2305" spans="1:1">
      <c r="A2305" s="256"/>
    </row>
    <row r="2306" spans="1:1">
      <c r="A2306" s="256"/>
    </row>
    <row r="2307" spans="1:1">
      <c r="A2307" s="256"/>
    </row>
    <row r="2308" spans="1:1">
      <c r="A2308" s="256"/>
    </row>
    <row r="2309" spans="1:1">
      <c r="A2309" s="256"/>
    </row>
    <row r="2310" spans="1:1">
      <c r="A2310" s="256"/>
    </row>
    <row r="2311" spans="1:1">
      <c r="A2311" s="256"/>
    </row>
    <row r="2312" spans="1:1">
      <c r="A2312" s="256"/>
    </row>
    <row r="2313" spans="1:1">
      <c r="A2313" s="256"/>
    </row>
    <row r="2314" spans="1:1">
      <c r="A2314" s="256"/>
    </row>
    <row r="2315" spans="1:1">
      <c r="A2315" s="256"/>
    </row>
    <row r="2316" spans="1:1">
      <c r="A2316" s="256"/>
    </row>
    <row r="2317" spans="1:1">
      <c r="A2317" s="256"/>
    </row>
    <row r="2318" spans="1:1">
      <c r="A2318" s="256"/>
    </row>
    <row r="2319" spans="1:1">
      <c r="A2319" s="256"/>
    </row>
    <row r="2320" spans="1:1">
      <c r="A2320" s="256"/>
    </row>
    <row r="2321" spans="1:1">
      <c r="A2321" s="256"/>
    </row>
    <row r="2322" spans="1:1">
      <c r="A2322" s="256"/>
    </row>
    <row r="2323" spans="1:1">
      <c r="A2323" s="256"/>
    </row>
    <row r="2324" spans="1:1">
      <c r="A2324" s="256"/>
    </row>
    <row r="2325" spans="1:1">
      <c r="A2325" s="256"/>
    </row>
    <row r="2326" spans="1:1">
      <c r="A2326" s="256"/>
    </row>
    <row r="2327" spans="1:1">
      <c r="A2327" s="256"/>
    </row>
    <row r="2328" spans="1:1">
      <c r="A2328" s="256"/>
    </row>
    <row r="2329" spans="1:1">
      <c r="A2329" s="256"/>
    </row>
    <row r="2330" spans="1:1">
      <c r="A2330" s="256"/>
    </row>
    <row r="2331" spans="1:1">
      <c r="A2331" s="256"/>
    </row>
    <row r="2332" spans="1:1">
      <c r="A2332" s="256"/>
    </row>
    <row r="2333" spans="1:1">
      <c r="A2333" s="256"/>
    </row>
    <row r="2334" spans="1:1">
      <c r="A2334" s="256"/>
    </row>
    <row r="2335" spans="1:1">
      <c r="A2335" s="256"/>
    </row>
    <row r="2336" spans="1:1">
      <c r="A2336" s="256"/>
    </row>
    <row r="2337" spans="1:1">
      <c r="A2337" s="256"/>
    </row>
    <row r="2338" spans="1:1">
      <c r="A2338" s="256"/>
    </row>
    <row r="2339" spans="1:1">
      <c r="A2339" s="256"/>
    </row>
    <row r="2340" spans="1:1">
      <c r="A2340" s="256"/>
    </row>
    <row r="2341" spans="1:1">
      <c r="A2341" s="256"/>
    </row>
    <row r="2342" spans="1:1">
      <c r="A2342" s="256"/>
    </row>
    <row r="2343" spans="1:1">
      <c r="A2343" s="256"/>
    </row>
    <row r="2344" spans="1:1">
      <c r="A2344" s="256"/>
    </row>
    <row r="2345" spans="1:1">
      <c r="A2345" s="256"/>
    </row>
    <row r="2346" spans="1:1">
      <c r="A2346" s="256"/>
    </row>
    <row r="2347" spans="1:1">
      <c r="A2347" s="256"/>
    </row>
    <row r="2348" spans="1:1">
      <c r="A2348" s="256"/>
    </row>
    <row r="2349" spans="1:1">
      <c r="A2349" s="256"/>
    </row>
    <row r="2350" spans="1:1">
      <c r="A2350" s="256"/>
    </row>
    <row r="2351" spans="1:1">
      <c r="A2351" s="256"/>
    </row>
    <row r="2352" spans="1:1">
      <c r="A2352" s="256"/>
    </row>
    <row r="2353" spans="1:1">
      <c r="A2353" s="256"/>
    </row>
    <row r="2354" spans="1:1">
      <c r="A2354" s="256"/>
    </row>
    <row r="2355" spans="1:1">
      <c r="A2355" s="256"/>
    </row>
    <row r="2356" spans="1:1">
      <c r="A2356" s="256"/>
    </row>
    <row r="2357" spans="1:1">
      <c r="A2357" s="256"/>
    </row>
    <row r="2358" spans="1:1">
      <c r="A2358" s="256"/>
    </row>
    <row r="2359" spans="1:1">
      <c r="A2359" s="256"/>
    </row>
    <row r="2360" spans="1:1">
      <c r="A2360" s="256"/>
    </row>
    <row r="2361" spans="1:1">
      <c r="A2361" s="256"/>
    </row>
    <row r="2362" spans="1:1">
      <c r="A2362" s="256"/>
    </row>
    <row r="2363" spans="1:1">
      <c r="A2363" s="256"/>
    </row>
    <row r="2364" spans="1:1">
      <c r="A2364" s="256"/>
    </row>
    <row r="2365" spans="1:1">
      <c r="A2365" s="256"/>
    </row>
    <row r="2366" spans="1:1">
      <c r="A2366" s="256"/>
    </row>
    <row r="2367" spans="1:1">
      <c r="A2367" s="256"/>
    </row>
    <row r="2368" spans="1:1">
      <c r="A2368" s="256"/>
    </row>
    <row r="2369" spans="1:1">
      <c r="A2369" s="256"/>
    </row>
    <row r="2370" spans="1:1">
      <c r="A2370" s="256"/>
    </row>
    <row r="2371" spans="1:1">
      <c r="A2371" s="256"/>
    </row>
    <row r="2372" spans="1:1">
      <c r="A2372" s="256"/>
    </row>
    <row r="2373" spans="1:1">
      <c r="A2373" s="256"/>
    </row>
    <row r="2374" spans="1:1">
      <c r="A2374" s="256"/>
    </row>
    <row r="2375" spans="1:1">
      <c r="A2375" s="256"/>
    </row>
    <row r="2376" spans="1:1">
      <c r="A2376" s="256"/>
    </row>
    <row r="2377" spans="1:1">
      <c r="A2377" s="256"/>
    </row>
    <row r="2378" spans="1:1">
      <c r="A2378" s="256"/>
    </row>
    <row r="2379" spans="1:1">
      <c r="A2379" s="256"/>
    </row>
    <row r="2380" spans="1:1">
      <c r="A2380" s="256"/>
    </row>
    <row r="2381" spans="1:1">
      <c r="A2381" s="256"/>
    </row>
    <row r="2382" spans="1:1">
      <c r="A2382" s="256"/>
    </row>
    <row r="2383" spans="1:1">
      <c r="A2383" s="256"/>
    </row>
    <row r="2384" spans="1:1">
      <c r="A2384" s="256"/>
    </row>
    <row r="2385" spans="1:1">
      <c r="A2385" s="256"/>
    </row>
    <row r="2386" spans="1:1">
      <c r="A2386" s="256"/>
    </row>
    <row r="2387" spans="1:1">
      <c r="A2387" s="256"/>
    </row>
    <row r="2388" spans="1:1">
      <c r="A2388" s="256"/>
    </row>
    <row r="2389" spans="1:1">
      <c r="A2389" s="256"/>
    </row>
    <row r="2390" spans="1:1">
      <c r="A2390" s="256"/>
    </row>
    <row r="2391" spans="1:1">
      <c r="A2391" s="256"/>
    </row>
    <row r="2392" spans="1:1">
      <c r="A2392" s="256"/>
    </row>
    <row r="2393" spans="1:1">
      <c r="A2393" s="256"/>
    </row>
    <row r="2394" spans="1:1">
      <c r="A2394" s="256"/>
    </row>
    <row r="2395" spans="1:1">
      <c r="A2395" s="256"/>
    </row>
    <row r="2396" spans="1:1">
      <c r="A2396" s="256"/>
    </row>
    <row r="2397" spans="1:1">
      <c r="A2397" s="256"/>
    </row>
    <row r="2398" spans="1:1">
      <c r="A2398" s="256"/>
    </row>
    <row r="2399" spans="1:1">
      <c r="A2399" s="256"/>
    </row>
    <row r="2400" spans="1:1">
      <c r="A2400" s="256"/>
    </row>
    <row r="2401" spans="1:1">
      <c r="A2401" s="256"/>
    </row>
    <row r="2402" spans="1:1">
      <c r="A2402" s="256"/>
    </row>
    <row r="2403" spans="1:1">
      <c r="A2403" s="256"/>
    </row>
    <row r="2404" spans="1:1">
      <c r="A2404" s="256"/>
    </row>
    <row r="2405" spans="1:1">
      <c r="A2405" s="256"/>
    </row>
    <row r="2406" spans="1:1">
      <c r="A2406" s="256"/>
    </row>
    <row r="2407" spans="1:1">
      <c r="A2407" s="256"/>
    </row>
    <row r="2408" spans="1:1">
      <c r="A2408" s="256"/>
    </row>
    <row r="2409" spans="1:1">
      <c r="A2409" s="256"/>
    </row>
    <row r="2410" spans="1:1">
      <c r="A2410" s="256"/>
    </row>
    <row r="2411" spans="1:1">
      <c r="A2411" s="256"/>
    </row>
    <row r="2412" spans="1:1">
      <c r="A2412" s="256"/>
    </row>
    <row r="2413" spans="1:1">
      <c r="A2413" s="256"/>
    </row>
    <row r="2414" spans="1:1">
      <c r="A2414" s="256"/>
    </row>
    <row r="2415" spans="1:1">
      <c r="A2415" s="256"/>
    </row>
    <row r="2416" spans="1:1">
      <c r="A2416" s="256"/>
    </row>
    <row r="2417" spans="1:1">
      <c r="A2417" s="256"/>
    </row>
    <row r="2418" spans="1:1">
      <c r="A2418" s="256"/>
    </row>
    <row r="2419" spans="1:1">
      <c r="A2419" s="256"/>
    </row>
    <row r="2420" spans="1:1">
      <c r="A2420" s="256"/>
    </row>
    <row r="2421" spans="1:1">
      <c r="A2421" s="256"/>
    </row>
    <row r="2422" spans="1:1">
      <c r="A2422" s="256"/>
    </row>
    <row r="2423" spans="1:1">
      <c r="A2423" s="256"/>
    </row>
    <row r="2424" spans="1:1">
      <c r="A2424" s="256"/>
    </row>
    <row r="2425" spans="1:1">
      <c r="A2425" s="256"/>
    </row>
    <row r="2426" spans="1:1">
      <c r="A2426" s="256"/>
    </row>
    <row r="2427" spans="1:1">
      <c r="A2427" s="256"/>
    </row>
    <row r="2428" spans="1:1">
      <c r="A2428" s="256"/>
    </row>
    <row r="2429" spans="1:1">
      <c r="A2429" s="256"/>
    </row>
    <row r="2430" spans="1:1">
      <c r="A2430" s="256"/>
    </row>
    <row r="2431" spans="1:1">
      <c r="A2431" s="256"/>
    </row>
    <row r="2432" spans="1:1">
      <c r="A2432" s="256"/>
    </row>
    <row r="2433" spans="1:1">
      <c r="A2433" s="256"/>
    </row>
    <row r="2434" spans="1:1">
      <c r="A2434" s="256"/>
    </row>
    <row r="2435" spans="1:1">
      <c r="A2435" s="256"/>
    </row>
    <row r="2436" spans="1:1">
      <c r="A2436" s="256"/>
    </row>
    <row r="2437" spans="1:1">
      <c r="A2437" s="256"/>
    </row>
    <row r="2438" spans="1:1">
      <c r="A2438" s="256"/>
    </row>
    <row r="2439" spans="1:1">
      <c r="A2439" s="256"/>
    </row>
    <row r="2440" spans="1:1">
      <c r="A2440" s="256"/>
    </row>
    <row r="2441" spans="1:1">
      <c r="A2441" s="256"/>
    </row>
    <row r="2442" spans="1:1">
      <c r="A2442" s="256"/>
    </row>
    <row r="2443" spans="1:1">
      <c r="A2443" s="256"/>
    </row>
    <row r="2444" spans="1:1">
      <c r="A2444" s="256"/>
    </row>
    <row r="2445" spans="1:1">
      <c r="A2445" s="256"/>
    </row>
    <row r="2446" spans="1:1">
      <c r="A2446" s="256"/>
    </row>
    <row r="2447" spans="1:1">
      <c r="A2447" s="256"/>
    </row>
    <row r="2448" spans="1:1">
      <c r="A2448" s="256"/>
    </row>
    <row r="2449" spans="1:1">
      <c r="A2449" s="256"/>
    </row>
    <row r="2450" spans="1:1">
      <c r="A2450" s="256"/>
    </row>
    <row r="2451" spans="1:1">
      <c r="A2451" s="256"/>
    </row>
    <row r="2452" spans="1:1">
      <c r="A2452" s="256"/>
    </row>
    <row r="2453" spans="1:1">
      <c r="A2453" s="256"/>
    </row>
    <row r="2454" spans="1:1">
      <c r="A2454" s="256"/>
    </row>
    <row r="2455" spans="1:1">
      <c r="A2455" s="256"/>
    </row>
    <row r="2456" spans="1:1">
      <c r="A2456" s="256"/>
    </row>
    <row r="2457" spans="1:1">
      <c r="A2457" s="256"/>
    </row>
    <row r="2458" spans="1:1">
      <c r="A2458" s="256"/>
    </row>
    <row r="2459" spans="1:1">
      <c r="A2459" s="256"/>
    </row>
    <row r="2460" spans="1:1">
      <c r="A2460" s="256"/>
    </row>
    <row r="2461" spans="1:1">
      <c r="A2461" s="256"/>
    </row>
    <row r="2462" spans="1:1">
      <c r="A2462" s="256"/>
    </row>
    <row r="2463" spans="1:1">
      <c r="A2463" s="256"/>
    </row>
    <row r="2464" spans="1:1">
      <c r="A2464" s="256"/>
    </row>
    <row r="2465" spans="1:1">
      <c r="A2465" s="256"/>
    </row>
    <row r="2466" spans="1:1">
      <c r="A2466" s="256"/>
    </row>
    <row r="2467" spans="1:1">
      <c r="A2467" s="256"/>
    </row>
    <row r="2468" spans="1:1">
      <c r="A2468" s="256"/>
    </row>
    <row r="2469" spans="1:1">
      <c r="A2469" s="256"/>
    </row>
    <row r="2470" spans="1:1">
      <c r="A2470" s="256"/>
    </row>
    <row r="2471" spans="1:1">
      <c r="A2471" s="256"/>
    </row>
    <row r="2472" spans="1:1">
      <c r="A2472" s="256"/>
    </row>
    <row r="2473" spans="1:1">
      <c r="A2473" s="256"/>
    </row>
    <row r="2474" spans="1:1">
      <c r="A2474" s="256"/>
    </row>
    <row r="2475" spans="1:1">
      <c r="A2475" s="256"/>
    </row>
    <row r="2476" spans="1:1">
      <c r="A2476" s="256"/>
    </row>
    <row r="2477" spans="1:1">
      <c r="A2477" s="256"/>
    </row>
    <row r="2478" spans="1:1">
      <c r="A2478" s="256"/>
    </row>
    <row r="2479" spans="1:1">
      <c r="A2479" s="256"/>
    </row>
    <row r="2480" spans="1:1">
      <c r="A2480" s="256"/>
    </row>
    <row r="2481" spans="1:1">
      <c r="A2481" s="256"/>
    </row>
    <row r="2482" spans="1:1">
      <c r="A2482" s="256"/>
    </row>
    <row r="2483" spans="1:1">
      <c r="A2483" s="256"/>
    </row>
    <row r="2484" spans="1:1">
      <c r="A2484" s="256"/>
    </row>
    <row r="2485" spans="1:1">
      <c r="A2485" s="256"/>
    </row>
    <row r="2486" spans="1:1">
      <c r="A2486" s="256"/>
    </row>
    <row r="2487" spans="1:1">
      <c r="A2487" s="256"/>
    </row>
    <row r="2488" spans="1:1">
      <c r="A2488" s="256"/>
    </row>
    <row r="2489" spans="1:1">
      <c r="A2489" s="256"/>
    </row>
    <row r="2490" spans="1:1">
      <c r="A2490" s="256"/>
    </row>
    <row r="2491" spans="1:1">
      <c r="A2491" s="256"/>
    </row>
    <row r="2492" spans="1:1">
      <c r="A2492" s="256"/>
    </row>
    <row r="2493" spans="1:1">
      <c r="A2493" s="256"/>
    </row>
    <row r="2494" spans="1:1">
      <c r="A2494" s="256"/>
    </row>
    <row r="2495" spans="1:1">
      <c r="A2495" s="256"/>
    </row>
    <row r="2496" spans="1:1">
      <c r="A2496" s="256"/>
    </row>
    <row r="2497" spans="1:1">
      <c r="A2497" s="256"/>
    </row>
    <row r="2498" spans="1:1">
      <c r="A2498" s="256"/>
    </row>
    <row r="2499" spans="1:1">
      <c r="A2499" s="256"/>
    </row>
    <row r="2500" spans="1:1">
      <c r="A2500" s="256"/>
    </row>
    <row r="2501" spans="1:1">
      <c r="A2501" s="256"/>
    </row>
    <row r="2502" spans="1:1">
      <c r="A2502" s="256"/>
    </row>
    <row r="2503" spans="1:1">
      <c r="A2503" s="256"/>
    </row>
    <row r="2504" spans="1:1">
      <c r="A2504" s="256"/>
    </row>
    <row r="2505" spans="1:1">
      <c r="A2505" s="256"/>
    </row>
    <row r="2506" spans="1:1">
      <c r="A2506" s="256"/>
    </row>
    <row r="2507" spans="1:1">
      <c r="A2507" s="256"/>
    </row>
    <row r="2508" spans="1:1">
      <c r="A2508" s="256"/>
    </row>
    <row r="2509" spans="1:1">
      <c r="A2509" s="256"/>
    </row>
    <row r="2510" spans="1:1">
      <c r="A2510" s="256"/>
    </row>
    <row r="2511" spans="1:1">
      <c r="A2511" s="256"/>
    </row>
    <row r="2512" spans="1:1">
      <c r="A2512" s="256"/>
    </row>
    <row r="2513" spans="1:1">
      <c r="A2513" s="256"/>
    </row>
    <row r="2514" spans="1:1">
      <c r="A2514" s="256"/>
    </row>
    <row r="2515" spans="1:1">
      <c r="A2515" s="256"/>
    </row>
    <row r="2516" spans="1:1">
      <c r="A2516" s="256"/>
    </row>
    <row r="2517" spans="1:1">
      <c r="A2517" s="256"/>
    </row>
    <row r="2518" spans="1:1">
      <c r="A2518" s="256"/>
    </row>
    <row r="2519" spans="1:1">
      <c r="A2519" s="256"/>
    </row>
    <row r="2520" spans="1:1">
      <c r="A2520" s="256"/>
    </row>
    <row r="2521" spans="1:1">
      <c r="A2521" s="256"/>
    </row>
    <row r="2522" spans="1:1">
      <c r="A2522" s="256"/>
    </row>
    <row r="2523" spans="1:1">
      <c r="A2523" s="256"/>
    </row>
    <row r="2524" spans="1:1">
      <c r="A2524" s="256"/>
    </row>
    <row r="2525" spans="1:1">
      <c r="A2525" s="256"/>
    </row>
    <row r="2526" spans="1:1">
      <c r="A2526" s="256"/>
    </row>
    <row r="2527" spans="1:1">
      <c r="A2527" s="256"/>
    </row>
    <row r="2528" spans="1:1">
      <c r="A2528" s="256"/>
    </row>
    <row r="2529" spans="1:1">
      <c r="A2529" s="256"/>
    </row>
    <row r="2530" spans="1:1">
      <c r="A2530" s="256"/>
    </row>
    <row r="2531" spans="1:1">
      <c r="A2531" s="256"/>
    </row>
    <row r="2532" spans="1:1">
      <c r="A2532" s="256"/>
    </row>
    <row r="2533" spans="1:1">
      <c r="A2533" s="256"/>
    </row>
    <row r="2534" spans="1:1">
      <c r="A2534" s="256"/>
    </row>
    <row r="2535" spans="1:1">
      <c r="A2535" s="256"/>
    </row>
    <row r="2536" spans="1:1">
      <c r="A2536" s="256"/>
    </row>
    <row r="2537" spans="1:1">
      <c r="A2537" s="256"/>
    </row>
    <row r="2538" spans="1:1">
      <c r="A2538" s="256"/>
    </row>
    <row r="2539" spans="1:1">
      <c r="A2539" s="256"/>
    </row>
    <row r="2540" spans="1:1">
      <c r="A2540" s="256"/>
    </row>
    <row r="2541" spans="1:1">
      <c r="A2541" s="256"/>
    </row>
    <row r="2542" spans="1:1">
      <c r="A2542" s="256"/>
    </row>
    <row r="2543" spans="1:1">
      <c r="A2543" s="256"/>
    </row>
    <row r="2544" spans="1:1">
      <c r="A2544" s="256"/>
    </row>
    <row r="2545" spans="1:1">
      <c r="A2545" s="256"/>
    </row>
    <row r="2546" spans="1:1">
      <c r="A2546" s="256"/>
    </row>
    <row r="2547" spans="1:1">
      <c r="A2547" s="256"/>
    </row>
    <row r="2548" spans="1:1">
      <c r="A2548" s="256"/>
    </row>
    <row r="2549" spans="1:1">
      <c r="A2549" s="256"/>
    </row>
    <row r="2550" spans="1:1">
      <c r="A2550" s="256"/>
    </row>
    <row r="2551" spans="1:1">
      <c r="A2551" s="256"/>
    </row>
    <row r="2552" spans="1:1">
      <c r="A2552" s="256"/>
    </row>
    <row r="2553" spans="1:1">
      <c r="A2553" s="256"/>
    </row>
    <row r="2554" spans="1:1">
      <c r="A2554" s="256"/>
    </row>
    <row r="2555" spans="1:1">
      <c r="A2555" s="256"/>
    </row>
    <row r="2556" spans="1:1">
      <c r="A2556" s="256"/>
    </row>
    <row r="2557" spans="1:1">
      <c r="A2557" s="256"/>
    </row>
    <row r="2558" spans="1:1">
      <c r="A2558" s="256"/>
    </row>
    <row r="2559" spans="1:1">
      <c r="A2559" s="256"/>
    </row>
    <row r="2560" spans="1:1">
      <c r="A2560" s="256"/>
    </row>
    <row r="2561" spans="1:1">
      <c r="A2561" s="256"/>
    </row>
    <row r="2562" spans="1:1">
      <c r="A2562" s="256"/>
    </row>
    <row r="2563" spans="1:1">
      <c r="A2563" s="256"/>
    </row>
    <row r="2564" spans="1:1">
      <c r="A2564" s="256"/>
    </row>
    <row r="2565" spans="1:1">
      <c r="A2565" s="256"/>
    </row>
    <row r="2566" spans="1:1">
      <c r="A2566" s="256"/>
    </row>
    <row r="2567" spans="1:1">
      <c r="A2567" s="256"/>
    </row>
    <row r="2568" spans="1:1">
      <c r="A2568" s="256"/>
    </row>
    <row r="2569" spans="1:1">
      <c r="A2569" s="256"/>
    </row>
    <row r="2570" spans="1:1">
      <c r="A2570" s="256"/>
    </row>
    <row r="2571" spans="1:1">
      <c r="A2571" s="256"/>
    </row>
    <row r="2572" spans="1:1">
      <c r="A2572" s="256"/>
    </row>
    <row r="2573" spans="1:1">
      <c r="A2573" s="256"/>
    </row>
    <row r="2574" spans="1:1">
      <c r="A2574" s="256"/>
    </row>
    <row r="2575" spans="1:1">
      <c r="A2575" s="256"/>
    </row>
    <row r="2576" spans="1:1">
      <c r="A2576" s="256"/>
    </row>
    <row r="2577" spans="1:1">
      <c r="A2577" s="256"/>
    </row>
    <row r="2578" spans="1:1">
      <c r="A2578" s="256"/>
    </row>
    <row r="2579" spans="1:1">
      <c r="A2579" s="256"/>
    </row>
    <row r="2580" spans="1:1">
      <c r="A2580" s="256"/>
    </row>
    <row r="2581" spans="1:1">
      <c r="A2581" s="256"/>
    </row>
    <row r="2582" spans="1:1">
      <c r="A2582" s="256"/>
    </row>
    <row r="2583" spans="1:1">
      <c r="A2583" s="256"/>
    </row>
    <row r="2584" spans="1:1">
      <c r="A2584" s="256"/>
    </row>
    <row r="2585" spans="1:1">
      <c r="A2585" s="256"/>
    </row>
    <row r="2586" spans="1:1">
      <c r="A2586" s="256"/>
    </row>
    <row r="2587" spans="1:1">
      <c r="A2587" s="256"/>
    </row>
    <row r="2588" spans="1:1">
      <c r="A2588" s="256"/>
    </row>
    <row r="2589" spans="1:1">
      <c r="A2589" s="256"/>
    </row>
    <row r="2590" spans="1:1">
      <c r="A2590" s="256"/>
    </row>
    <row r="2591" spans="1:1">
      <c r="A2591" s="256"/>
    </row>
    <row r="2592" spans="1:1">
      <c r="A2592" s="256"/>
    </row>
    <row r="2593" spans="1:1">
      <c r="A2593" s="256"/>
    </row>
    <row r="2594" spans="1:1">
      <c r="A2594" s="256"/>
    </row>
    <row r="2595" spans="1:1">
      <c r="A2595" s="256"/>
    </row>
    <row r="2596" spans="1:1">
      <c r="A2596" s="256"/>
    </row>
    <row r="2597" spans="1:1">
      <c r="A2597" s="256"/>
    </row>
    <row r="2598" spans="1:1">
      <c r="A2598" s="256"/>
    </row>
    <row r="2599" spans="1:1">
      <c r="A2599" s="256"/>
    </row>
    <row r="2600" spans="1:1">
      <c r="A2600" s="256"/>
    </row>
    <row r="2601" spans="1:1">
      <c r="A2601" s="256"/>
    </row>
    <row r="2602" spans="1:1">
      <c r="A2602" s="256"/>
    </row>
    <row r="2603" spans="1:1">
      <c r="A2603" s="256"/>
    </row>
    <row r="2604" spans="1:1">
      <c r="A2604" s="256"/>
    </row>
    <row r="2605" spans="1:1">
      <c r="A2605" s="256"/>
    </row>
    <row r="2606" spans="1:1">
      <c r="A2606" s="256"/>
    </row>
    <row r="2607" spans="1:1">
      <c r="A2607" s="256"/>
    </row>
    <row r="2608" spans="1:1">
      <c r="A2608" s="256"/>
    </row>
    <row r="2609" spans="1:1">
      <c r="A2609" s="256"/>
    </row>
    <row r="2610" spans="1:1">
      <c r="A2610" s="256"/>
    </row>
    <row r="2611" spans="1:1">
      <c r="A2611" s="256"/>
    </row>
    <row r="2612" spans="1:1">
      <c r="A2612" s="256"/>
    </row>
    <row r="2613" spans="1:1">
      <c r="A2613" s="256"/>
    </row>
    <row r="2614" spans="1:1">
      <c r="A2614" s="256"/>
    </row>
    <row r="2615" spans="1:1">
      <c r="A2615" s="256"/>
    </row>
    <row r="2616" spans="1:1">
      <c r="A2616" s="256"/>
    </row>
    <row r="2617" spans="1:1">
      <c r="A2617" s="256"/>
    </row>
    <row r="2618" spans="1:1">
      <c r="A2618" s="256"/>
    </row>
    <row r="2619" spans="1:1">
      <c r="A2619" s="256"/>
    </row>
    <row r="2620" spans="1:1">
      <c r="A2620" s="256"/>
    </row>
    <row r="2621" spans="1:1">
      <c r="A2621" s="256"/>
    </row>
    <row r="2622" spans="1:1">
      <c r="A2622" s="256"/>
    </row>
    <row r="2623" spans="1:1">
      <c r="A2623" s="256"/>
    </row>
    <row r="2624" spans="1:1">
      <c r="A2624" s="256"/>
    </row>
    <row r="2625" spans="1:1">
      <c r="A2625" s="256"/>
    </row>
    <row r="2626" spans="1:1">
      <c r="A2626" s="256"/>
    </row>
    <row r="2627" spans="1:1">
      <c r="A2627" s="256"/>
    </row>
    <row r="2628" spans="1:1">
      <c r="A2628" s="256"/>
    </row>
    <row r="2629" spans="1:1">
      <c r="A2629" s="256"/>
    </row>
    <row r="2630" spans="1:1">
      <c r="A2630" s="256"/>
    </row>
    <row r="2631" spans="1:1">
      <c r="A2631" s="256"/>
    </row>
    <row r="2632" spans="1:1">
      <c r="A2632" s="256"/>
    </row>
    <row r="2633" spans="1:1">
      <c r="A2633" s="256"/>
    </row>
    <row r="2634" spans="1:1">
      <c r="A2634" s="256"/>
    </row>
    <row r="2635" spans="1:1">
      <c r="A2635" s="256"/>
    </row>
    <row r="2636" spans="1:1">
      <c r="A2636" s="256"/>
    </row>
    <row r="2637" spans="1:1">
      <c r="A2637" s="256"/>
    </row>
    <row r="2638" spans="1:1">
      <c r="A2638" s="256"/>
    </row>
    <row r="2639" spans="1:1">
      <c r="A2639" s="256"/>
    </row>
    <row r="2640" spans="1:1">
      <c r="A2640" s="256"/>
    </row>
    <row r="2641" spans="1:1">
      <c r="A2641" s="256"/>
    </row>
    <row r="2642" spans="1:1">
      <c r="A2642" s="256"/>
    </row>
    <row r="2643" spans="1:1">
      <c r="A2643" s="256"/>
    </row>
    <row r="2644" spans="1:1">
      <c r="A2644" s="256"/>
    </row>
    <row r="2645" spans="1:1">
      <c r="A2645" s="256"/>
    </row>
    <row r="2646" spans="1:1">
      <c r="A2646" s="256"/>
    </row>
    <row r="2647" spans="1:1">
      <c r="A2647" s="256"/>
    </row>
    <row r="2648" spans="1:1">
      <c r="A2648" s="256"/>
    </row>
    <row r="2649" spans="1:1">
      <c r="A2649" s="256"/>
    </row>
    <row r="2650" spans="1:1">
      <c r="A2650" s="256"/>
    </row>
    <row r="2651" spans="1:1">
      <c r="A2651" s="256"/>
    </row>
    <row r="2652" spans="1:1">
      <c r="A2652" s="256"/>
    </row>
    <row r="2653" spans="1:1">
      <c r="A2653" s="256"/>
    </row>
    <row r="2654" spans="1:1">
      <c r="A2654" s="256"/>
    </row>
    <row r="2655" spans="1:1">
      <c r="A2655" s="256"/>
    </row>
    <row r="2656" spans="1:1">
      <c r="A2656" s="256"/>
    </row>
    <row r="2657" spans="1:1">
      <c r="A2657" s="256"/>
    </row>
    <row r="2658" spans="1:1">
      <c r="A2658" s="256"/>
    </row>
    <row r="2659" spans="1:1">
      <c r="A2659" s="256"/>
    </row>
    <row r="2660" spans="1:1">
      <c r="A2660" s="256"/>
    </row>
    <row r="2661" spans="1:1">
      <c r="A2661" s="256"/>
    </row>
    <row r="2662" spans="1:1">
      <c r="A2662" s="256"/>
    </row>
    <row r="2663" spans="1:1">
      <c r="A2663" s="256"/>
    </row>
    <row r="2664" spans="1:1">
      <c r="A2664" s="256"/>
    </row>
    <row r="2665" spans="1:1">
      <c r="A2665" s="256"/>
    </row>
    <row r="2666" spans="1:1">
      <c r="A2666" s="256"/>
    </row>
    <row r="2667" spans="1:1">
      <c r="A2667" s="256"/>
    </row>
    <row r="2668" spans="1:1">
      <c r="A2668" s="256"/>
    </row>
    <row r="2669" spans="1:1">
      <c r="A2669" s="256"/>
    </row>
    <row r="2670" spans="1:1">
      <c r="A2670" s="256"/>
    </row>
    <row r="2671" spans="1:1">
      <c r="A2671" s="256"/>
    </row>
    <row r="2672" spans="1:1">
      <c r="A2672" s="256"/>
    </row>
    <row r="2673" spans="1:1">
      <c r="A2673" s="256"/>
    </row>
    <row r="2674" spans="1:1">
      <c r="A2674" s="256"/>
    </row>
    <row r="2675" spans="1:1">
      <c r="A2675" s="256"/>
    </row>
    <row r="2676" spans="1:1">
      <c r="A2676" s="256"/>
    </row>
    <row r="2677" spans="1:1">
      <c r="A2677" s="256"/>
    </row>
    <row r="2678" spans="1:1">
      <c r="A2678" s="256"/>
    </row>
    <row r="2679" spans="1:1">
      <c r="A2679" s="256"/>
    </row>
    <row r="2680" spans="1:1">
      <c r="A2680" s="256"/>
    </row>
    <row r="2681" spans="1:1">
      <c r="A2681" s="256"/>
    </row>
    <row r="2682" spans="1:1">
      <c r="A2682" s="256"/>
    </row>
    <row r="2683" spans="1:1">
      <c r="A2683" s="256"/>
    </row>
    <row r="2684" spans="1:1">
      <c r="A2684" s="256"/>
    </row>
    <row r="2685" spans="1:1">
      <c r="A2685" s="256"/>
    </row>
    <row r="2686" spans="1:1">
      <c r="A2686" s="256"/>
    </row>
    <row r="2687" spans="1:1">
      <c r="A2687" s="256"/>
    </row>
    <row r="2688" spans="1:1">
      <c r="A2688" s="256"/>
    </row>
    <row r="2689" spans="1:1">
      <c r="A2689" s="256"/>
    </row>
    <row r="2690" spans="1:1">
      <c r="A2690" s="256"/>
    </row>
    <row r="2691" spans="1:1">
      <c r="A2691" s="256"/>
    </row>
    <row r="2692" spans="1:1">
      <c r="A2692" s="256"/>
    </row>
    <row r="2693" spans="1:1">
      <c r="A2693" s="256"/>
    </row>
    <row r="2694" spans="1:1">
      <c r="A2694" s="256"/>
    </row>
    <row r="2695" spans="1:1">
      <c r="A2695" s="256"/>
    </row>
    <row r="2696" spans="1:1">
      <c r="A2696" s="256"/>
    </row>
  </sheetData>
  <phoneticPr fontId="9" type="noConversion"/>
  <printOptions horizontalCentered="1"/>
  <pageMargins left="0.6" right="0.6" top="0.75" bottom="0.5" header="0.25" footer="0.24"/>
  <pageSetup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>
    <tabColor theme="6" tint="0.59999389629810485"/>
  </sheetPr>
  <dimension ref="A1:H380"/>
  <sheetViews>
    <sheetView showGridLines="0" zoomScaleNormal="100" zoomScaleSheetLayoutView="90" workbookViewId="0"/>
  </sheetViews>
  <sheetFormatPr defaultColWidth="9.625" defaultRowHeight="12.75"/>
  <cols>
    <col min="1" max="1" width="1.625" style="22" customWidth="1"/>
    <col min="2" max="2" width="7.375" style="22" bestFit="1" customWidth="1"/>
    <col min="3" max="3" width="31.25" style="22" bestFit="1" customWidth="1"/>
    <col min="4" max="4" width="6.75" style="22" customWidth="1"/>
    <col min="5" max="5" width="14.5" style="22" bestFit="1" customWidth="1"/>
    <col min="6" max="6" width="15.75" style="22" customWidth="1"/>
    <col min="7" max="7" width="5.125" style="22" customWidth="1"/>
    <col min="8" max="16384" width="9.625" style="22"/>
  </cols>
  <sheetData>
    <row r="1" spans="1:7">
      <c r="B1" s="106" t="str">
        <f>CONCATENATE(COMPANY,"-",JURISDICTION)</f>
        <v>Atmos Energy Corporation-Kentucky</v>
      </c>
      <c r="C1" s="107"/>
      <c r="D1" s="107"/>
      <c r="E1" s="261"/>
      <c r="F1" s="107"/>
      <c r="G1" s="262" t="s">
        <v>104</v>
      </c>
    </row>
    <row r="2" spans="1:7">
      <c r="B2" s="263" t="s">
        <v>206</v>
      </c>
      <c r="C2" s="263"/>
      <c r="D2" s="263"/>
      <c r="E2" s="263"/>
      <c r="F2" s="263"/>
      <c r="G2" s="264"/>
    </row>
    <row r="3" spans="1:7">
      <c r="B3" s="265" t="str">
        <f>'ATO-CWC2'!A4</f>
        <v>For the CWC Study Test Year Ended March 31, 2021</v>
      </c>
      <c r="C3" s="107"/>
      <c r="D3" s="107"/>
      <c r="E3" s="261"/>
      <c r="F3" s="107"/>
      <c r="G3" s="264"/>
    </row>
    <row r="4" spans="1:7">
      <c r="A4" s="266"/>
      <c r="B4" s="266"/>
      <c r="C4" s="266"/>
      <c r="D4" s="266"/>
      <c r="E4" s="266"/>
      <c r="F4" s="266"/>
      <c r="G4" s="266"/>
    </row>
    <row r="6" spans="1:7">
      <c r="B6" s="187" t="s">
        <v>118</v>
      </c>
      <c r="C6" s="267" t="s">
        <v>146</v>
      </c>
      <c r="D6" s="268"/>
      <c r="E6" s="269" t="s">
        <v>141</v>
      </c>
      <c r="F6" s="268"/>
      <c r="G6" s="270"/>
    </row>
    <row r="7" spans="1:7">
      <c r="B7" s="53"/>
      <c r="C7" s="268"/>
      <c r="D7" s="268"/>
      <c r="E7" s="57"/>
      <c r="F7" s="268"/>
      <c r="G7" s="256"/>
    </row>
    <row r="8" spans="1:7">
      <c r="B8" s="54">
        <v>1</v>
      </c>
      <c r="C8" s="353">
        <v>43922</v>
      </c>
      <c r="D8" s="138"/>
      <c r="E8" s="354">
        <v>9331184.8800000008</v>
      </c>
      <c r="F8" s="138"/>
      <c r="G8" s="271"/>
    </row>
    <row r="9" spans="1:7">
      <c r="B9" s="54">
        <f t="shared" ref="B9:B72" si="0">B8+1</f>
        <v>2</v>
      </c>
      <c r="C9" s="353">
        <v>43923</v>
      </c>
      <c r="D9" s="138"/>
      <c r="E9" s="354">
        <v>9506129.7400000002</v>
      </c>
      <c r="F9" s="138"/>
      <c r="G9" s="271"/>
    </row>
    <row r="10" spans="1:7">
      <c r="B10" s="54">
        <f t="shared" si="0"/>
        <v>3</v>
      </c>
      <c r="C10" s="353">
        <v>43924</v>
      </c>
      <c r="D10" s="138"/>
      <c r="E10" s="354">
        <v>9639303.8499999996</v>
      </c>
      <c r="F10" s="138"/>
      <c r="G10" s="271"/>
    </row>
    <row r="11" spans="1:7">
      <c r="B11" s="54">
        <f t="shared" si="0"/>
        <v>4</v>
      </c>
      <c r="C11" s="353">
        <v>43925</v>
      </c>
      <c r="D11" s="138"/>
      <c r="E11" s="354">
        <v>9639303.8499999996</v>
      </c>
      <c r="F11" s="138"/>
      <c r="G11" s="271"/>
    </row>
    <row r="12" spans="1:7">
      <c r="B12" s="54">
        <f t="shared" si="0"/>
        <v>5</v>
      </c>
      <c r="C12" s="353">
        <v>43926</v>
      </c>
      <c r="D12" s="138"/>
      <c r="E12" s="354">
        <v>9533324.8399999999</v>
      </c>
      <c r="F12" s="138"/>
      <c r="G12" s="271"/>
    </row>
    <row r="13" spans="1:7">
      <c r="B13" s="54">
        <f t="shared" si="0"/>
        <v>6</v>
      </c>
      <c r="C13" s="353">
        <v>43927</v>
      </c>
      <c r="D13" s="138"/>
      <c r="E13" s="354">
        <v>7852709.5599999996</v>
      </c>
      <c r="F13" s="138"/>
      <c r="G13" s="272"/>
    </row>
    <row r="14" spans="1:7">
      <c r="B14" s="54">
        <f t="shared" si="0"/>
        <v>7</v>
      </c>
      <c r="C14" s="353">
        <v>43928</v>
      </c>
      <c r="D14" s="138"/>
      <c r="E14" s="354">
        <v>7596891.1500000004</v>
      </c>
      <c r="F14" s="138"/>
      <c r="G14" s="271"/>
    </row>
    <row r="15" spans="1:7">
      <c r="B15" s="54">
        <f t="shared" si="0"/>
        <v>8</v>
      </c>
      <c r="C15" s="353">
        <v>43929</v>
      </c>
      <c r="D15" s="138"/>
      <c r="E15" s="354">
        <v>7344727.3099999996</v>
      </c>
      <c r="F15" s="138"/>
      <c r="G15" s="271"/>
    </row>
    <row r="16" spans="1:7">
      <c r="B16" s="54">
        <f t="shared" si="0"/>
        <v>9</v>
      </c>
      <c r="C16" s="353">
        <v>43930</v>
      </c>
      <c r="D16" s="138"/>
      <c r="E16" s="354">
        <v>7604955.8099999996</v>
      </c>
      <c r="F16" s="138"/>
      <c r="G16" s="271"/>
    </row>
    <row r="17" spans="2:7">
      <c r="B17" s="54">
        <f t="shared" si="0"/>
        <v>10</v>
      </c>
      <c r="C17" s="353">
        <v>43931</v>
      </c>
      <c r="D17" s="138"/>
      <c r="E17" s="354">
        <v>7604955.8099999996</v>
      </c>
      <c r="F17" s="138"/>
      <c r="G17" s="271"/>
    </row>
    <row r="18" spans="2:7">
      <c r="B18" s="54">
        <f t="shared" si="0"/>
        <v>11</v>
      </c>
      <c r="C18" s="353">
        <v>43932</v>
      </c>
      <c r="D18" s="138"/>
      <c r="E18" s="354">
        <v>7604955.8099999996</v>
      </c>
      <c r="F18" s="138"/>
      <c r="G18" s="271"/>
    </row>
    <row r="19" spans="2:7">
      <c r="B19" s="54">
        <f t="shared" si="0"/>
        <v>12</v>
      </c>
      <c r="C19" s="353">
        <v>43933</v>
      </c>
      <c r="D19" s="138"/>
      <c r="E19" s="354">
        <v>7218221.2999999998</v>
      </c>
      <c r="F19" s="138"/>
      <c r="G19" s="271"/>
    </row>
    <row r="20" spans="2:7">
      <c r="B20" s="54">
        <f t="shared" si="0"/>
        <v>13</v>
      </c>
      <c r="C20" s="353">
        <v>43934</v>
      </c>
      <c r="D20" s="138"/>
      <c r="E20" s="354">
        <v>5824792.9500000002</v>
      </c>
      <c r="F20" s="138"/>
      <c r="G20" s="272"/>
    </row>
    <row r="21" spans="2:7">
      <c r="B21" s="54">
        <f t="shared" si="0"/>
        <v>14</v>
      </c>
      <c r="C21" s="353">
        <v>43935</v>
      </c>
      <c r="D21" s="138"/>
      <c r="E21" s="354">
        <v>5869542.0199999996</v>
      </c>
      <c r="F21" s="138"/>
      <c r="G21" s="271"/>
    </row>
    <row r="22" spans="2:7">
      <c r="B22" s="54">
        <f t="shared" si="0"/>
        <v>15</v>
      </c>
      <c r="C22" s="353">
        <v>43936</v>
      </c>
      <c r="D22" s="138"/>
      <c r="E22" s="354">
        <v>7072291.7999999998</v>
      </c>
      <c r="F22" s="138"/>
      <c r="G22" s="271"/>
    </row>
    <row r="23" spans="2:7">
      <c r="B23" s="54">
        <f t="shared" si="0"/>
        <v>16</v>
      </c>
      <c r="C23" s="353">
        <v>43937</v>
      </c>
      <c r="D23" s="138"/>
      <c r="E23" s="354">
        <v>7464120.7999999998</v>
      </c>
      <c r="F23" s="138"/>
      <c r="G23" s="271"/>
    </row>
    <row r="24" spans="2:7">
      <c r="B24" s="54">
        <f t="shared" si="0"/>
        <v>17</v>
      </c>
      <c r="C24" s="353">
        <v>43938</v>
      </c>
      <c r="D24" s="138"/>
      <c r="E24" s="354">
        <v>7948256.2000000002</v>
      </c>
      <c r="F24" s="138"/>
      <c r="G24" s="271"/>
    </row>
    <row r="25" spans="2:7">
      <c r="B25" s="54">
        <f t="shared" si="0"/>
        <v>18</v>
      </c>
      <c r="C25" s="353">
        <v>43939</v>
      </c>
      <c r="D25" s="138"/>
      <c r="E25" s="354">
        <v>7948256.2000000002</v>
      </c>
      <c r="F25" s="138"/>
      <c r="G25" s="271"/>
    </row>
    <row r="26" spans="2:7">
      <c r="B26" s="54">
        <f t="shared" si="0"/>
        <v>19</v>
      </c>
      <c r="C26" s="353">
        <v>43940</v>
      </c>
      <c r="D26" s="138"/>
      <c r="E26" s="354">
        <v>7446363.7199999997</v>
      </c>
      <c r="F26" s="138"/>
      <c r="G26" s="271"/>
    </row>
    <row r="27" spans="2:7">
      <c r="B27" s="54">
        <f t="shared" si="0"/>
        <v>20</v>
      </c>
      <c r="C27" s="353">
        <v>43941</v>
      </c>
      <c r="D27" s="138"/>
      <c r="E27" s="354">
        <v>7446363.7199999997</v>
      </c>
      <c r="F27" s="138"/>
      <c r="G27" s="272"/>
    </row>
    <row r="28" spans="2:7">
      <c r="B28" s="54">
        <f t="shared" si="0"/>
        <v>21</v>
      </c>
      <c r="C28" s="353">
        <v>43942</v>
      </c>
      <c r="D28" s="138"/>
      <c r="E28" s="354">
        <v>7764338.3200000003</v>
      </c>
      <c r="F28" s="138"/>
      <c r="G28" s="271"/>
    </row>
    <row r="29" spans="2:7">
      <c r="B29" s="54">
        <f t="shared" si="0"/>
        <v>22</v>
      </c>
      <c r="C29" s="353">
        <v>43943</v>
      </c>
      <c r="D29" s="138"/>
      <c r="E29" s="354">
        <v>7737230.6100000003</v>
      </c>
      <c r="F29" s="138"/>
      <c r="G29" s="271"/>
    </row>
    <row r="30" spans="2:7">
      <c r="B30" s="54">
        <f t="shared" si="0"/>
        <v>23</v>
      </c>
      <c r="C30" s="353">
        <v>43944</v>
      </c>
      <c r="D30" s="138"/>
      <c r="E30" s="354">
        <v>8138200.46</v>
      </c>
      <c r="F30" s="138"/>
      <c r="G30" s="271"/>
    </row>
    <row r="31" spans="2:7">
      <c r="B31" s="54">
        <f t="shared" si="0"/>
        <v>24</v>
      </c>
      <c r="C31" s="353">
        <v>43945</v>
      </c>
      <c r="D31" s="138"/>
      <c r="E31" s="354">
        <v>8494695.9499999993</v>
      </c>
      <c r="F31" s="138"/>
      <c r="G31" s="271"/>
    </row>
    <row r="32" spans="2:7">
      <c r="B32" s="54">
        <f t="shared" si="0"/>
        <v>25</v>
      </c>
      <c r="C32" s="353">
        <v>43946</v>
      </c>
      <c r="D32" s="138"/>
      <c r="E32" s="354">
        <v>8494695.9499999993</v>
      </c>
      <c r="F32" s="138"/>
      <c r="G32" s="271"/>
    </row>
    <row r="33" spans="2:7">
      <c r="B33" s="54">
        <f t="shared" si="0"/>
        <v>26</v>
      </c>
      <c r="C33" s="353">
        <v>43947</v>
      </c>
      <c r="D33" s="138"/>
      <c r="E33" s="354">
        <v>8384745.3499999996</v>
      </c>
      <c r="F33" s="138"/>
      <c r="G33" s="271"/>
    </row>
    <row r="34" spans="2:7">
      <c r="B34" s="54">
        <f t="shared" si="0"/>
        <v>27</v>
      </c>
      <c r="C34" s="353">
        <v>43948</v>
      </c>
      <c r="D34" s="138"/>
      <c r="E34" s="354">
        <v>7908961.1900000004</v>
      </c>
      <c r="F34" s="138"/>
      <c r="G34" s="272"/>
    </row>
    <row r="35" spans="2:7">
      <c r="B35" s="54">
        <f t="shared" si="0"/>
        <v>28</v>
      </c>
      <c r="C35" s="353">
        <v>43949</v>
      </c>
      <c r="D35" s="138"/>
      <c r="E35" s="354">
        <v>7968982.5700000003</v>
      </c>
      <c r="F35" s="138"/>
      <c r="G35" s="271"/>
    </row>
    <row r="36" spans="2:7">
      <c r="B36" s="54">
        <f t="shared" si="0"/>
        <v>29</v>
      </c>
      <c r="C36" s="353">
        <v>43950</v>
      </c>
      <c r="D36" s="138"/>
      <c r="E36" s="354">
        <v>7882036.8899999997</v>
      </c>
      <c r="F36" s="138"/>
      <c r="G36" s="271"/>
    </row>
    <row r="37" spans="2:7">
      <c r="B37" s="54">
        <f t="shared" si="0"/>
        <v>30</v>
      </c>
      <c r="C37" s="353">
        <v>43951</v>
      </c>
      <c r="D37" s="138"/>
      <c r="E37" s="354">
        <v>7674994.0599999996</v>
      </c>
      <c r="F37" s="138"/>
      <c r="G37" s="271"/>
    </row>
    <row r="38" spans="2:7">
      <c r="B38" s="54">
        <f t="shared" si="0"/>
        <v>31</v>
      </c>
      <c r="C38" s="353">
        <v>43952</v>
      </c>
      <c r="D38" s="138"/>
      <c r="E38" s="354">
        <v>7623996.0599999996</v>
      </c>
      <c r="F38" s="138"/>
      <c r="G38" s="271"/>
    </row>
    <row r="39" spans="2:7">
      <c r="B39" s="54">
        <f t="shared" si="0"/>
        <v>32</v>
      </c>
      <c r="C39" s="353">
        <v>43953</v>
      </c>
      <c r="D39" s="138"/>
      <c r="E39" s="354">
        <v>7547499.0599999996</v>
      </c>
      <c r="F39" s="138"/>
      <c r="G39" s="271"/>
    </row>
    <row r="40" spans="2:7">
      <c r="B40" s="54">
        <f t="shared" si="0"/>
        <v>33</v>
      </c>
      <c r="C40" s="353">
        <v>43954</v>
      </c>
      <c r="D40" s="138"/>
      <c r="E40" s="354">
        <v>7522000.54</v>
      </c>
      <c r="F40" s="138"/>
      <c r="G40" s="271"/>
    </row>
    <row r="41" spans="2:7">
      <c r="B41" s="54">
        <f t="shared" si="0"/>
        <v>34</v>
      </c>
      <c r="C41" s="353">
        <v>43955</v>
      </c>
      <c r="D41" s="138"/>
      <c r="E41" s="354">
        <v>6228300.6399999997</v>
      </c>
      <c r="F41" s="138"/>
      <c r="G41" s="272"/>
    </row>
    <row r="42" spans="2:7">
      <c r="B42" s="54">
        <f t="shared" si="0"/>
        <v>35</v>
      </c>
      <c r="C42" s="353">
        <v>43956</v>
      </c>
      <c r="D42" s="138"/>
      <c r="E42" s="354">
        <v>6160952.8799999999</v>
      </c>
      <c r="F42" s="138"/>
      <c r="G42" s="271"/>
    </row>
    <row r="43" spans="2:7">
      <c r="B43" s="54">
        <f t="shared" si="0"/>
        <v>36</v>
      </c>
      <c r="C43" s="353">
        <v>43957</v>
      </c>
      <c r="D43" s="138"/>
      <c r="E43" s="354">
        <v>5862542.1500000004</v>
      </c>
      <c r="F43" s="138"/>
      <c r="G43" s="271"/>
    </row>
    <row r="44" spans="2:7">
      <c r="B44" s="54">
        <f t="shared" si="0"/>
        <v>37</v>
      </c>
      <c r="C44" s="353">
        <v>43958</v>
      </c>
      <c r="D44" s="138"/>
      <c r="E44" s="354">
        <v>6371299.8600000003</v>
      </c>
      <c r="F44" s="138"/>
      <c r="G44" s="271"/>
    </row>
    <row r="45" spans="2:7">
      <c r="B45" s="54">
        <f t="shared" si="0"/>
        <v>38</v>
      </c>
      <c r="C45" s="353">
        <v>43959</v>
      </c>
      <c r="D45" s="138"/>
      <c r="E45" s="354">
        <v>5546638.3099999996</v>
      </c>
      <c r="F45" s="138"/>
      <c r="G45" s="271"/>
    </row>
    <row r="46" spans="2:7">
      <c r="B46" s="54">
        <f t="shared" si="0"/>
        <v>39</v>
      </c>
      <c r="C46" s="353">
        <v>43960</v>
      </c>
      <c r="D46" s="138"/>
      <c r="E46" s="354">
        <v>5546638.3099999996</v>
      </c>
      <c r="F46" s="138"/>
      <c r="G46" s="271"/>
    </row>
    <row r="47" spans="2:7">
      <c r="B47" s="54">
        <f t="shared" si="0"/>
        <v>40</v>
      </c>
      <c r="C47" s="353">
        <v>43961</v>
      </c>
      <c r="D47" s="138"/>
      <c r="E47" s="354">
        <v>5442693.04</v>
      </c>
      <c r="F47" s="138"/>
      <c r="G47" s="271"/>
    </row>
    <row r="48" spans="2:7">
      <c r="B48" s="54">
        <f t="shared" si="0"/>
        <v>41</v>
      </c>
      <c r="C48" s="353">
        <v>43962</v>
      </c>
      <c r="D48" s="138"/>
      <c r="E48" s="354">
        <v>5004236.58</v>
      </c>
      <c r="F48" s="138"/>
      <c r="G48" s="272"/>
    </row>
    <row r="49" spans="2:7">
      <c r="B49" s="54">
        <f t="shared" si="0"/>
        <v>42</v>
      </c>
      <c r="C49" s="353">
        <v>43963</v>
      </c>
      <c r="D49" s="138"/>
      <c r="E49" s="354">
        <v>4991766.28</v>
      </c>
      <c r="F49" s="138"/>
      <c r="G49" s="271"/>
    </row>
    <row r="50" spans="2:7">
      <c r="B50" s="54">
        <f t="shared" si="0"/>
        <v>43</v>
      </c>
      <c r="C50" s="353">
        <v>43964</v>
      </c>
      <c r="D50" s="138"/>
      <c r="E50" s="354">
        <v>4991552.08</v>
      </c>
      <c r="F50" s="138"/>
      <c r="G50" s="271"/>
    </row>
    <row r="51" spans="2:7">
      <c r="B51" s="54">
        <f t="shared" si="0"/>
        <v>44</v>
      </c>
      <c r="C51" s="353">
        <v>43965</v>
      </c>
      <c r="D51" s="138"/>
      <c r="E51" s="354">
        <v>5307985.03</v>
      </c>
      <c r="F51" s="138"/>
      <c r="G51" s="271"/>
    </row>
    <row r="52" spans="2:7">
      <c r="B52" s="54">
        <f t="shared" si="0"/>
        <v>45</v>
      </c>
      <c r="C52" s="353">
        <v>43966</v>
      </c>
      <c r="D52" s="138"/>
      <c r="E52" s="354">
        <v>6937809.5999999996</v>
      </c>
      <c r="F52" s="138"/>
      <c r="G52" s="271"/>
    </row>
    <row r="53" spans="2:7">
      <c r="B53" s="54">
        <f t="shared" si="0"/>
        <v>46</v>
      </c>
      <c r="C53" s="353">
        <v>43967</v>
      </c>
      <c r="D53" s="138"/>
      <c r="E53" s="354">
        <v>6937809.5999999996</v>
      </c>
      <c r="F53" s="138"/>
      <c r="G53" s="271"/>
    </row>
    <row r="54" spans="2:7">
      <c r="B54" s="54">
        <f t="shared" si="0"/>
        <v>47</v>
      </c>
      <c r="C54" s="353">
        <v>43968</v>
      </c>
      <c r="D54" s="138"/>
      <c r="E54" s="354">
        <v>6852722.8099999996</v>
      </c>
      <c r="F54" s="138"/>
      <c r="G54" s="271"/>
    </row>
    <row r="55" spans="2:7">
      <c r="B55" s="54">
        <f t="shared" si="0"/>
        <v>48</v>
      </c>
      <c r="C55" s="353">
        <v>43969</v>
      </c>
      <c r="D55" s="138"/>
      <c r="E55" s="354">
        <v>6484394.0099999998</v>
      </c>
      <c r="F55" s="138"/>
      <c r="G55" s="272"/>
    </row>
    <row r="56" spans="2:7">
      <c r="B56" s="54">
        <f t="shared" si="0"/>
        <v>49</v>
      </c>
      <c r="C56" s="353">
        <v>43970</v>
      </c>
      <c r="D56" s="138"/>
      <c r="E56" s="354">
        <v>6582523.7999999998</v>
      </c>
      <c r="F56" s="138"/>
      <c r="G56" s="271"/>
    </row>
    <row r="57" spans="2:7">
      <c r="B57" s="54">
        <f t="shared" si="0"/>
        <v>50</v>
      </c>
      <c r="C57" s="353">
        <v>43971</v>
      </c>
      <c r="D57" s="138"/>
      <c r="E57" s="354">
        <v>6575690.5999999996</v>
      </c>
      <c r="F57" s="138"/>
      <c r="G57" s="271"/>
    </row>
    <row r="58" spans="2:7">
      <c r="B58" s="54">
        <f t="shared" si="0"/>
        <v>51</v>
      </c>
      <c r="C58" s="353">
        <v>43972</v>
      </c>
      <c r="D58" s="138"/>
      <c r="E58" s="354">
        <v>6765062.54</v>
      </c>
      <c r="F58" s="138"/>
      <c r="G58" s="271"/>
    </row>
    <row r="59" spans="2:7">
      <c r="B59" s="54">
        <f t="shared" si="0"/>
        <v>52</v>
      </c>
      <c r="C59" s="353">
        <v>43973</v>
      </c>
      <c r="D59" s="138"/>
      <c r="E59" s="354">
        <v>7126767.5300000003</v>
      </c>
      <c r="F59" s="138"/>
      <c r="G59" s="271"/>
    </row>
    <row r="60" spans="2:7">
      <c r="B60" s="54">
        <f t="shared" si="0"/>
        <v>53</v>
      </c>
      <c r="C60" s="353">
        <v>43974</v>
      </c>
      <c r="D60" s="138"/>
      <c r="E60" s="354">
        <v>7126767.5300000003</v>
      </c>
      <c r="F60" s="138"/>
      <c r="G60" s="271"/>
    </row>
    <row r="61" spans="2:7">
      <c r="B61" s="54">
        <f t="shared" si="0"/>
        <v>54</v>
      </c>
      <c r="C61" s="353">
        <v>43975</v>
      </c>
      <c r="D61" s="138"/>
      <c r="E61" s="354">
        <v>7126767.5300000003</v>
      </c>
      <c r="F61" s="138"/>
      <c r="G61" s="271"/>
    </row>
    <row r="62" spans="2:7">
      <c r="B62" s="54">
        <f t="shared" si="0"/>
        <v>55</v>
      </c>
      <c r="C62" s="353">
        <v>43976</v>
      </c>
      <c r="D62" s="138"/>
      <c r="E62" s="354">
        <v>6974063.7800000003</v>
      </c>
      <c r="F62" s="138"/>
      <c r="G62" s="272"/>
    </row>
    <row r="63" spans="2:7">
      <c r="B63" s="54">
        <f t="shared" si="0"/>
        <v>56</v>
      </c>
      <c r="C63" s="353">
        <v>43977</v>
      </c>
      <c r="D63" s="138"/>
      <c r="E63" s="354">
        <v>5985820.0099999998</v>
      </c>
      <c r="F63" s="138"/>
      <c r="G63" s="271"/>
    </row>
    <row r="64" spans="2:7">
      <c r="B64" s="54">
        <f t="shared" si="0"/>
        <v>57</v>
      </c>
      <c r="C64" s="353">
        <v>43978</v>
      </c>
      <c r="D64" s="138"/>
      <c r="E64" s="354">
        <v>5907552.4100000001</v>
      </c>
      <c r="F64" s="138"/>
      <c r="G64" s="271"/>
    </row>
    <row r="65" spans="2:7">
      <c r="B65" s="54">
        <f t="shared" si="0"/>
        <v>58</v>
      </c>
      <c r="C65" s="353">
        <v>43979</v>
      </c>
      <c r="D65" s="138"/>
      <c r="E65" s="354">
        <v>5810820.3399999999</v>
      </c>
      <c r="F65" s="138"/>
      <c r="G65" s="271"/>
    </row>
    <row r="66" spans="2:7">
      <c r="B66" s="54">
        <f t="shared" si="0"/>
        <v>59</v>
      </c>
      <c r="C66" s="353">
        <v>43980</v>
      </c>
      <c r="D66" s="138"/>
      <c r="E66" s="354">
        <v>5535068.5300000003</v>
      </c>
      <c r="F66" s="138"/>
      <c r="G66" s="271"/>
    </row>
    <row r="67" spans="2:7">
      <c r="B67" s="54">
        <f t="shared" si="0"/>
        <v>60</v>
      </c>
      <c r="C67" s="353">
        <v>43981</v>
      </c>
      <c r="D67" s="138"/>
      <c r="E67" s="354">
        <v>5535068.5300000003</v>
      </c>
      <c r="F67" s="138"/>
      <c r="G67" s="271"/>
    </row>
    <row r="68" spans="2:7">
      <c r="B68" s="54">
        <f t="shared" si="0"/>
        <v>61</v>
      </c>
      <c r="C68" s="353">
        <v>43982</v>
      </c>
      <c r="D68" s="138"/>
      <c r="E68" s="354">
        <v>5473675.1399999997</v>
      </c>
      <c r="F68" s="138"/>
      <c r="G68" s="271"/>
    </row>
    <row r="69" spans="2:7">
      <c r="B69" s="54">
        <f t="shared" si="0"/>
        <v>62</v>
      </c>
      <c r="C69" s="353">
        <v>43983</v>
      </c>
      <c r="D69" s="138"/>
      <c r="E69" s="354">
        <v>4721290.59</v>
      </c>
      <c r="F69" s="138"/>
      <c r="G69" s="272"/>
    </row>
    <row r="70" spans="2:7">
      <c r="B70" s="54">
        <f t="shared" si="0"/>
        <v>63</v>
      </c>
      <c r="C70" s="353">
        <v>43984</v>
      </c>
      <c r="D70" s="138"/>
      <c r="E70" s="354">
        <v>4551588.0199999996</v>
      </c>
      <c r="F70" s="138"/>
      <c r="G70" s="271"/>
    </row>
    <row r="71" spans="2:7">
      <c r="B71" s="54">
        <f t="shared" si="0"/>
        <v>64</v>
      </c>
      <c r="C71" s="353">
        <v>43985</v>
      </c>
      <c r="D71" s="138"/>
      <c r="E71" s="354">
        <v>4418906.0199999996</v>
      </c>
      <c r="F71" s="138"/>
      <c r="G71" s="271"/>
    </row>
    <row r="72" spans="2:7">
      <c r="B72" s="54">
        <f t="shared" si="0"/>
        <v>65</v>
      </c>
      <c r="C72" s="353">
        <v>43986</v>
      </c>
      <c r="D72" s="138"/>
      <c r="E72" s="354">
        <v>4529662.63</v>
      </c>
      <c r="F72" s="138"/>
      <c r="G72" s="271"/>
    </row>
    <row r="73" spans="2:7">
      <c r="B73" s="54">
        <f t="shared" ref="B73:B136" si="1">B72+1</f>
        <v>66</v>
      </c>
      <c r="C73" s="353">
        <v>43987</v>
      </c>
      <c r="D73" s="138"/>
      <c r="E73" s="354">
        <v>4618702.4000000004</v>
      </c>
      <c r="F73" s="138"/>
      <c r="G73" s="271"/>
    </row>
    <row r="74" spans="2:7">
      <c r="B74" s="54">
        <f t="shared" si="1"/>
        <v>67</v>
      </c>
      <c r="C74" s="353">
        <v>43988</v>
      </c>
      <c r="D74" s="138"/>
      <c r="E74" s="354">
        <v>4618702.4000000004</v>
      </c>
      <c r="F74" s="138"/>
      <c r="G74" s="271"/>
    </row>
    <row r="75" spans="2:7">
      <c r="B75" s="54">
        <f t="shared" si="1"/>
        <v>68</v>
      </c>
      <c r="C75" s="353">
        <v>43989</v>
      </c>
      <c r="D75" s="138"/>
      <c r="E75" s="354">
        <v>4548218.78</v>
      </c>
      <c r="F75" s="138"/>
      <c r="G75" s="271"/>
    </row>
    <row r="76" spans="2:7">
      <c r="B76" s="54">
        <f t="shared" si="1"/>
        <v>69</v>
      </c>
      <c r="C76" s="353">
        <v>43990</v>
      </c>
      <c r="D76" s="138"/>
      <c r="E76" s="354">
        <v>3864392.92</v>
      </c>
      <c r="F76" s="138"/>
      <c r="G76" s="272"/>
    </row>
    <row r="77" spans="2:7">
      <c r="B77" s="54">
        <f t="shared" si="1"/>
        <v>70</v>
      </c>
      <c r="C77" s="353">
        <v>43991</v>
      </c>
      <c r="D77" s="138"/>
      <c r="E77" s="354">
        <v>2960609.41</v>
      </c>
      <c r="F77" s="138"/>
      <c r="G77" s="271"/>
    </row>
    <row r="78" spans="2:7">
      <c r="B78" s="54">
        <f t="shared" si="1"/>
        <v>71</v>
      </c>
      <c r="C78" s="353">
        <v>43992</v>
      </c>
      <c r="D78" s="138"/>
      <c r="E78" s="354">
        <v>2923742.33</v>
      </c>
      <c r="F78" s="138"/>
      <c r="G78" s="271"/>
    </row>
    <row r="79" spans="2:7">
      <c r="B79" s="54">
        <f t="shared" si="1"/>
        <v>72</v>
      </c>
      <c r="C79" s="353">
        <v>43993</v>
      </c>
      <c r="D79" s="138"/>
      <c r="E79" s="354">
        <v>3150434.28</v>
      </c>
      <c r="F79" s="138"/>
      <c r="G79" s="271"/>
    </row>
    <row r="80" spans="2:7">
      <c r="B80" s="54">
        <f t="shared" si="1"/>
        <v>73</v>
      </c>
      <c r="C80" s="353">
        <v>43994</v>
      </c>
      <c r="D80" s="138"/>
      <c r="E80" s="354">
        <v>4518457.4000000004</v>
      </c>
      <c r="F80" s="138"/>
      <c r="G80" s="271"/>
    </row>
    <row r="81" spans="2:7">
      <c r="B81" s="54">
        <f t="shared" si="1"/>
        <v>74</v>
      </c>
      <c r="C81" s="353">
        <v>43995</v>
      </c>
      <c r="D81" s="138"/>
      <c r="E81" s="354">
        <v>4518457.4000000004</v>
      </c>
      <c r="F81" s="138"/>
      <c r="G81" s="271"/>
    </row>
    <row r="82" spans="2:7">
      <c r="B82" s="54">
        <f t="shared" si="1"/>
        <v>75</v>
      </c>
      <c r="C82" s="353">
        <v>43996</v>
      </c>
      <c r="D82" s="138"/>
      <c r="E82" s="354">
        <v>4459672.3600000003</v>
      </c>
      <c r="F82" s="138"/>
      <c r="G82" s="271"/>
    </row>
    <row r="83" spans="2:7">
      <c r="B83" s="54">
        <f t="shared" si="1"/>
        <v>76</v>
      </c>
      <c r="C83" s="353">
        <v>43997</v>
      </c>
      <c r="D83" s="138"/>
      <c r="E83" s="354">
        <v>4340268.3099999996</v>
      </c>
      <c r="F83" s="138"/>
      <c r="G83" s="272"/>
    </row>
    <row r="84" spans="2:7">
      <c r="B84" s="54">
        <f t="shared" si="1"/>
        <v>77</v>
      </c>
      <c r="C84" s="353">
        <v>43998</v>
      </c>
      <c r="D84" s="138"/>
      <c r="E84" s="354">
        <v>4586291.07</v>
      </c>
      <c r="F84" s="138"/>
      <c r="G84" s="271"/>
    </row>
    <row r="85" spans="2:7">
      <c r="B85" s="54">
        <f t="shared" si="1"/>
        <v>78</v>
      </c>
      <c r="C85" s="353">
        <v>43999</v>
      </c>
      <c r="D85" s="138"/>
      <c r="E85" s="354">
        <v>4827192.07</v>
      </c>
      <c r="F85" s="138"/>
      <c r="G85" s="271"/>
    </row>
    <row r="86" spans="2:7">
      <c r="B86" s="54">
        <f t="shared" si="1"/>
        <v>79</v>
      </c>
      <c r="C86" s="353">
        <v>44000</v>
      </c>
      <c r="D86" s="138"/>
      <c r="E86" s="354">
        <v>5011518.33</v>
      </c>
      <c r="F86" s="138"/>
      <c r="G86" s="271"/>
    </row>
    <row r="87" spans="2:7">
      <c r="B87" s="54">
        <f t="shared" si="1"/>
        <v>80</v>
      </c>
      <c r="C87" s="353">
        <v>44001</v>
      </c>
      <c r="D87" s="138"/>
      <c r="E87" s="354">
        <v>5151878.54</v>
      </c>
      <c r="F87" s="138"/>
      <c r="G87" s="271"/>
    </row>
    <row r="88" spans="2:7">
      <c r="B88" s="54">
        <f t="shared" si="1"/>
        <v>81</v>
      </c>
      <c r="C88" s="353">
        <v>44002</v>
      </c>
      <c r="D88" s="138"/>
      <c r="E88" s="354">
        <v>5151878.54</v>
      </c>
      <c r="F88" s="138"/>
      <c r="G88" s="271"/>
    </row>
    <row r="89" spans="2:7">
      <c r="B89" s="54">
        <f t="shared" si="1"/>
        <v>82</v>
      </c>
      <c r="C89" s="353">
        <v>44003</v>
      </c>
      <c r="D89" s="138"/>
      <c r="E89" s="354">
        <v>5076973.97</v>
      </c>
      <c r="F89" s="138"/>
      <c r="G89" s="271"/>
    </row>
    <row r="90" spans="2:7">
      <c r="B90" s="54">
        <f t="shared" si="1"/>
        <v>83</v>
      </c>
      <c r="C90" s="353">
        <v>44004</v>
      </c>
      <c r="D90" s="138"/>
      <c r="E90" s="354">
        <v>4792652.1500000004</v>
      </c>
      <c r="F90" s="138"/>
      <c r="G90" s="272"/>
    </row>
    <row r="91" spans="2:7">
      <c r="B91" s="54">
        <f t="shared" si="1"/>
        <v>84</v>
      </c>
      <c r="C91" s="353">
        <v>44005</v>
      </c>
      <c r="D91" s="138"/>
      <c r="E91" s="354">
        <v>4858985.91</v>
      </c>
      <c r="F91" s="138"/>
      <c r="G91" s="271"/>
    </row>
    <row r="92" spans="2:7">
      <c r="B92" s="54">
        <f t="shared" si="1"/>
        <v>85</v>
      </c>
      <c r="C92" s="353">
        <v>44006</v>
      </c>
      <c r="D92" s="138"/>
      <c r="E92" s="354">
        <v>4942227.5</v>
      </c>
      <c r="F92" s="138"/>
      <c r="G92" s="271"/>
    </row>
    <row r="93" spans="2:7">
      <c r="B93" s="54">
        <f t="shared" si="1"/>
        <v>86</v>
      </c>
      <c r="C93" s="353">
        <v>44007</v>
      </c>
      <c r="D93" s="138"/>
      <c r="E93" s="354">
        <v>5015450.97</v>
      </c>
      <c r="F93" s="138"/>
      <c r="G93" s="271"/>
    </row>
    <row r="94" spans="2:7">
      <c r="B94" s="54">
        <f t="shared" si="1"/>
        <v>87</v>
      </c>
      <c r="C94" s="353">
        <v>44008</v>
      </c>
      <c r="D94" s="138"/>
      <c r="E94" s="354">
        <v>5039515.93</v>
      </c>
      <c r="F94" s="138"/>
      <c r="G94" s="271"/>
    </row>
    <row r="95" spans="2:7">
      <c r="B95" s="54">
        <f t="shared" si="1"/>
        <v>88</v>
      </c>
      <c r="C95" s="353">
        <v>44009</v>
      </c>
      <c r="D95" s="138"/>
      <c r="E95" s="354">
        <v>5039515.93</v>
      </c>
      <c r="F95" s="138"/>
      <c r="G95" s="271"/>
    </row>
    <row r="96" spans="2:7">
      <c r="B96" s="54">
        <f t="shared" si="1"/>
        <v>89</v>
      </c>
      <c r="C96" s="353">
        <v>44010</v>
      </c>
      <c r="D96" s="138"/>
      <c r="E96" s="354">
        <v>4970426.9400000004</v>
      </c>
      <c r="F96" s="138"/>
      <c r="G96" s="271"/>
    </row>
    <row r="97" spans="2:7">
      <c r="B97" s="54">
        <f t="shared" si="1"/>
        <v>90</v>
      </c>
      <c r="C97" s="353">
        <v>44011</v>
      </c>
      <c r="D97" s="138"/>
      <c r="E97" s="354">
        <v>4201987.34</v>
      </c>
      <c r="F97" s="138"/>
      <c r="G97" s="272"/>
    </row>
    <row r="98" spans="2:7">
      <c r="B98" s="54">
        <f t="shared" si="1"/>
        <v>91</v>
      </c>
      <c r="C98" s="353">
        <v>44012</v>
      </c>
      <c r="D98" s="138"/>
      <c r="E98" s="354">
        <v>3758003.27</v>
      </c>
      <c r="F98" s="138"/>
      <c r="G98" s="271"/>
    </row>
    <row r="99" spans="2:7">
      <c r="B99" s="54">
        <f t="shared" si="1"/>
        <v>92</v>
      </c>
      <c r="C99" s="353">
        <v>44013</v>
      </c>
      <c r="D99" s="138"/>
      <c r="E99" s="354">
        <v>3529659.92</v>
      </c>
      <c r="F99" s="138"/>
      <c r="G99" s="271"/>
    </row>
    <row r="100" spans="2:7">
      <c r="B100" s="54">
        <f t="shared" si="1"/>
        <v>93</v>
      </c>
      <c r="C100" s="353">
        <v>44014</v>
      </c>
      <c r="D100" s="138"/>
      <c r="E100" s="354">
        <v>3650127.21</v>
      </c>
      <c r="F100" s="138"/>
      <c r="G100" s="271"/>
    </row>
    <row r="101" spans="2:7">
      <c r="B101" s="54">
        <f t="shared" si="1"/>
        <v>94</v>
      </c>
      <c r="C101" s="353">
        <v>44015</v>
      </c>
      <c r="D101" s="138"/>
      <c r="E101" s="354">
        <v>3650127.21</v>
      </c>
      <c r="F101" s="138"/>
      <c r="G101" s="271"/>
    </row>
    <row r="102" spans="2:7">
      <c r="B102" s="54">
        <f t="shared" si="1"/>
        <v>95</v>
      </c>
      <c r="C102" s="353">
        <v>44016</v>
      </c>
      <c r="D102" s="138"/>
      <c r="E102" s="354">
        <v>3650127.21</v>
      </c>
      <c r="F102" s="138"/>
      <c r="G102" s="271"/>
    </row>
    <row r="103" spans="2:7">
      <c r="B103" s="54">
        <f t="shared" si="1"/>
        <v>96</v>
      </c>
      <c r="C103" s="353">
        <v>44017</v>
      </c>
      <c r="D103" s="138"/>
      <c r="E103" s="354">
        <v>3447125.51</v>
      </c>
      <c r="F103" s="138"/>
      <c r="G103" s="271"/>
    </row>
    <row r="104" spans="2:7">
      <c r="B104" s="54">
        <f t="shared" si="1"/>
        <v>97</v>
      </c>
      <c r="C104" s="353">
        <v>44018</v>
      </c>
      <c r="D104" s="138"/>
      <c r="E104" s="354">
        <v>2949191.17</v>
      </c>
      <c r="F104" s="138"/>
      <c r="G104" s="272"/>
    </row>
    <row r="105" spans="2:7">
      <c r="B105" s="54">
        <f t="shared" si="1"/>
        <v>98</v>
      </c>
      <c r="C105" s="353">
        <v>44019</v>
      </c>
      <c r="D105" s="138"/>
      <c r="E105" s="354">
        <v>2416875.41</v>
      </c>
      <c r="F105" s="138"/>
      <c r="G105" s="271"/>
    </row>
    <row r="106" spans="2:7">
      <c r="B106" s="54">
        <f t="shared" si="1"/>
        <v>99</v>
      </c>
      <c r="C106" s="353">
        <v>44020</v>
      </c>
      <c r="D106" s="138"/>
      <c r="E106" s="354">
        <v>2442815.06</v>
      </c>
      <c r="F106" s="138"/>
      <c r="G106" s="271"/>
    </row>
    <row r="107" spans="2:7">
      <c r="B107" s="54">
        <f t="shared" si="1"/>
        <v>100</v>
      </c>
      <c r="C107" s="353">
        <v>44021</v>
      </c>
      <c r="D107" s="138"/>
      <c r="E107" s="354">
        <v>2616114.96</v>
      </c>
      <c r="F107" s="138"/>
      <c r="G107" s="271"/>
    </row>
    <row r="108" spans="2:7">
      <c r="B108" s="54">
        <f t="shared" si="1"/>
        <v>101</v>
      </c>
      <c r="C108" s="353">
        <v>44022</v>
      </c>
      <c r="D108" s="138"/>
      <c r="E108" s="354">
        <v>2827514.76</v>
      </c>
      <c r="F108" s="138"/>
      <c r="G108" s="271"/>
    </row>
    <row r="109" spans="2:7">
      <c r="B109" s="54">
        <f t="shared" si="1"/>
        <v>102</v>
      </c>
      <c r="C109" s="353">
        <v>44023</v>
      </c>
      <c r="D109" s="138"/>
      <c r="E109" s="354">
        <v>2827514.76</v>
      </c>
      <c r="F109" s="138"/>
      <c r="G109" s="271"/>
    </row>
    <row r="110" spans="2:7">
      <c r="B110" s="54">
        <f t="shared" si="1"/>
        <v>103</v>
      </c>
      <c r="C110" s="353">
        <v>44024</v>
      </c>
      <c r="D110" s="138"/>
      <c r="E110" s="354">
        <v>2780072.29</v>
      </c>
      <c r="F110" s="138"/>
      <c r="G110" s="271"/>
    </row>
    <row r="111" spans="2:7">
      <c r="B111" s="54">
        <f t="shared" si="1"/>
        <v>104</v>
      </c>
      <c r="C111" s="353">
        <v>44025</v>
      </c>
      <c r="D111" s="138"/>
      <c r="E111" s="354">
        <v>2417832.42</v>
      </c>
      <c r="F111" s="138"/>
      <c r="G111" s="272"/>
    </row>
    <row r="112" spans="2:7">
      <c r="B112" s="54">
        <f t="shared" si="1"/>
        <v>105</v>
      </c>
      <c r="C112" s="353">
        <v>44026</v>
      </c>
      <c r="D112" s="138"/>
      <c r="E112" s="354">
        <v>2568411.5</v>
      </c>
      <c r="F112" s="138"/>
      <c r="G112" s="271"/>
    </row>
    <row r="113" spans="2:7">
      <c r="B113" s="54">
        <f t="shared" si="1"/>
        <v>106</v>
      </c>
      <c r="C113" s="353">
        <v>44027</v>
      </c>
      <c r="D113" s="138"/>
      <c r="E113" s="354">
        <v>2697846.14</v>
      </c>
      <c r="F113" s="138"/>
      <c r="G113" s="271"/>
    </row>
    <row r="114" spans="2:7">
      <c r="B114" s="54">
        <f t="shared" si="1"/>
        <v>107</v>
      </c>
      <c r="C114" s="353">
        <v>44028</v>
      </c>
      <c r="D114" s="138"/>
      <c r="E114" s="354">
        <v>2978002.28</v>
      </c>
      <c r="F114" s="138"/>
      <c r="G114" s="271"/>
    </row>
    <row r="115" spans="2:7">
      <c r="B115" s="54">
        <f t="shared" si="1"/>
        <v>108</v>
      </c>
      <c r="C115" s="353">
        <v>44029</v>
      </c>
      <c r="D115" s="138"/>
      <c r="E115" s="354">
        <v>3271358.91</v>
      </c>
      <c r="F115" s="138"/>
      <c r="G115" s="271"/>
    </row>
    <row r="116" spans="2:7">
      <c r="B116" s="54">
        <f t="shared" si="1"/>
        <v>109</v>
      </c>
      <c r="C116" s="353">
        <v>44030</v>
      </c>
      <c r="D116" s="138"/>
      <c r="E116" s="354">
        <v>3271358.91</v>
      </c>
      <c r="F116" s="138"/>
      <c r="G116" s="271"/>
    </row>
    <row r="117" spans="2:7">
      <c r="B117" s="54">
        <f t="shared" si="1"/>
        <v>110</v>
      </c>
      <c r="C117" s="353">
        <v>44031</v>
      </c>
      <c r="D117" s="138"/>
      <c r="E117" s="354">
        <v>3219682.18</v>
      </c>
      <c r="F117" s="138"/>
      <c r="G117" s="271"/>
    </row>
    <row r="118" spans="2:7">
      <c r="B118" s="54">
        <f t="shared" si="1"/>
        <v>111</v>
      </c>
      <c r="C118" s="353">
        <v>44032</v>
      </c>
      <c r="D118" s="138"/>
      <c r="E118" s="354">
        <v>3309048.9</v>
      </c>
      <c r="F118" s="138"/>
      <c r="G118" s="272"/>
    </row>
    <row r="119" spans="2:7">
      <c r="B119" s="54">
        <f t="shared" si="1"/>
        <v>112</v>
      </c>
      <c r="C119" s="353">
        <v>44033</v>
      </c>
      <c r="D119" s="138"/>
      <c r="E119" s="354">
        <v>4517982.8600000003</v>
      </c>
      <c r="F119" s="138"/>
      <c r="G119" s="271"/>
    </row>
    <row r="120" spans="2:7">
      <c r="B120" s="54">
        <f t="shared" si="1"/>
        <v>113</v>
      </c>
      <c r="C120" s="353">
        <v>44034</v>
      </c>
      <c r="D120" s="138"/>
      <c r="E120" s="354">
        <v>4683645.3499999996</v>
      </c>
      <c r="F120" s="138"/>
      <c r="G120" s="271"/>
    </row>
    <row r="121" spans="2:7">
      <c r="B121" s="54">
        <f t="shared" si="1"/>
        <v>114</v>
      </c>
      <c r="C121" s="353">
        <v>44035</v>
      </c>
      <c r="D121" s="138"/>
      <c r="E121" s="354">
        <v>4904944.8899999997</v>
      </c>
      <c r="F121" s="138"/>
      <c r="G121" s="271"/>
    </row>
    <row r="122" spans="2:7">
      <c r="B122" s="54">
        <f t="shared" si="1"/>
        <v>115</v>
      </c>
      <c r="C122" s="353">
        <v>44036</v>
      </c>
      <c r="D122" s="138"/>
      <c r="E122" s="354">
        <v>5161157.0199999996</v>
      </c>
      <c r="F122" s="138"/>
      <c r="G122" s="271"/>
    </row>
    <row r="123" spans="2:7">
      <c r="B123" s="54">
        <f t="shared" si="1"/>
        <v>116</v>
      </c>
      <c r="C123" s="353">
        <v>44037</v>
      </c>
      <c r="D123" s="138"/>
      <c r="E123" s="354">
        <v>5161157.0199999996</v>
      </c>
      <c r="F123" s="138"/>
      <c r="G123" s="271"/>
    </row>
    <row r="124" spans="2:7">
      <c r="B124" s="54">
        <f t="shared" si="1"/>
        <v>117</v>
      </c>
      <c r="C124" s="353">
        <v>44038</v>
      </c>
      <c r="D124" s="138"/>
      <c r="E124" s="354">
        <v>5102194.05</v>
      </c>
      <c r="F124" s="138"/>
      <c r="G124" s="271"/>
    </row>
    <row r="125" spans="2:7">
      <c r="B125" s="54">
        <f t="shared" si="1"/>
        <v>118</v>
      </c>
      <c r="C125" s="353">
        <v>44039</v>
      </c>
      <c r="D125" s="138"/>
      <c r="E125" s="354">
        <v>4784889.57</v>
      </c>
      <c r="F125" s="138"/>
      <c r="G125" s="272"/>
    </row>
    <row r="126" spans="2:7">
      <c r="B126" s="54">
        <f t="shared" si="1"/>
        <v>119</v>
      </c>
      <c r="C126" s="353">
        <v>44040</v>
      </c>
      <c r="D126" s="138"/>
      <c r="E126" s="354">
        <v>4806909.6399999997</v>
      </c>
      <c r="F126" s="138"/>
      <c r="G126" s="271"/>
    </row>
    <row r="127" spans="2:7">
      <c r="B127" s="54">
        <f t="shared" si="1"/>
        <v>120</v>
      </c>
      <c r="C127" s="353">
        <v>44041</v>
      </c>
      <c r="D127" s="138"/>
      <c r="E127" s="354">
        <v>4575946.68</v>
      </c>
      <c r="F127" s="138"/>
      <c r="G127" s="271"/>
    </row>
    <row r="128" spans="2:7">
      <c r="B128" s="54">
        <f t="shared" si="1"/>
        <v>121</v>
      </c>
      <c r="C128" s="353">
        <v>44042</v>
      </c>
      <c r="D128" s="138"/>
      <c r="E128" s="354">
        <v>4465537.83</v>
      </c>
      <c r="F128" s="138"/>
      <c r="G128" s="271"/>
    </row>
    <row r="129" spans="2:7">
      <c r="B129" s="54">
        <f t="shared" si="1"/>
        <v>122</v>
      </c>
      <c r="C129" s="353">
        <v>44043</v>
      </c>
      <c r="D129" s="138"/>
      <c r="E129" s="354">
        <v>4351682.59</v>
      </c>
      <c r="F129" s="138"/>
      <c r="G129" s="271"/>
    </row>
    <row r="130" spans="2:7">
      <c r="B130" s="54">
        <f t="shared" si="1"/>
        <v>123</v>
      </c>
      <c r="C130" s="353">
        <v>44044</v>
      </c>
      <c r="D130" s="138"/>
      <c r="E130" s="354">
        <v>4317015.6150000002</v>
      </c>
      <c r="F130" s="138"/>
      <c r="G130" s="271"/>
    </row>
    <row r="131" spans="2:7">
      <c r="B131" s="54">
        <f t="shared" si="1"/>
        <v>124</v>
      </c>
      <c r="C131" s="353">
        <v>44045</v>
      </c>
      <c r="D131" s="138"/>
      <c r="E131" s="354">
        <v>4282348.6399999997</v>
      </c>
      <c r="F131" s="138"/>
      <c r="G131" s="271"/>
    </row>
    <row r="132" spans="2:7">
      <c r="B132" s="54">
        <f t="shared" si="1"/>
        <v>125</v>
      </c>
      <c r="C132" s="353">
        <v>44046</v>
      </c>
      <c r="D132" s="138"/>
      <c r="E132" s="354">
        <v>3745134.97</v>
      </c>
      <c r="F132" s="138"/>
      <c r="G132" s="272"/>
    </row>
    <row r="133" spans="2:7">
      <c r="B133" s="54">
        <f t="shared" si="1"/>
        <v>126</v>
      </c>
      <c r="C133" s="353">
        <v>44047</v>
      </c>
      <c r="D133" s="138"/>
      <c r="E133" s="354">
        <v>3613282.84</v>
      </c>
      <c r="F133" s="138"/>
      <c r="G133" s="271"/>
    </row>
    <row r="134" spans="2:7">
      <c r="B134" s="54">
        <f t="shared" si="1"/>
        <v>127</v>
      </c>
      <c r="C134" s="353">
        <v>44048</v>
      </c>
      <c r="D134" s="138"/>
      <c r="E134" s="354">
        <v>3578814.2</v>
      </c>
      <c r="F134" s="138"/>
      <c r="G134" s="271"/>
    </row>
    <row r="135" spans="2:7">
      <c r="B135" s="54">
        <f t="shared" si="1"/>
        <v>128</v>
      </c>
      <c r="C135" s="353">
        <v>44049</v>
      </c>
      <c r="D135" s="138"/>
      <c r="E135" s="354">
        <v>3626126.21</v>
      </c>
      <c r="F135" s="138"/>
      <c r="G135" s="271"/>
    </row>
    <row r="136" spans="2:7">
      <c r="B136" s="54">
        <f t="shared" si="1"/>
        <v>129</v>
      </c>
      <c r="C136" s="353">
        <v>44050</v>
      </c>
      <c r="D136" s="138"/>
      <c r="E136" s="354">
        <v>3773857.35</v>
      </c>
      <c r="F136" s="138"/>
      <c r="G136" s="271"/>
    </row>
    <row r="137" spans="2:7">
      <c r="B137" s="54">
        <f t="shared" ref="B137:B200" si="2">B136+1</f>
        <v>130</v>
      </c>
      <c r="C137" s="353">
        <v>44051</v>
      </c>
      <c r="D137" s="138"/>
      <c r="E137" s="354">
        <v>3773857.35</v>
      </c>
      <c r="F137" s="138"/>
      <c r="G137" s="271"/>
    </row>
    <row r="138" spans="2:7">
      <c r="B138" s="54">
        <f t="shared" si="2"/>
        <v>131</v>
      </c>
      <c r="C138" s="353">
        <v>44052</v>
      </c>
      <c r="D138" s="138"/>
      <c r="E138" s="354">
        <v>3722012.93</v>
      </c>
      <c r="F138" s="138"/>
      <c r="G138" s="271"/>
    </row>
    <row r="139" spans="2:7">
      <c r="B139" s="54">
        <f t="shared" si="2"/>
        <v>132</v>
      </c>
      <c r="C139" s="353">
        <v>44053</v>
      </c>
      <c r="D139" s="138"/>
      <c r="E139" s="354">
        <v>3219503.96</v>
      </c>
      <c r="F139" s="138"/>
      <c r="G139" s="272"/>
    </row>
    <row r="140" spans="2:7">
      <c r="B140" s="54">
        <f t="shared" si="2"/>
        <v>133</v>
      </c>
      <c r="C140" s="353">
        <v>44054</v>
      </c>
      <c r="D140" s="138"/>
      <c r="E140" s="354">
        <v>3136752.04</v>
      </c>
      <c r="F140" s="138"/>
      <c r="G140" s="271"/>
    </row>
    <row r="141" spans="2:7">
      <c r="B141" s="54">
        <f t="shared" si="2"/>
        <v>134</v>
      </c>
      <c r="C141" s="353">
        <v>44055</v>
      </c>
      <c r="D141" s="138"/>
      <c r="E141" s="354">
        <v>3189188.92</v>
      </c>
      <c r="F141" s="138"/>
      <c r="G141" s="271"/>
    </row>
    <row r="142" spans="2:7">
      <c r="B142" s="54">
        <f t="shared" si="2"/>
        <v>135</v>
      </c>
      <c r="C142" s="353">
        <v>44056</v>
      </c>
      <c r="D142" s="138"/>
      <c r="E142" s="354">
        <v>2849432.45</v>
      </c>
      <c r="F142" s="138"/>
      <c r="G142" s="271"/>
    </row>
    <row r="143" spans="2:7">
      <c r="B143" s="54">
        <f t="shared" si="2"/>
        <v>136</v>
      </c>
      <c r="C143" s="353">
        <v>44057</v>
      </c>
      <c r="D143" s="138"/>
      <c r="E143" s="354">
        <v>3065839.02</v>
      </c>
      <c r="F143" s="138"/>
      <c r="G143" s="271"/>
    </row>
    <row r="144" spans="2:7">
      <c r="B144" s="54">
        <f t="shared" si="2"/>
        <v>137</v>
      </c>
      <c r="C144" s="353">
        <v>44058</v>
      </c>
      <c r="D144" s="138"/>
      <c r="E144" s="354">
        <v>3065839.02</v>
      </c>
      <c r="F144" s="138"/>
      <c r="G144" s="271"/>
    </row>
    <row r="145" spans="2:7">
      <c r="B145" s="54">
        <f t="shared" si="2"/>
        <v>138</v>
      </c>
      <c r="C145" s="353">
        <v>44059</v>
      </c>
      <c r="D145" s="138"/>
      <c r="E145" s="354">
        <v>3013936.1</v>
      </c>
      <c r="F145" s="138"/>
      <c r="G145" s="271"/>
    </row>
    <row r="146" spans="2:7">
      <c r="B146" s="54">
        <f t="shared" si="2"/>
        <v>139</v>
      </c>
      <c r="C146" s="353">
        <v>44060</v>
      </c>
      <c r="D146" s="138"/>
      <c r="E146" s="354">
        <v>2798444.82</v>
      </c>
      <c r="F146" s="138"/>
      <c r="G146" s="272"/>
    </row>
    <row r="147" spans="2:7">
      <c r="B147" s="54">
        <f t="shared" si="2"/>
        <v>140</v>
      </c>
      <c r="C147" s="353">
        <v>44061</v>
      </c>
      <c r="D147" s="138"/>
      <c r="E147" s="354">
        <v>4085483.51</v>
      </c>
      <c r="F147" s="138"/>
      <c r="G147" s="271"/>
    </row>
    <row r="148" spans="2:7">
      <c r="B148" s="54">
        <f t="shared" si="2"/>
        <v>141</v>
      </c>
      <c r="C148" s="353">
        <v>44062</v>
      </c>
      <c r="D148" s="138"/>
      <c r="E148" s="354">
        <v>4531015.01</v>
      </c>
      <c r="F148" s="138"/>
      <c r="G148" s="271"/>
    </row>
    <row r="149" spans="2:7">
      <c r="B149" s="54">
        <f t="shared" si="2"/>
        <v>142</v>
      </c>
      <c r="C149" s="353">
        <v>44063</v>
      </c>
      <c r="D149" s="138"/>
      <c r="E149" s="354">
        <v>4719039.34</v>
      </c>
      <c r="F149" s="138"/>
      <c r="G149" s="271"/>
    </row>
    <row r="150" spans="2:7">
      <c r="B150" s="54">
        <f t="shared" si="2"/>
        <v>143</v>
      </c>
      <c r="C150" s="353">
        <v>44064</v>
      </c>
      <c r="D150" s="138"/>
      <c r="E150" s="354">
        <v>4964135.58</v>
      </c>
      <c r="F150" s="138"/>
      <c r="G150" s="271"/>
    </row>
    <row r="151" spans="2:7">
      <c r="B151" s="54">
        <f t="shared" si="2"/>
        <v>144</v>
      </c>
      <c r="C151" s="353">
        <v>44065</v>
      </c>
      <c r="D151" s="138"/>
      <c r="E151" s="354">
        <v>4964135.58</v>
      </c>
      <c r="F151" s="138"/>
      <c r="G151" s="271"/>
    </row>
    <row r="152" spans="2:7">
      <c r="B152" s="54">
        <f t="shared" si="2"/>
        <v>145</v>
      </c>
      <c r="C152" s="353">
        <v>44066</v>
      </c>
      <c r="D152" s="138"/>
      <c r="E152" s="354">
        <v>4917512.6100000003</v>
      </c>
      <c r="F152" s="138"/>
      <c r="G152" s="271"/>
    </row>
    <row r="153" spans="2:7">
      <c r="B153" s="54">
        <f t="shared" si="2"/>
        <v>146</v>
      </c>
      <c r="C153" s="353">
        <v>44067</v>
      </c>
      <c r="D153" s="138"/>
      <c r="E153" s="354">
        <v>4664104.67</v>
      </c>
      <c r="F153" s="138"/>
      <c r="G153" s="272"/>
    </row>
    <row r="154" spans="2:7">
      <c r="B154" s="54">
        <f t="shared" si="2"/>
        <v>147</v>
      </c>
      <c r="C154" s="353">
        <v>44068</v>
      </c>
      <c r="D154" s="138"/>
      <c r="E154" s="354">
        <v>4790526.8499999996</v>
      </c>
      <c r="F154" s="138"/>
      <c r="G154" s="271"/>
    </row>
    <row r="155" spans="2:7">
      <c r="B155" s="54">
        <f t="shared" si="2"/>
        <v>148</v>
      </c>
      <c r="C155" s="353">
        <v>44069</v>
      </c>
      <c r="D155" s="138"/>
      <c r="E155" s="354">
        <v>4852889.43</v>
      </c>
      <c r="F155" s="138"/>
      <c r="G155" s="271"/>
    </row>
    <row r="156" spans="2:7">
      <c r="B156" s="54">
        <f t="shared" si="2"/>
        <v>149</v>
      </c>
      <c r="C156" s="353">
        <v>44070</v>
      </c>
      <c r="D156" s="138"/>
      <c r="E156" s="354">
        <v>5028215.96</v>
      </c>
      <c r="F156" s="138"/>
      <c r="G156" s="271"/>
    </row>
    <row r="157" spans="2:7">
      <c r="B157" s="54">
        <f t="shared" si="2"/>
        <v>150</v>
      </c>
      <c r="C157" s="353">
        <v>44071</v>
      </c>
      <c r="D157" s="138"/>
      <c r="E157" s="354">
        <v>4954326.54</v>
      </c>
      <c r="F157" s="138"/>
      <c r="G157" s="271"/>
    </row>
    <row r="158" spans="2:7">
      <c r="B158" s="54">
        <f t="shared" si="2"/>
        <v>151</v>
      </c>
      <c r="C158" s="353">
        <v>44072</v>
      </c>
      <c r="D158" s="138"/>
      <c r="E158" s="354">
        <v>4954326.54</v>
      </c>
      <c r="F158" s="138"/>
      <c r="G158" s="271"/>
    </row>
    <row r="159" spans="2:7">
      <c r="B159" s="54">
        <f t="shared" si="2"/>
        <v>152</v>
      </c>
      <c r="C159" s="353">
        <v>44073</v>
      </c>
      <c r="D159" s="138"/>
      <c r="E159" s="354">
        <v>4884425.8600000003</v>
      </c>
      <c r="F159" s="138"/>
      <c r="G159" s="271"/>
    </row>
    <row r="160" spans="2:7">
      <c r="B160" s="54">
        <f t="shared" si="2"/>
        <v>153</v>
      </c>
      <c r="C160" s="353">
        <v>44074</v>
      </c>
      <c r="D160" s="138"/>
      <c r="E160" s="354">
        <v>4439920.3499999996</v>
      </c>
      <c r="F160" s="138"/>
      <c r="G160" s="272"/>
    </row>
    <row r="161" spans="2:7">
      <c r="B161" s="54">
        <f t="shared" si="2"/>
        <v>154</v>
      </c>
      <c r="C161" s="353">
        <v>44075</v>
      </c>
      <c r="D161" s="138"/>
      <c r="E161" s="354">
        <v>4161700.02</v>
      </c>
      <c r="F161" s="138"/>
      <c r="G161" s="271"/>
    </row>
    <row r="162" spans="2:7">
      <c r="B162" s="54">
        <f t="shared" si="2"/>
        <v>155</v>
      </c>
      <c r="C162" s="353">
        <v>44076</v>
      </c>
      <c r="D162" s="138"/>
      <c r="E162" s="354">
        <v>4176007.19</v>
      </c>
      <c r="F162" s="138"/>
      <c r="G162" s="271"/>
    </row>
    <row r="163" spans="2:7">
      <c r="B163" s="54">
        <f t="shared" si="2"/>
        <v>156</v>
      </c>
      <c r="C163" s="353">
        <v>44077</v>
      </c>
      <c r="D163" s="138"/>
      <c r="E163" s="354">
        <v>4248560.2699999996</v>
      </c>
      <c r="F163" s="138"/>
      <c r="G163" s="271"/>
    </row>
    <row r="164" spans="2:7">
      <c r="B164" s="54">
        <f t="shared" si="2"/>
        <v>157</v>
      </c>
      <c r="C164" s="353">
        <v>44078</v>
      </c>
      <c r="D164" s="138"/>
      <c r="E164" s="354">
        <v>4369952.95</v>
      </c>
      <c r="F164" s="138"/>
      <c r="G164" s="271"/>
    </row>
    <row r="165" spans="2:7">
      <c r="B165" s="54">
        <f t="shared" si="2"/>
        <v>158</v>
      </c>
      <c r="C165" s="353">
        <v>44079</v>
      </c>
      <c r="D165" s="138"/>
      <c r="E165" s="354">
        <v>4369952.95</v>
      </c>
      <c r="F165" s="138"/>
      <c r="G165" s="271"/>
    </row>
    <row r="166" spans="2:7">
      <c r="B166" s="54">
        <f t="shared" si="2"/>
        <v>159</v>
      </c>
      <c r="C166" s="353">
        <v>44080</v>
      </c>
      <c r="D166" s="138"/>
      <c r="E166" s="354">
        <v>4369952.95</v>
      </c>
      <c r="F166" s="138"/>
      <c r="G166" s="271"/>
    </row>
    <row r="167" spans="2:7">
      <c r="B167" s="54">
        <f t="shared" si="2"/>
        <v>160</v>
      </c>
      <c r="C167" s="353">
        <v>44081</v>
      </c>
      <c r="D167" s="138"/>
      <c r="E167" s="354">
        <v>4197198.13</v>
      </c>
      <c r="F167" s="138"/>
      <c r="G167" s="272"/>
    </row>
    <row r="168" spans="2:7">
      <c r="B168" s="54">
        <f t="shared" si="2"/>
        <v>161</v>
      </c>
      <c r="C168" s="353">
        <v>44082</v>
      </c>
      <c r="D168" s="138"/>
      <c r="E168" s="354">
        <v>3510825.23</v>
      </c>
      <c r="F168" s="138"/>
      <c r="G168" s="271"/>
    </row>
    <row r="169" spans="2:7">
      <c r="B169" s="54">
        <f t="shared" si="2"/>
        <v>162</v>
      </c>
      <c r="C169" s="353">
        <v>44083</v>
      </c>
      <c r="D169" s="138"/>
      <c r="E169" s="354">
        <v>3416134.07</v>
      </c>
      <c r="F169" s="138"/>
      <c r="G169" s="271"/>
    </row>
    <row r="170" spans="2:7">
      <c r="B170" s="54">
        <f t="shared" si="2"/>
        <v>163</v>
      </c>
      <c r="C170" s="353">
        <v>44084</v>
      </c>
      <c r="D170" s="138"/>
      <c r="E170" s="354">
        <v>2834645.51</v>
      </c>
      <c r="F170" s="138"/>
      <c r="G170" s="271"/>
    </row>
    <row r="171" spans="2:7">
      <c r="B171" s="54">
        <f t="shared" si="2"/>
        <v>164</v>
      </c>
      <c r="C171" s="353">
        <v>44085</v>
      </c>
      <c r="D171" s="138"/>
      <c r="E171" s="354">
        <v>3094873.24</v>
      </c>
      <c r="F171" s="138"/>
      <c r="G171" s="271"/>
    </row>
    <row r="172" spans="2:7">
      <c r="B172" s="54">
        <f t="shared" si="2"/>
        <v>165</v>
      </c>
      <c r="C172" s="353">
        <v>44086</v>
      </c>
      <c r="D172" s="138"/>
      <c r="E172" s="354">
        <v>3094873.24</v>
      </c>
      <c r="F172" s="138"/>
      <c r="G172" s="271"/>
    </row>
    <row r="173" spans="2:7">
      <c r="B173" s="54">
        <f t="shared" si="2"/>
        <v>166</v>
      </c>
      <c r="C173" s="353">
        <v>44087</v>
      </c>
      <c r="D173" s="138"/>
      <c r="E173" s="354">
        <v>3055149.05</v>
      </c>
      <c r="F173" s="138"/>
      <c r="G173" s="271"/>
    </row>
    <row r="174" spans="2:7">
      <c r="B174" s="54">
        <f t="shared" si="2"/>
        <v>167</v>
      </c>
      <c r="C174" s="353">
        <v>44088</v>
      </c>
      <c r="D174" s="138"/>
      <c r="E174" s="354">
        <v>2686280.45</v>
      </c>
      <c r="F174" s="138"/>
      <c r="G174" s="272"/>
    </row>
    <row r="175" spans="2:7">
      <c r="B175" s="54">
        <f t="shared" si="2"/>
        <v>168</v>
      </c>
      <c r="C175" s="353">
        <v>44089</v>
      </c>
      <c r="D175" s="138"/>
      <c r="E175" s="354">
        <v>2834653.42</v>
      </c>
      <c r="F175" s="138"/>
      <c r="G175" s="271"/>
    </row>
    <row r="176" spans="2:7">
      <c r="B176" s="54">
        <f t="shared" si="2"/>
        <v>169</v>
      </c>
      <c r="C176" s="353">
        <v>44090</v>
      </c>
      <c r="D176" s="138"/>
      <c r="E176" s="354">
        <v>3013900.13</v>
      </c>
      <c r="F176" s="138"/>
      <c r="G176" s="271"/>
    </row>
    <row r="177" spans="2:7">
      <c r="B177" s="54">
        <f t="shared" si="2"/>
        <v>170</v>
      </c>
      <c r="C177" s="353">
        <v>44091</v>
      </c>
      <c r="D177" s="138"/>
      <c r="E177" s="354">
        <v>3247997.34</v>
      </c>
      <c r="F177" s="138"/>
      <c r="G177" s="271"/>
    </row>
    <row r="178" spans="2:7">
      <c r="B178" s="54">
        <f t="shared" si="2"/>
        <v>171</v>
      </c>
      <c r="C178" s="353">
        <v>44092</v>
      </c>
      <c r="D178" s="138"/>
      <c r="E178" s="354">
        <v>3601302.59</v>
      </c>
      <c r="F178" s="138"/>
      <c r="G178" s="271"/>
    </row>
    <row r="179" spans="2:7">
      <c r="B179" s="54">
        <f t="shared" si="2"/>
        <v>172</v>
      </c>
      <c r="C179" s="353">
        <v>44093</v>
      </c>
      <c r="D179" s="138"/>
      <c r="E179" s="354">
        <v>3601302.59</v>
      </c>
      <c r="F179" s="138"/>
      <c r="G179" s="271"/>
    </row>
    <row r="180" spans="2:7">
      <c r="B180" s="54">
        <f t="shared" si="2"/>
        <v>173</v>
      </c>
      <c r="C180" s="353">
        <v>44094</v>
      </c>
      <c r="D180" s="138"/>
      <c r="E180" s="354">
        <v>3548858.66</v>
      </c>
      <c r="F180" s="138"/>
      <c r="G180" s="271"/>
    </row>
    <row r="181" spans="2:7">
      <c r="B181" s="54">
        <f t="shared" si="2"/>
        <v>174</v>
      </c>
      <c r="C181" s="353">
        <v>44095</v>
      </c>
      <c r="D181" s="138"/>
      <c r="E181" s="354">
        <v>5051582.03</v>
      </c>
      <c r="F181" s="138"/>
      <c r="G181" s="272"/>
    </row>
    <row r="182" spans="2:7">
      <c r="B182" s="54">
        <f t="shared" si="2"/>
        <v>175</v>
      </c>
      <c r="C182" s="353">
        <v>44096</v>
      </c>
      <c r="D182" s="138"/>
      <c r="E182" s="354">
        <v>5145337.13</v>
      </c>
      <c r="F182" s="138"/>
      <c r="G182" s="271"/>
    </row>
    <row r="183" spans="2:7">
      <c r="B183" s="54">
        <f t="shared" si="2"/>
        <v>176</v>
      </c>
      <c r="C183" s="353">
        <v>44097</v>
      </c>
      <c r="D183" s="138"/>
      <c r="E183" s="354">
        <v>5215625.71</v>
      </c>
      <c r="F183" s="138"/>
      <c r="G183" s="271"/>
    </row>
    <row r="184" spans="2:7">
      <c r="B184" s="54">
        <f t="shared" si="2"/>
        <v>177</v>
      </c>
      <c r="C184" s="353">
        <v>44098</v>
      </c>
      <c r="D184" s="138"/>
      <c r="E184" s="354">
        <v>5530625.4500000002</v>
      </c>
      <c r="F184" s="138"/>
      <c r="G184" s="271"/>
    </row>
    <row r="185" spans="2:7">
      <c r="B185" s="54">
        <f t="shared" si="2"/>
        <v>178</v>
      </c>
      <c r="C185" s="353">
        <v>44099</v>
      </c>
      <c r="D185" s="138"/>
      <c r="E185" s="354">
        <v>5752698.29</v>
      </c>
      <c r="F185" s="138"/>
      <c r="G185" s="271"/>
    </row>
    <row r="186" spans="2:7">
      <c r="B186" s="54">
        <f t="shared" si="2"/>
        <v>179</v>
      </c>
      <c r="C186" s="353">
        <v>44100</v>
      </c>
      <c r="D186" s="138"/>
      <c r="E186" s="354">
        <v>5752698.29</v>
      </c>
      <c r="F186" s="138"/>
      <c r="G186" s="271"/>
    </row>
    <row r="187" spans="2:7">
      <c r="B187" s="54">
        <f t="shared" si="2"/>
        <v>180</v>
      </c>
      <c r="C187" s="353">
        <v>44101</v>
      </c>
      <c r="D187" s="138"/>
      <c r="E187" s="354">
        <v>5683066.4900000002</v>
      </c>
      <c r="F187" s="138"/>
      <c r="G187" s="271"/>
    </row>
    <row r="188" spans="2:7">
      <c r="B188" s="54">
        <f t="shared" si="2"/>
        <v>181</v>
      </c>
      <c r="C188" s="353">
        <v>44102</v>
      </c>
      <c r="D188" s="138"/>
      <c r="E188" s="354">
        <v>5573123.7599999998</v>
      </c>
      <c r="F188" s="138"/>
      <c r="G188" s="272"/>
    </row>
    <row r="189" spans="2:7">
      <c r="B189" s="54">
        <f t="shared" si="2"/>
        <v>182</v>
      </c>
      <c r="C189" s="353">
        <v>44103</v>
      </c>
      <c r="D189" s="138"/>
      <c r="E189" s="354">
        <v>5277209.5999999996</v>
      </c>
      <c r="F189" s="138"/>
      <c r="G189" s="271"/>
    </row>
    <row r="190" spans="2:7">
      <c r="B190" s="54">
        <f t="shared" si="2"/>
        <v>183</v>
      </c>
      <c r="C190" s="353">
        <v>44104</v>
      </c>
      <c r="D190" s="138"/>
      <c r="E190" s="354">
        <v>5066502.88</v>
      </c>
      <c r="F190" s="138"/>
      <c r="G190" s="271"/>
    </row>
    <row r="191" spans="2:7">
      <c r="B191" s="54">
        <f t="shared" si="2"/>
        <v>184</v>
      </c>
      <c r="C191" s="353">
        <v>44105</v>
      </c>
      <c r="D191" s="138"/>
      <c r="E191" s="354">
        <v>5083586.42</v>
      </c>
      <c r="F191" s="138"/>
      <c r="G191" s="271"/>
    </row>
    <row r="192" spans="2:7">
      <c r="B192" s="54">
        <f t="shared" si="2"/>
        <v>185</v>
      </c>
      <c r="C192" s="353">
        <v>44106</v>
      </c>
      <c r="D192" s="138"/>
      <c r="E192" s="354">
        <v>5219764.2300000004</v>
      </c>
      <c r="F192" s="138"/>
      <c r="G192" s="271"/>
    </row>
    <row r="193" spans="2:7">
      <c r="B193" s="54">
        <f t="shared" si="2"/>
        <v>186</v>
      </c>
      <c r="C193" s="353">
        <v>44107</v>
      </c>
      <c r="D193" s="138"/>
      <c r="E193" s="354">
        <v>5219764.2300000004</v>
      </c>
      <c r="F193" s="138"/>
      <c r="G193" s="271"/>
    </row>
    <row r="194" spans="2:7">
      <c r="B194" s="54">
        <f t="shared" si="2"/>
        <v>187</v>
      </c>
      <c r="C194" s="353">
        <v>44108</v>
      </c>
      <c r="D194" s="138"/>
      <c r="E194" s="354">
        <v>5156720.2300000004</v>
      </c>
      <c r="F194" s="138"/>
      <c r="G194" s="271"/>
    </row>
    <row r="195" spans="2:7">
      <c r="B195" s="54">
        <f t="shared" si="2"/>
        <v>188</v>
      </c>
      <c r="C195" s="353">
        <v>44109</v>
      </c>
      <c r="D195" s="138"/>
      <c r="E195" s="354">
        <v>4663061.43</v>
      </c>
      <c r="F195" s="138"/>
      <c r="G195" s="272"/>
    </row>
    <row r="196" spans="2:7">
      <c r="B196" s="54">
        <f t="shared" si="2"/>
        <v>189</v>
      </c>
      <c r="C196" s="353">
        <v>44110</v>
      </c>
      <c r="D196" s="138"/>
      <c r="E196" s="354">
        <v>4491779.95</v>
      </c>
      <c r="F196" s="138"/>
      <c r="G196" s="271"/>
    </row>
    <row r="197" spans="2:7">
      <c r="B197" s="54">
        <f t="shared" si="2"/>
        <v>190</v>
      </c>
      <c r="C197" s="353">
        <v>44111</v>
      </c>
      <c r="D197" s="138"/>
      <c r="E197" s="354">
        <v>4406522.2300000004</v>
      </c>
      <c r="F197" s="138"/>
      <c r="G197" s="271"/>
    </row>
    <row r="198" spans="2:7">
      <c r="B198" s="54">
        <f t="shared" si="2"/>
        <v>191</v>
      </c>
      <c r="C198" s="353">
        <v>44112</v>
      </c>
      <c r="D198" s="138"/>
      <c r="E198" s="354">
        <v>4573617.12</v>
      </c>
      <c r="F198" s="138"/>
      <c r="G198" s="271"/>
    </row>
    <row r="199" spans="2:7">
      <c r="B199" s="54">
        <f t="shared" si="2"/>
        <v>192</v>
      </c>
      <c r="C199" s="353">
        <v>44113</v>
      </c>
      <c r="D199" s="138"/>
      <c r="E199" s="354">
        <v>4727520.92</v>
      </c>
      <c r="F199" s="138"/>
      <c r="G199" s="271"/>
    </row>
    <row r="200" spans="2:7">
      <c r="B200" s="54">
        <f t="shared" si="2"/>
        <v>193</v>
      </c>
      <c r="C200" s="353">
        <v>44114</v>
      </c>
      <c r="D200" s="138"/>
      <c r="E200" s="354">
        <v>4727520.92</v>
      </c>
      <c r="F200" s="138"/>
      <c r="G200" s="271"/>
    </row>
    <row r="201" spans="2:7">
      <c r="B201" s="54">
        <f t="shared" ref="B201:B264" si="3">B200+1</f>
        <v>194</v>
      </c>
      <c r="C201" s="353">
        <v>44115</v>
      </c>
      <c r="D201" s="138"/>
      <c r="E201" s="354">
        <v>4667198.97</v>
      </c>
      <c r="F201" s="138"/>
      <c r="G201" s="271"/>
    </row>
    <row r="202" spans="2:7">
      <c r="B202" s="54">
        <f t="shared" si="3"/>
        <v>195</v>
      </c>
      <c r="C202" s="353">
        <v>44116</v>
      </c>
      <c r="D202" s="138"/>
      <c r="E202" s="354">
        <v>4475236.8899999997</v>
      </c>
      <c r="F202" s="138"/>
      <c r="G202" s="272"/>
    </row>
    <row r="203" spans="2:7">
      <c r="B203" s="54">
        <f t="shared" si="3"/>
        <v>196</v>
      </c>
      <c r="C203" s="353">
        <v>44117</v>
      </c>
      <c r="D203" s="138"/>
      <c r="E203" s="354">
        <v>4506247</v>
      </c>
      <c r="F203" s="138"/>
      <c r="G203" s="271"/>
    </row>
    <row r="204" spans="2:7">
      <c r="B204" s="54">
        <f t="shared" si="3"/>
        <v>197</v>
      </c>
      <c r="C204" s="353">
        <v>44118</v>
      </c>
      <c r="D204" s="138"/>
      <c r="E204" s="354">
        <v>4700410.32</v>
      </c>
      <c r="F204" s="138"/>
      <c r="G204" s="271"/>
    </row>
    <row r="205" spans="2:7">
      <c r="B205" s="54">
        <f t="shared" si="3"/>
        <v>198</v>
      </c>
      <c r="C205" s="353">
        <v>44119</v>
      </c>
      <c r="D205" s="138"/>
      <c r="E205" s="354">
        <v>5140584.17</v>
      </c>
      <c r="F205" s="138"/>
      <c r="G205" s="271"/>
    </row>
    <row r="206" spans="2:7">
      <c r="B206" s="54">
        <f t="shared" si="3"/>
        <v>199</v>
      </c>
      <c r="C206" s="353">
        <v>44120</v>
      </c>
      <c r="D206" s="138"/>
      <c r="E206" s="354">
        <v>5483657.5099999998</v>
      </c>
      <c r="F206" s="138"/>
      <c r="G206" s="271"/>
    </row>
    <row r="207" spans="2:7">
      <c r="B207" s="54">
        <f t="shared" si="3"/>
        <v>200</v>
      </c>
      <c r="C207" s="353">
        <v>44121</v>
      </c>
      <c r="D207" s="138"/>
      <c r="E207" s="354">
        <v>5483657.5099999998</v>
      </c>
      <c r="F207" s="138"/>
      <c r="G207" s="271"/>
    </row>
    <row r="208" spans="2:7">
      <c r="B208" s="54">
        <f t="shared" si="3"/>
        <v>201</v>
      </c>
      <c r="C208" s="353">
        <v>44122</v>
      </c>
      <c r="D208" s="138"/>
      <c r="E208" s="354">
        <v>5424151.1399999997</v>
      </c>
      <c r="F208" s="138"/>
      <c r="G208" s="271"/>
    </row>
    <row r="209" spans="2:7">
      <c r="B209" s="54">
        <f t="shared" si="3"/>
        <v>202</v>
      </c>
      <c r="C209" s="353">
        <v>44123</v>
      </c>
      <c r="D209" s="138"/>
      <c r="E209" s="354">
        <v>5384102.6900000004</v>
      </c>
      <c r="F209" s="138"/>
      <c r="G209" s="272"/>
    </row>
    <row r="210" spans="2:7">
      <c r="B210" s="54">
        <f t="shared" si="3"/>
        <v>203</v>
      </c>
      <c r="C210" s="353">
        <v>44124</v>
      </c>
      <c r="D210" s="138"/>
      <c r="E210" s="354">
        <v>5549312.8700000001</v>
      </c>
      <c r="F210" s="138"/>
      <c r="G210" s="271"/>
    </row>
    <row r="211" spans="2:7">
      <c r="B211" s="54">
        <f t="shared" si="3"/>
        <v>204</v>
      </c>
      <c r="C211" s="353">
        <v>44125</v>
      </c>
      <c r="D211" s="138"/>
      <c r="E211" s="354">
        <v>5618300.4299999997</v>
      </c>
      <c r="F211" s="138"/>
      <c r="G211" s="271"/>
    </row>
    <row r="212" spans="2:7">
      <c r="B212" s="54">
        <f t="shared" si="3"/>
        <v>205</v>
      </c>
      <c r="C212" s="353">
        <v>44126</v>
      </c>
      <c r="D212" s="138"/>
      <c r="E212" s="354">
        <v>5933326.0899999999</v>
      </c>
      <c r="F212" s="138"/>
      <c r="G212" s="271"/>
    </row>
    <row r="213" spans="2:7">
      <c r="B213" s="54">
        <f t="shared" si="3"/>
        <v>206</v>
      </c>
      <c r="C213" s="353">
        <v>44127</v>
      </c>
      <c r="D213" s="138"/>
      <c r="E213" s="354">
        <v>6249443.3799999999</v>
      </c>
      <c r="F213" s="138"/>
      <c r="G213" s="271"/>
    </row>
    <row r="214" spans="2:7">
      <c r="B214" s="54">
        <f t="shared" si="3"/>
        <v>207</v>
      </c>
      <c r="C214" s="353">
        <v>44128</v>
      </c>
      <c r="D214" s="138"/>
      <c r="E214" s="354">
        <v>6249443.3799999999</v>
      </c>
      <c r="F214" s="138"/>
      <c r="G214" s="271"/>
    </row>
    <row r="215" spans="2:7">
      <c r="B215" s="54">
        <f t="shared" si="3"/>
        <v>208</v>
      </c>
      <c r="C215" s="353">
        <v>44129</v>
      </c>
      <c r="D215" s="138"/>
      <c r="E215" s="354">
        <v>6155709.5800000001</v>
      </c>
      <c r="F215" s="138"/>
      <c r="G215" s="271"/>
    </row>
    <row r="216" spans="2:7">
      <c r="B216" s="54">
        <f t="shared" si="3"/>
        <v>209</v>
      </c>
      <c r="C216" s="353">
        <v>44130</v>
      </c>
      <c r="D216" s="138"/>
      <c r="E216" s="354">
        <v>5914936.8200000003</v>
      </c>
      <c r="F216" s="138"/>
      <c r="G216" s="272"/>
    </row>
    <row r="217" spans="2:7">
      <c r="B217" s="54">
        <f t="shared" si="3"/>
        <v>210</v>
      </c>
      <c r="C217" s="353">
        <v>44131</v>
      </c>
      <c r="D217" s="138"/>
      <c r="E217" s="354">
        <v>5921626.7300000004</v>
      </c>
      <c r="F217" s="138"/>
      <c r="G217" s="271"/>
    </row>
    <row r="218" spans="2:7">
      <c r="B218" s="54">
        <f t="shared" si="3"/>
        <v>211</v>
      </c>
      <c r="C218" s="353">
        <v>44132</v>
      </c>
      <c r="D218" s="138"/>
      <c r="E218" s="354">
        <v>5632510.7199999997</v>
      </c>
      <c r="F218" s="138"/>
      <c r="G218" s="271"/>
    </row>
    <row r="219" spans="2:7">
      <c r="B219" s="54">
        <f t="shared" si="3"/>
        <v>212</v>
      </c>
      <c r="C219" s="353">
        <v>44133</v>
      </c>
      <c r="D219" s="138"/>
      <c r="E219" s="354">
        <v>5543847.6799999997</v>
      </c>
      <c r="F219" s="138"/>
      <c r="G219" s="271"/>
    </row>
    <row r="220" spans="2:7">
      <c r="B220" s="54">
        <f t="shared" si="3"/>
        <v>213</v>
      </c>
      <c r="C220" s="353">
        <v>44134</v>
      </c>
      <c r="D220" s="138"/>
      <c r="E220" s="354">
        <v>5365067.8</v>
      </c>
      <c r="F220" s="138"/>
      <c r="G220" s="271"/>
    </row>
    <row r="221" spans="2:7">
      <c r="B221" s="54">
        <f t="shared" si="3"/>
        <v>214</v>
      </c>
      <c r="C221" s="353">
        <v>44135</v>
      </c>
      <c r="D221" s="138"/>
      <c r="E221" s="354">
        <v>5329018.16</v>
      </c>
      <c r="F221" s="138"/>
      <c r="G221" s="271"/>
    </row>
    <row r="222" spans="2:7">
      <c r="B222" s="54">
        <f t="shared" si="3"/>
        <v>215</v>
      </c>
      <c r="C222" s="353">
        <v>44136</v>
      </c>
      <c r="D222" s="138"/>
      <c r="E222" s="354">
        <v>5293077.05</v>
      </c>
      <c r="F222" s="138"/>
      <c r="G222" s="271"/>
    </row>
    <row r="223" spans="2:7">
      <c r="B223" s="54">
        <f t="shared" si="3"/>
        <v>216</v>
      </c>
      <c r="C223" s="353">
        <v>44137</v>
      </c>
      <c r="D223" s="138"/>
      <c r="E223" s="354">
        <v>4692905.37</v>
      </c>
      <c r="F223" s="138"/>
      <c r="G223" s="272"/>
    </row>
    <row r="224" spans="2:7">
      <c r="B224" s="54">
        <f t="shared" si="3"/>
        <v>217</v>
      </c>
      <c r="C224" s="353">
        <v>44138</v>
      </c>
      <c r="D224" s="138"/>
      <c r="E224" s="354">
        <v>4520607.96</v>
      </c>
      <c r="F224" s="138"/>
      <c r="G224" s="271"/>
    </row>
    <row r="225" spans="2:7">
      <c r="B225" s="54">
        <f t="shared" si="3"/>
        <v>218</v>
      </c>
      <c r="C225" s="353">
        <v>44139</v>
      </c>
      <c r="D225" s="138"/>
      <c r="E225" s="354">
        <v>4514327.97</v>
      </c>
      <c r="F225" s="138"/>
      <c r="G225" s="271"/>
    </row>
    <row r="226" spans="2:7">
      <c r="B226" s="54">
        <f t="shared" si="3"/>
        <v>219</v>
      </c>
      <c r="C226" s="353">
        <v>44140</v>
      </c>
      <c r="D226" s="138"/>
      <c r="E226" s="354">
        <v>5077626.22</v>
      </c>
      <c r="F226" s="138"/>
      <c r="G226" s="271"/>
    </row>
    <row r="227" spans="2:7">
      <c r="B227" s="54">
        <f t="shared" si="3"/>
        <v>220</v>
      </c>
      <c r="C227" s="353">
        <v>44141</v>
      </c>
      <c r="D227" s="138"/>
      <c r="E227" s="354">
        <v>4537045.8</v>
      </c>
      <c r="F227" s="138"/>
      <c r="G227" s="271"/>
    </row>
    <row r="228" spans="2:7">
      <c r="B228" s="54">
        <f t="shared" si="3"/>
        <v>221</v>
      </c>
      <c r="C228" s="353">
        <v>44142</v>
      </c>
      <c r="D228" s="138"/>
      <c r="E228" s="354">
        <v>4537045.8</v>
      </c>
      <c r="F228" s="138"/>
      <c r="G228" s="271"/>
    </row>
    <row r="229" spans="2:7">
      <c r="B229" s="54">
        <f t="shared" si="3"/>
        <v>222</v>
      </c>
      <c r="C229" s="353">
        <v>44143</v>
      </c>
      <c r="D229" s="138"/>
      <c r="E229" s="354">
        <v>4457222.4400000004</v>
      </c>
      <c r="F229" s="138"/>
      <c r="G229" s="271"/>
    </row>
    <row r="230" spans="2:7">
      <c r="B230" s="54">
        <f t="shared" si="3"/>
        <v>223</v>
      </c>
      <c r="C230" s="353">
        <v>44144</v>
      </c>
      <c r="D230" s="138"/>
      <c r="E230" s="354">
        <v>3927226.66</v>
      </c>
      <c r="F230" s="138"/>
      <c r="G230" s="272"/>
    </row>
    <row r="231" spans="2:7">
      <c r="B231" s="54">
        <f t="shared" si="3"/>
        <v>224</v>
      </c>
      <c r="C231" s="353">
        <v>44145</v>
      </c>
      <c r="D231" s="138"/>
      <c r="E231" s="354">
        <v>4110732.4</v>
      </c>
      <c r="F231" s="138"/>
      <c r="G231" s="271"/>
    </row>
    <row r="232" spans="2:7">
      <c r="B232" s="54">
        <f t="shared" si="3"/>
        <v>225</v>
      </c>
      <c r="C232" s="353">
        <v>44146</v>
      </c>
      <c r="D232" s="138"/>
      <c r="E232" s="354">
        <v>4352732.67</v>
      </c>
      <c r="F232" s="138"/>
      <c r="G232" s="271"/>
    </row>
    <row r="233" spans="2:7">
      <c r="B233" s="54">
        <f t="shared" si="3"/>
        <v>226</v>
      </c>
      <c r="C233" s="353">
        <v>44147</v>
      </c>
      <c r="D233" s="138"/>
      <c r="E233" s="354">
        <v>4773457.37</v>
      </c>
      <c r="F233" s="138"/>
      <c r="G233" s="271"/>
    </row>
    <row r="234" spans="2:7">
      <c r="B234" s="54">
        <f t="shared" si="3"/>
        <v>227</v>
      </c>
      <c r="C234" s="353">
        <v>44148</v>
      </c>
      <c r="D234" s="138"/>
      <c r="E234" s="354">
        <v>5149023.2300000004</v>
      </c>
      <c r="F234" s="138"/>
      <c r="G234" s="271"/>
    </row>
    <row r="235" spans="2:7">
      <c r="B235" s="54">
        <f t="shared" si="3"/>
        <v>228</v>
      </c>
      <c r="C235" s="353">
        <v>44149</v>
      </c>
      <c r="D235" s="138"/>
      <c r="E235" s="354">
        <v>5149023.2300000004</v>
      </c>
      <c r="F235" s="138"/>
      <c r="G235" s="271"/>
    </row>
    <row r="236" spans="2:7">
      <c r="B236" s="54">
        <f t="shared" si="3"/>
        <v>229</v>
      </c>
      <c r="C236" s="353">
        <v>44150</v>
      </c>
      <c r="D236" s="138"/>
      <c r="E236" s="354">
        <v>5054262.08</v>
      </c>
      <c r="F236" s="138"/>
      <c r="G236" s="271"/>
    </row>
    <row r="237" spans="2:7">
      <c r="B237" s="54">
        <f t="shared" si="3"/>
        <v>230</v>
      </c>
      <c r="C237" s="353">
        <v>44151</v>
      </c>
      <c r="D237" s="138"/>
      <c r="E237" s="354">
        <v>5097068.24</v>
      </c>
      <c r="F237" s="138"/>
      <c r="G237" s="272"/>
    </row>
    <row r="238" spans="2:7">
      <c r="B238" s="54">
        <f t="shared" si="3"/>
        <v>231</v>
      </c>
      <c r="C238" s="353">
        <v>44152</v>
      </c>
      <c r="D238" s="138"/>
      <c r="E238" s="354">
        <v>5511802.1600000001</v>
      </c>
      <c r="F238" s="138"/>
      <c r="G238" s="271"/>
    </row>
    <row r="239" spans="2:7">
      <c r="B239" s="54">
        <f t="shared" si="3"/>
        <v>232</v>
      </c>
      <c r="C239" s="353">
        <v>44153</v>
      </c>
      <c r="D239" s="138"/>
      <c r="E239" s="354">
        <v>7862569.0300000003</v>
      </c>
      <c r="F239" s="138"/>
      <c r="G239" s="271"/>
    </row>
    <row r="240" spans="2:7">
      <c r="B240" s="54">
        <f t="shared" si="3"/>
        <v>233</v>
      </c>
      <c r="C240" s="353">
        <v>44154</v>
      </c>
      <c r="D240" s="138"/>
      <c r="E240" s="354">
        <v>8362667.8799999999</v>
      </c>
      <c r="F240" s="138"/>
      <c r="G240" s="271"/>
    </row>
    <row r="241" spans="2:7">
      <c r="B241" s="54">
        <f t="shared" si="3"/>
        <v>234</v>
      </c>
      <c r="C241" s="353">
        <v>44155</v>
      </c>
      <c r="D241" s="138"/>
      <c r="E241" s="354">
        <v>8908834.6600000001</v>
      </c>
      <c r="F241" s="138"/>
      <c r="G241" s="271"/>
    </row>
    <row r="242" spans="2:7">
      <c r="B242" s="54">
        <f t="shared" si="3"/>
        <v>235</v>
      </c>
      <c r="C242" s="353">
        <v>44156</v>
      </c>
      <c r="D242" s="138"/>
      <c r="E242" s="354">
        <v>8908834.6600000001</v>
      </c>
      <c r="F242" s="138"/>
      <c r="G242" s="271"/>
    </row>
    <row r="243" spans="2:7">
      <c r="B243" s="54">
        <f t="shared" si="3"/>
        <v>236</v>
      </c>
      <c r="C243" s="353">
        <v>44157</v>
      </c>
      <c r="D243" s="138"/>
      <c r="E243" s="354">
        <v>8781547.7400000002</v>
      </c>
      <c r="F243" s="138"/>
      <c r="G243" s="271"/>
    </row>
    <row r="244" spans="2:7">
      <c r="B244" s="54">
        <f t="shared" si="3"/>
        <v>237</v>
      </c>
      <c r="C244" s="353">
        <v>44158</v>
      </c>
      <c r="D244" s="138"/>
      <c r="E244" s="354">
        <v>8235203.4000000004</v>
      </c>
      <c r="F244" s="138"/>
      <c r="G244" s="272"/>
    </row>
    <row r="245" spans="2:7">
      <c r="B245" s="54">
        <f t="shared" si="3"/>
        <v>238</v>
      </c>
      <c r="C245" s="353">
        <v>44159</v>
      </c>
      <c r="D245" s="138"/>
      <c r="E245" s="354">
        <v>8125255.8099999996</v>
      </c>
      <c r="F245" s="138"/>
      <c r="G245" s="271"/>
    </row>
    <row r="246" spans="2:7">
      <c r="B246" s="54">
        <f t="shared" si="3"/>
        <v>239</v>
      </c>
      <c r="C246" s="353">
        <v>44160</v>
      </c>
      <c r="D246" s="138"/>
      <c r="E246" s="354">
        <v>7755584.6500000004</v>
      </c>
      <c r="F246" s="138"/>
      <c r="G246" s="271"/>
    </row>
    <row r="247" spans="2:7">
      <c r="B247" s="54">
        <f t="shared" si="3"/>
        <v>240</v>
      </c>
      <c r="C247" s="353">
        <v>44161</v>
      </c>
      <c r="D247" s="138"/>
      <c r="E247" s="354">
        <v>7755584.6500000004</v>
      </c>
      <c r="F247" s="138"/>
      <c r="G247" s="271"/>
    </row>
    <row r="248" spans="2:7">
      <c r="B248" s="54">
        <f t="shared" si="3"/>
        <v>241</v>
      </c>
      <c r="C248" s="353">
        <v>44162</v>
      </c>
      <c r="D248" s="138"/>
      <c r="E248" s="354">
        <v>7755584.6500000004</v>
      </c>
      <c r="F248" s="138"/>
      <c r="G248" s="271"/>
    </row>
    <row r="249" spans="2:7">
      <c r="B249" s="54">
        <f t="shared" si="3"/>
        <v>242</v>
      </c>
      <c r="C249" s="353">
        <v>44163</v>
      </c>
      <c r="D249" s="138"/>
      <c r="E249" s="354">
        <v>7755584.6500000004</v>
      </c>
      <c r="F249" s="138"/>
      <c r="G249" s="271"/>
    </row>
    <row r="250" spans="2:7">
      <c r="B250" s="54">
        <f t="shared" si="3"/>
        <v>243</v>
      </c>
      <c r="C250" s="353">
        <v>44164</v>
      </c>
      <c r="D250" s="138"/>
      <c r="E250" s="354">
        <v>7443195.0800000001</v>
      </c>
      <c r="F250" s="138"/>
      <c r="G250" s="271"/>
    </row>
    <row r="251" spans="2:7">
      <c r="B251" s="54">
        <f t="shared" si="3"/>
        <v>244</v>
      </c>
      <c r="C251" s="353">
        <v>44165</v>
      </c>
      <c r="D251" s="138"/>
      <c r="E251" s="354">
        <v>6786623.1699999999</v>
      </c>
      <c r="F251" s="138"/>
      <c r="G251" s="272"/>
    </row>
    <row r="252" spans="2:7">
      <c r="B252" s="54">
        <f t="shared" si="3"/>
        <v>245</v>
      </c>
      <c r="C252" s="353">
        <v>44166</v>
      </c>
      <c r="D252" s="138"/>
      <c r="E252" s="354">
        <v>6397038.1900000004</v>
      </c>
      <c r="F252" s="138"/>
      <c r="G252" s="271"/>
    </row>
    <row r="253" spans="2:7">
      <c r="B253" s="54">
        <f t="shared" si="3"/>
        <v>246</v>
      </c>
      <c r="C253" s="353">
        <v>44167</v>
      </c>
      <c r="D253" s="138"/>
      <c r="E253" s="354">
        <v>6429063.2400000002</v>
      </c>
      <c r="F253" s="138"/>
      <c r="G253" s="271"/>
    </row>
    <row r="254" spans="2:7">
      <c r="B254" s="54">
        <f t="shared" si="3"/>
        <v>247</v>
      </c>
      <c r="C254" s="353">
        <v>44168</v>
      </c>
      <c r="D254" s="138"/>
      <c r="E254" s="354">
        <v>6885998.3600000003</v>
      </c>
      <c r="F254" s="138"/>
      <c r="G254" s="271"/>
    </row>
    <row r="255" spans="2:7">
      <c r="B255" s="54">
        <f t="shared" si="3"/>
        <v>248</v>
      </c>
      <c r="C255" s="353">
        <v>44169</v>
      </c>
      <c r="D255" s="138"/>
      <c r="E255" s="354">
        <v>7163889.3300000001</v>
      </c>
      <c r="F255" s="138"/>
      <c r="G255" s="271"/>
    </row>
    <row r="256" spans="2:7">
      <c r="B256" s="54">
        <f t="shared" si="3"/>
        <v>249</v>
      </c>
      <c r="C256" s="353">
        <v>44170</v>
      </c>
      <c r="D256" s="138"/>
      <c r="E256" s="354">
        <v>7163889.3300000001</v>
      </c>
      <c r="F256" s="138"/>
      <c r="G256" s="271"/>
    </row>
    <row r="257" spans="2:7">
      <c r="B257" s="54">
        <f t="shared" si="3"/>
        <v>250</v>
      </c>
      <c r="C257" s="353">
        <v>44171</v>
      </c>
      <c r="D257" s="138"/>
      <c r="E257" s="354">
        <v>7072679.6799999997</v>
      </c>
      <c r="F257" s="138"/>
      <c r="G257" s="271"/>
    </row>
    <row r="258" spans="2:7">
      <c r="B258" s="54">
        <f t="shared" si="3"/>
        <v>251</v>
      </c>
      <c r="C258" s="353">
        <v>44172</v>
      </c>
      <c r="D258" s="138"/>
      <c r="E258" s="354">
        <v>6031460.21</v>
      </c>
      <c r="F258" s="138"/>
      <c r="G258" s="272"/>
    </row>
    <row r="259" spans="2:7">
      <c r="B259" s="54">
        <f t="shared" si="3"/>
        <v>252</v>
      </c>
      <c r="C259" s="353">
        <v>44173</v>
      </c>
      <c r="D259" s="138"/>
      <c r="E259" s="354">
        <v>6178008.9000000004</v>
      </c>
      <c r="F259" s="138"/>
      <c r="G259" s="271"/>
    </row>
    <row r="260" spans="2:7">
      <c r="B260" s="54">
        <f t="shared" si="3"/>
        <v>253</v>
      </c>
      <c r="C260" s="353">
        <v>44174</v>
      </c>
      <c r="D260" s="138"/>
      <c r="E260" s="354">
        <v>6165247.3799999999</v>
      </c>
      <c r="F260" s="138"/>
      <c r="G260" s="271"/>
    </row>
    <row r="261" spans="2:7">
      <c r="B261" s="54">
        <f t="shared" si="3"/>
        <v>254</v>
      </c>
      <c r="C261" s="353">
        <v>44175</v>
      </c>
      <c r="D261" s="138"/>
      <c r="E261" s="354">
        <v>6831734.8099999996</v>
      </c>
      <c r="F261" s="138"/>
      <c r="G261" s="271"/>
    </row>
    <row r="262" spans="2:7">
      <c r="B262" s="54">
        <f t="shared" si="3"/>
        <v>255</v>
      </c>
      <c r="C262" s="353">
        <v>44176</v>
      </c>
      <c r="D262" s="138"/>
      <c r="E262" s="354">
        <v>6348404.2199999997</v>
      </c>
      <c r="F262" s="138"/>
      <c r="G262" s="271"/>
    </row>
    <row r="263" spans="2:7">
      <c r="B263" s="54">
        <f t="shared" si="3"/>
        <v>256</v>
      </c>
      <c r="C263" s="353">
        <v>44177</v>
      </c>
      <c r="D263" s="138"/>
      <c r="E263" s="354">
        <v>6348404.2199999997</v>
      </c>
      <c r="F263" s="138"/>
      <c r="G263" s="271"/>
    </row>
    <row r="264" spans="2:7">
      <c r="B264" s="54">
        <f t="shared" si="3"/>
        <v>257</v>
      </c>
      <c r="C264" s="353">
        <v>44178</v>
      </c>
      <c r="D264" s="138"/>
      <c r="E264" s="354">
        <v>6270975.1500000004</v>
      </c>
      <c r="F264" s="138"/>
      <c r="G264" s="271"/>
    </row>
    <row r="265" spans="2:7">
      <c r="B265" s="54">
        <f t="shared" ref="B265:B328" si="4">B264+1</f>
        <v>258</v>
      </c>
      <c r="C265" s="353">
        <v>44179</v>
      </c>
      <c r="D265" s="138"/>
      <c r="E265" s="354">
        <v>8019567.8700000001</v>
      </c>
      <c r="F265" s="138"/>
      <c r="G265" s="272"/>
    </row>
    <row r="266" spans="2:7">
      <c r="B266" s="54">
        <f t="shared" si="4"/>
        <v>259</v>
      </c>
      <c r="C266" s="353">
        <v>44180</v>
      </c>
      <c r="D266" s="138"/>
      <c r="E266" s="354">
        <v>8722137.6899999995</v>
      </c>
      <c r="F266" s="138"/>
      <c r="G266" s="271"/>
    </row>
    <row r="267" spans="2:7">
      <c r="B267" s="54">
        <f t="shared" si="4"/>
        <v>260</v>
      </c>
      <c r="C267" s="353">
        <v>44181</v>
      </c>
      <c r="D267" s="138"/>
      <c r="E267" s="354">
        <v>9609416.0500000007</v>
      </c>
      <c r="F267" s="138"/>
      <c r="G267" s="271"/>
    </row>
    <row r="268" spans="2:7">
      <c r="B268" s="54">
        <f t="shared" si="4"/>
        <v>261</v>
      </c>
      <c r="C268" s="353">
        <v>44182</v>
      </c>
      <c r="D268" s="138"/>
      <c r="E268" s="354">
        <v>10416763.380000001</v>
      </c>
      <c r="F268" s="138"/>
      <c r="G268" s="271"/>
    </row>
    <row r="269" spans="2:7">
      <c r="B269" s="54">
        <f t="shared" si="4"/>
        <v>262</v>
      </c>
      <c r="C269" s="353">
        <v>44183</v>
      </c>
      <c r="D269" s="138"/>
      <c r="E269" s="354">
        <v>10899575.890000001</v>
      </c>
      <c r="F269" s="138"/>
      <c r="G269" s="271"/>
    </row>
    <row r="270" spans="2:7">
      <c r="B270" s="54">
        <f t="shared" si="4"/>
        <v>263</v>
      </c>
      <c r="C270" s="353">
        <v>44184</v>
      </c>
      <c r="D270" s="138"/>
      <c r="E270" s="354">
        <v>10899575.890000001</v>
      </c>
      <c r="F270" s="138"/>
      <c r="G270" s="271"/>
    </row>
    <row r="271" spans="2:7">
      <c r="B271" s="54">
        <f t="shared" si="4"/>
        <v>264</v>
      </c>
      <c r="C271" s="353">
        <v>44185</v>
      </c>
      <c r="D271" s="138"/>
      <c r="E271" s="354">
        <v>10771240.52</v>
      </c>
      <c r="F271" s="138"/>
      <c r="G271" s="271"/>
    </row>
    <row r="272" spans="2:7">
      <c r="B272" s="54">
        <f t="shared" si="4"/>
        <v>265</v>
      </c>
      <c r="C272" s="353">
        <v>44186</v>
      </c>
      <c r="D272" s="138"/>
      <c r="E272" s="354">
        <v>10375485</v>
      </c>
      <c r="F272" s="138"/>
      <c r="G272" s="272"/>
    </row>
    <row r="273" spans="2:7">
      <c r="B273" s="54">
        <f t="shared" si="4"/>
        <v>266</v>
      </c>
      <c r="C273" s="353">
        <v>44187</v>
      </c>
      <c r="D273" s="138"/>
      <c r="E273" s="354">
        <v>10745720.970000001</v>
      </c>
      <c r="F273" s="138"/>
      <c r="G273" s="271"/>
    </row>
    <row r="274" spans="2:7">
      <c r="B274" s="54">
        <f t="shared" si="4"/>
        <v>267</v>
      </c>
      <c r="C274" s="353">
        <v>44188</v>
      </c>
      <c r="D274" s="138"/>
      <c r="E274" s="354">
        <v>11443344.4</v>
      </c>
      <c r="F274" s="138"/>
      <c r="G274" s="271"/>
    </row>
    <row r="275" spans="2:7">
      <c r="B275" s="54">
        <f t="shared" si="4"/>
        <v>268</v>
      </c>
      <c r="C275" s="353">
        <v>44189</v>
      </c>
      <c r="D275" s="138"/>
      <c r="E275" s="354">
        <v>11443344.4</v>
      </c>
      <c r="F275" s="138"/>
      <c r="G275" s="271"/>
    </row>
    <row r="276" spans="2:7">
      <c r="B276" s="54">
        <f t="shared" si="4"/>
        <v>269</v>
      </c>
      <c r="C276" s="353">
        <v>44190</v>
      </c>
      <c r="D276" s="138"/>
      <c r="E276" s="354">
        <v>11443344.4</v>
      </c>
      <c r="F276" s="138"/>
      <c r="G276" s="271"/>
    </row>
    <row r="277" spans="2:7">
      <c r="B277" s="54">
        <f t="shared" si="4"/>
        <v>270</v>
      </c>
      <c r="C277" s="353">
        <v>44191</v>
      </c>
      <c r="D277" s="138"/>
      <c r="E277" s="354">
        <v>11443344.4</v>
      </c>
      <c r="F277" s="138"/>
      <c r="G277" s="271"/>
    </row>
    <row r="278" spans="2:7">
      <c r="B278" s="54">
        <f t="shared" si="4"/>
        <v>271</v>
      </c>
      <c r="C278" s="353">
        <v>44192</v>
      </c>
      <c r="D278" s="138"/>
      <c r="E278" s="354">
        <v>11119422.130000001</v>
      </c>
      <c r="F278" s="138"/>
      <c r="G278" s="271"/>
    </row>
    <row r="279" spans="2:7">
      <c r="B279" s="54">
        <f t="shared" si="4"/>
        <v>272</v>
      </c>
      <c r="C279" s="353">
        <v>44193</v>
      </c>
      <c r="D279" s="138"/>
      <c r="E279" s="354">
        <v>10369725.720000001</v>
      </c>
      <c r="F279" s="138"/>
      <c r="G279" s="272"/>
    </row>
    <row r="280" spans="2:7">
      <c r="B280" s="54">
        <f t="shared" si="4"/>
        <v>273</v>
      </c>
      <c r="C280" s="353">
        <v>44194</v>
      </c>
      <c r="D280" s="138"/>
      <c r="E280" s="354">
        <v>10496713.85</v>
      </c>
      <c r="F280" s="138"/>
      <c r="G280" s="271"/>
    </row>
    <row r="281" spans="2:7">
      <c r="B281" s="54">
        <f t="shared" si="4"/>
        <v>274</v>
      </c>
      <c r="C281" s="353">
        <v>44195</v>
      </c>
      <c r="D281" s="138"/>
      <c r="E281" s="354">
        <v>9878535.5700000003</v>
      </c>
      <c r="F281" s="138"/>
      <c r="G281" s="271"/>
    </row>
    <row r="282" spans="2:7">
      <c r="B282" s="54">
        <f t="shared" si="4"/>
        <v>275</v>
      </c>
      <c r="C282" s="353">
        <v>44196</v>
      </c>
      <c r="D282" s="138"/>
      <c r="E282" s="354">
        <v>9731589.3599999994</v>
      </c>
      <c r="F282" s="138"/>
      <c r="G282" s="271"/>
    </row>
    <row r="283" spans="2:7">
      <c r="B283" s="54">
        <f t="shared" si="4"/>
        <v>276</v>
      </c>
      <c r="C283" s="353">
        <v>44197</v>
      </c>
      <c r="D283" s="138"/>
      <c r="E283" s="354">
        <v>9637303.3599999994</v>
      </c>
      <c r="F283" s="138"/>
      <c r="G283" s="271"/>
    </row>
    <row r="284" spans="2:7">
      <c r="B284" s="54">
        <f t="shared" si="4"/>
        <v>277</v>
      </c>
      <c r="C284" s="353">
        <v>44198</v>
      </c>
      <c r="D284" s="138"/>
      <c r="E284" s="354">
        <v>9543017.3599999994</v>
      </c>
      <c r="F284" s="138"/>
      <c r="G284" s="271"/>
    </row>
    <row r="285" spans="2:7">
      <c r="B285" s="54">
        <f t="shared" si="4"/>
        <v>278</v>
      </c>
      <c r="C285" s="353">
        <v>44199</v>
      </c>
      <c r="D285" s="138"/>
      <c r="E285" s="354">
        <v>9448729.8399999999</v>
      </c>
      <c r="F285" s="138"/>
      <c r="G285" s="271"/>
    </row>
    <row r="286" spans="2:7">
      <c r="B286" s="54">
        <f t="shared" si="4"/>
        <v>279</v>
      </c>
      <c r="C286" s="353">
        <v>44200</v>
      </c>
      <c r="D286" s="138"/>
      <c r="E286" s="354">
        <v>8161126.1600000001</v>
      </c>
      <c r="F286" s="138"/>
      <c r="G286" s="272"/>
    </row>
    <row r="287" spans="2:7">
      <c r="B287" s="54">
        <f t="shared" si="4"/>
        <v>280</v>
      </c>
      <c r="C287" s="353">
        <v>44201</v>
      </c>
      <c r="D287" s="138"/>
      <c r="E287" s="354">
        <v>8132637.5899999999</v>
      </c>
      <c r="F287" s="138"/>
      <c r="G287" s="271"/>
    </row>
    <row r="288" spans="2:7">
      <c r="B288" s="54">
        <f t="shared" si="4"/>
        <v>281</v>
      </c>
      <c r="C288" s="353">
        <v>44202</v>
      </c>
      <c r="D288" s="138"/>
      <c r="E288" s="354">
        <v>7129376.7300000004</v>
      </c>
      <c r="F288" s="138"/>
      <c r="G288" s="271"/>
    </row>
    <row r="289" spans="2:7">
      <c r="B289" s="54">
        <f t="shared" si="4"/>
        <v>282</v>
      </c>
      <c r="C289" s="353">
        <v>44203</v>
      </c>
      <c r="D289" s="138"/>
      <c r="E289" s="354">
        <v>8474193.2699999996</v>
      </c>
      <c r="F289" s="138"/>
      <c r="G289" s="271"/>
    </row>
    <row r="290" spans="2:7">
      <c r="B290" s="54">
        <f t="shared" si="4"/>
        <v>283</v>
      </c>
      <c r="C290" s="353">
        <v>44204</v>
      </c>
      <c r="D290" s="138"/>
      <c r="E290" s="354">
        <v>9101680.6799999997</v>
      </c>
      <c r="F290" s="139"/>
      <c r="G290" s="271"/>
    </row>
    <row r="291" spans="2:7">
      <c r="B291" s="54">
        <f t="shared" si="4"/>
        <v>284</v>
      </c>
      <c r="C291" s="353">
        <v>44205</v>
      </c>
      <c r="D291" s="138"/>
      <c r="E291" s="354">
        <v>9101680.6799999997</v>
      </c>
      <c r="F291" s="139"/>
      <c r="G291" s="271"/>
    </row>
    <row r="292" spans="2:7">
      <c r="B292" s="54">
        <f t="shared" si="4"/>
        <v>285</v>
      </c>
      <c r="C292" s="353">
        <v>44206</v>
      </c>
      <c r="D292" s="138"/>
      <c r="E292" s="354">
        <v>8902281.0500000007</v>
      </c>
      <c r="F292" s="139"/>
      <c r="G292" s="271"/>
    </row>
    <row r="293" spans="2:7">
      <c r="B293" s="54">
        <f t="shared" si="4"/>
        <v>286</v>
      </c>
      <c r="C293" s="353">
        <v>44207</v>
      </c>
      <c r="D293" s="138"/>
      <c r="E293" s="354">
        <v>8082384.5499999998</v>
      </c>
      <c r="F293" s="139"/>
      <c r="G293" s="272"/>
    </row>
    <row r="294" spans="2:7">
      <c r="B294" s="54">
        <f t="shared" si="4"/>
        <v>287</v>
      </c>
      <c r="C294" s="353">
        <v>44208</v>
      </c>
      <c r="D294" s="138"/>
      <c r="E294" s="354">
        <v>8970752.0999999996</v>
      </c>
      <c r="F294" s="139"/>
      <c r="G294" s="271"/>
    </row>
    <row r="295" spans="2:7">
      <c r="B295" s="54">
        <f t="shared" si="4"/>
        <v>288</v>
      </c>
      <c r="C295" s="353">
        <v>44209</v>
      </c>
      <c r="D295" s="138"/>
      <c r="E295" s="354">
        <v>10097703.130000001</v>
      </c>
      <c r="F295" s="139"/>
      <c r="G295" s="271"/>
    </row>
    <row r="296" spans="2:7">
      <c r="B296" s="54">
        <f t="shared" si="4"/>
        <v>289</v>
      </c>
      <c r="C296" s="353">
        <v>44210</v>
      </c>
      <c r="D296" s="138"/>
      <c r="E296" s="354">
        <v>11057416.85</v>
      </c>
      <c r="F296" s="139"/>
      <c r="G296" s="271"/>
    </row>
    <row r="297" spans="2:7">
      <c r="B297" s="54">
        <f t="shared" si="4"/>
        <v>290</v>
      </c>
      <c r="C297" s="353">
        <v>44211</v>
      </c>
      <c r="D297" s="138"/>
      <c r="E297" s="354">
        <v>11969465.109999999</v>
      </c>
      <c r="F297" s="139"/>
      <c r="G297" s="271"/>
    </row>
    <row r="298" spans="2:7">
      <c r="B298" s="54">
        <f t="shared" si="4"/>
        <v>291</v>
      </c>
      <c r="C298" s="353">
        <v>44212</v>
      </c>
      <c r="D298" s="138"/>
      <c r="E298" s="354">
        <v>11969465.109999999</v>
      </c>
      <c r="F298" s="139"/>
      <c r="G298" s="271"/>
    </row>
    <row r="299" spans="2:7">
      <c r="B299" s="54">
        <f t="shared" si="4"/>
        <v>292</v>
      </c>
      <c r="C299" s="353">
        <v>44213</v>
      </c>
      <c r="D299" s="138"/>
      <c r="E299" s="354">
        <v>11767969.24</v>
      </c>
      <c r="F299" s="139"/>
      <c r="G299" s="271"/>
    </row>
    <row r="300" spans="2:7">
      <c r="B300" s="54">
        <f t="shared" si="4"/>
        <v>293</v>
      </c>
      <c r="C300" s="353">
        <v>44214</v>
      </c>
      <c r="D300" s="138"/>
      <c r="E300" s="354">
        <v>11285232.91</v>
      </c>
      <c r="F300" s="139"/>
      <c r="G300" s="272"/>
    </row>
    <row r="301" spans="2:7">
      <c r="B301" s="54">
        <f t="shared" si="4"/>
        <v>294</v>
      </c>
      <c r="C301" s="353">
        <v>44215</v>
      </c>
      <c r="D301" s="138"/>
      <c r="E301" s="354">
        <v>12317653.390000001</v>
      </c>
      <c r="F301" s="139"/>
      <c r="G301" s="271"/>
    </row>
    <row r="302" spans="2:7">
      <c r="B302" s="54">
        <f t="shared" si="4"/>
        <v>295</v>
      </c>
      <c r="C302" s="353">
        <v>44216</v>
      </c>
      <c r="D302" s="138"/>
      <c r="E302" s="354">
        <v>14924286.939999999</v>
      </c>
      <c r="F302" s="139"/>
      <c r="G302" s="271"/>
    </row>
    <row r="303" spans="2:7">
      <c r="B303" s="54">
        <f t="shared" si="4"/>
        <v>296</v>
      </c>
      <c r="C303" s="353">
        <v>44217</v>
      </c>
      <c r="D303" s="138"/>
      <c r="E303" s="354">
        <v>15326109.210000001</v>
      </c>
      <c r="F303" s="139"/>
      <c r="G303" s="271"/>
    </row>
    <row r="304" spans="2:7">
      <c r="B304" s="54">
        <f t="shared" si="4"/>
        <v>297</v>
      </c>
      <c r="C304" s="353">
        <v>44218</v>
      </c>
      <c r="D304" s="138"/>
      <c r="E304" s="354">
        <v>16133929.67</v>
      </c>
      <c r="F304" s="139"/>
      <c r="G304" s="271"/>
    </row>
    <row r="305" spans="2:7">
      <c r="B305" s="54">
        <f t="shared" si="4"/>
        <v>298</v>
      </c>
      <c r="C305" s="353">
        <v>44219</v>
      </c>
      <c r="D305" s="138"/>
      <c r="E305" s="354">
        <v>16133929.67</v>
      </c>
      <c r="F305" s="139"/>
      <c r="G305" s="271"/>
    </row>
    <row r="306" spans="2:7">
      <c r="B306" s="54">
        <f t="shared" si="4"/>
        <v>299</v>
      </c>
      <c r="C306" s="353">
        <v>44220</v>
      </c>
      <c r="D306" s="139"/>
      <c r="E306" s="354">
        <v>15899135.869999999</v>
      </c>
      <c r="F306" s="139"/>
      <c r="G306" s="271"/>
    </row>
    <row r="307" spans="2:7">
      <c r="B307" s="54">
        <f t="shared" si="4"/>
        <v>300</v>
      </c>
      <c r="C307" s="353">
        <v>44221</v>
      </c>
      <c r="D307" s="139"/>
      <c r="E307" s="354">
        <v>15043036.210000001</v>
      </c>
      <c r="F307" s="139"/>
      <c r="G307" s="272"/>
    </row>
    <row r="308" spans="2:7">
      <c r="B308" s="54">
        <f t="shared" si="4"/>
        <v>301</v>
      </c>
      <c r="C308" s="353">
        <v>44222</v>
      </c>
      <c r="D308" s="139"/>
      <c r="E308" s="354">
        <v>15401671.52</v>
      </c>
      <c r="F308" s="139"/>
      <c r="G308" s="271"/>
    </row>
    <row r="309" spans="2:7">
      <c r="B309" s="54">
        <f t="shared" si="4"/>
        <v>302</v>
      </c>
      <c r="C309" s="353">
        <v>44223</v>
      </c>
      <c r="D309" s="139"/>
      <c r="E309" s="354">
        <v>15480915.619999999</v>
      </c>
      <c r="F309" s="139"/>
      <c r="G309" s="271"/>
    </row>
    <row r="310" spans="2:7">
      <c r="B310" s="54">
        <f t="shared" si="4"/>
        <v>303</v>
      </c>
      <c r="C310" s="353">
        <v>44224</v>
      </c>
      <c r="D310" s="139"/>
      <c r="E310" s="354">
        <v>15077879.640000001</v>
      </c>
      <c r="F310" s="139"/>
      <c r="G310" s="271"/>
    </row>
    <row r="311" spans="2:7">
      <c r="B311" s="54">
        <f t="shared" si="4"/>
        <v>304</v>
      </c>
      <c r="C311" s="353">
        <v>44225</v>
      </c>
      <c r="D311" s="139"/>
      <c r="E311" s="354">
        <v>14553179.550000001</v>
      </c>
      <c r="F311" s="139"/>
      <c r="G311" s="271"/>
    </row>
    <row r="312" spans="2:7">
      <c r="B312" s="54">
        <f t="shared" si="4"/>
        <v>305</v>
      </c>
      <c r="C312" s="353">
        <v>44226</v>
      </c>
      <c r="D312" s="139"/>
      <c r="E312" s="354">
        <v>14432543.039999999</v>
      </c>
      <c r="F312" s="139"/>
      <c r="G312" s="271"/>
    </row>
    <row r="313" spans="2:7">
      <c r="B313" s="54">
        <f t="shared" si="4"/>
        <v>306</v>
      </c>
      <c r="C313" s="353">
        <v>44227</v>
      </c>
      <c r="D313" s="139"/>
      <c r="E313" s="354">
        <v>14324283.630000001</v>
      </c>
      <c r="F313" s="139"/>
      <c r="G313" s="271"/>
    </row>
    <row r="314" spans="2:7">
      <c r="B314" s="54">
        <f t="shared" si="4"/>
        <v>307</v>
      </c>
      <c r="C314" s="353">
        <v>44228</v>
      </c>
      <c r="D314" s="139"/>
      <c r="E314" s="354">
        <v>13465085.41</v>
      </c>
      <c r="F314" s="139"/>
      <c r="G314" s="272"/>
    </row>
    <row r="315" spans="2:7">
      <c r="B315" s="54">
        <f t="shared" si="4"/>
        <v>308</v>
      </c>
      <c r="C315" s="353">
        <v>44229</v>
      </c>
      <c r="D315" s="139"/>
      <c r="E315" s="354">
        <v>12409685.91</v>
      </c>
      <c r="F315" s="139"/>
      <c r="G315" s="271"/>
    </row>
    <row r="316" spans="2:7">
      <c r="B316" s="54">
        <f t="shared" si="4"/>
        <v>309</v>
      </c>
      <c r="C316" s="353">
        <v>44230</v>
      </c>
      <c r="D316" s="139"/>
      <c r="E316" s="354">
        <v>12361288.82</v>
      </c>
      <c r="F316" s="139"/>
      <c r="G316" s="271"/>
    </row>
    <row r="317" spans="2:7">
      <c r="B317" s="54">
        <f t="shared" si="4"/>
        <v>310</v>
      </c>
      <c r="C317" s="353">
        <v>44231</v>
      </c>
      <c r="D317" s="139"/>
      <c r="E317" s="354">
        <v>13035785.74</v>
      </c>
      <c r="F317" s="139"/>
      <c r="G317" s="271"/>
    </row>
    <row r="318" spans="2:7">
      <c r="B318" s="54">
        <f t="shared" si="4"/>
        <v>311</v>
      </c>
      <c r="C318" s="353">
        <v>44232</v>
      </c>
      <c r="D318" s="139"/>
      <c r="E318" s="354">
        <v>13477976.859999999</v>
      </c>
      <c r="F318" s="139"/>
      <c r="G318" s="271"/>
    </row>
    <row r="319" spans="2:7">
      <c r="B319" s="54">
        <f t="shared" si="4"/>
        <v>312</v>
      </c>
      <c r="C319" s="353">
        <v>44233</v>
      </c>
      <c r="D319" s="139"/>
      <c r="E319" s="354">
        <v>13376685.26</v>
      </c>
      <c r="F319" s="139"/>
      <c r="G319" s="271"/>
    </row>
    <row r="320" spans="2:7">
      <c r="B320" s="54">
        <f t="shared" si="4"/>
        <v>313</v>
      </c>
      <c r="C320" s="353">
        <v>44234</v>
      </c>
      <c r="D320" s="139"/>
      <c r="E320" s="354">
        <v>13291108.310000001</v>
      </c>
      <c r="F320" s="139"/>
      <c r="G320" s="271"/>
    </row>
    <row r="321" spans="2:7">
      <c r="B321" s="54">
        <f t="shared" si="4"/>
        <v>314</v>
      </c>
      <c r="C321" s="353">
        <v>44235</v>
      </c>
      <c r="D321" s="139"/>
      <c r="E321" s="354">
        <v>12577406.32</v>
      </c>
      <c r="F321" s="139"/>
      <c r="G321" s="272"/>
    </row>
    <row r="322" spans="2:7">
      <c r="B322" s="54">
        <f t="shared" si="4"/>
        <v>315</v>
      </c>
      <c r="C322" s="353">
        <v>44236</v>
      </c>
      <c r="D322" s="139"/>
      <c r="E322" s="354">
        <v>12189532.35</v>
      </c>
      <c r="F322" s="139"/>
      <c r="G322" s="271"/>
    </row>
    <row r="323" spans="2:7">
      <c r="B323" s="54">
        <f t="shared" si="4"/>
        <v>316</v>
      </c>
      <c r="C323" s="353">
        <v>44237</v>
      </c>
      <c r="D323" s="139"/>
      <c r="E323" s="354">
        <v>12585978.27</v>
      </c>
      <c r="F323" s="139"/>
      <c r="G323" s="271"/>
    </row>
    <row r="324" spans="2:7">
      <c r="B324" s="54">
        <f t="shared" si="4"/>
        <v>317</v>
      </c>
      <c r="C324" s="353">
        <v>44238</v>
      </c>
      <c r="D324" s="139"/>
      <c r="E324" s="354">
        <v>12799937.199999999</v>
      </c>
      <c r="F324" s="139"/>
      <c r="G324" s="271"/>
    </row>
    <row r="325" spans="2:7">
      <c r="B325" s="54">
        <f t="shared" si="4"/>
        <v>318</v>
      </c>
      <c r="C325" s="353">
        <v>44239</v>
      </c>
      <c r="D325" s="139"/>
      <c r="E325" s="354">
        <v>15280347.810000001</v>
      </c>
      <c r="F325" s="139"/>
      <c r="G325" s="271"/>
    </row>
    <row r="326" spans="2:7">
      <c r="B326" s="54">
        <f t="shared" si="4"/>
        <v>319</v>
      </c>
      <c r="C326" s="353">
        <v>44240</v>
      </c>
      <c r="D326" s="139"/>
      <c r="E326" s="354">
        <v>14344361.5</v>
      </c>
      <c r="F326" s="139"/>
      <c r="G326" s="271"/>
    </row>
    <row r="327" spans="2:7">
      <c r="B327" s="54">
        <f t="shared" si="4"/>
        <v>320</v>
      </c>
      <c r="C327" s="353">
        <v>44241</v>
      </c>
      <c r="D327" s="139"/>
      <c r="E327" s="354">
        <v>14248488.23</v>
      </c>
      <c r="F327" s="139"/>
      <c r="G327" s="271"/>
    </row>
    <row r="328" spans="2:7">
      <c r="B328" s="54">
        <f t="shared" si="4"/>
        <v>321</v>
      </c>
      <c r="C328" s="353">
        <v>44242</v>
      </c>
      <c r="D328" s="139"/>
      <c r="E328" s="354">
        <v>15170636.220000001</v>
      </c>
      <c r="F328" s="139"/>
      <c r="G328" s="272"/>
    </row>
    <row r="329" spans="2:7">
      <c r="B329" s="54">
        <f t="shared" ref="B329:B372" si="5">B328+1</f>
        <v>322</v>
      </c>
      <c r="C329" s="353">
        <v>44243</v>
      </c>
      <c r="D329" s="139"/>
      <c r="E329" s="354">
        <v>14060878.82</v>
      </c>
      <c r="F329" s="139"/>
      <c r="G329" s="271"/>
    </row>
    <row r="330" spans="2:7">
      <c r="B330" s="54">
        <f t="shared" si="5"/>
        <v>323</v>
      </c>
      <c r="C330" s="353">
        <v>44244</v>
      </c>
      <c r="D330" s="139"/>
      <c r="E330" s="354">
        <v>15012127.029999999</v>
      </c>
      <c r="F330" s="139"/>
      <c r="G330" s="271"/>
    </row>
    <row r="331" spans="2:7">
      <c r="B331" s="54">
        <f t="shared" si="5"/>
        <v>324</v>
      </c>
      <c r="C331" s="353">
        <v>44245</v>
      </c>
      <c r="D331" s="139"/>
      <c r="E331" s="354">
        <v>15717451.84</v>
      </c>
      <c r="F331" s="139"/>
      <c r="G331" s="271"/>
    </row>
    <row r="332" spans="2:7">
      <c r="B332" s="54">
        <f t="shared" si="5"/>
        <v>325</v>
      </c>
      <c r="C332" s="353">
        <v>44246</v>
      </c>
      <c r="D332" s="139"/>
      <c r="E332" s="354">
        <v>16411050.449999999</v>
      </c>
      <c r="F332" s="139"/>
      <c r="G332" s="271"/>
    </row>
    <row r="333" spans="2:7">
      <c r="B333" s="54">
        <f t="shared" si="5"/>
        <v>326</v>
      </c>
      <c r="C333" s="353">
        <v>44247</v>
      </c>
      <c r="D333" s="139"/>
      <c r="E333" s="354">
        <v>16306303.470000001</v>
      </c>
      <c r="F333" s="139"/>
      <c r="G333" s="271"/>
    </row>
    <row r="334" spans="2:7">
      <c r="B334" s="54">
        <f t="shared" si="5"/>
        <v>327</v>
      </c>
      <c r="C334" s="353">
        <v>44248</v>
      </c>
      <c r="D334" s="139"/>
      <c r="E334" s="354">
        <v>16210647.92</v>
      </c>
      <c r="F334" s="139"/>
      <c r="G334" s="271"/>
    </row>
    <row r="335" spans="2:7">
      <c r="B335" s="54">
        <f t="shared" si="5"/>
        <v>328</v>
      </c>
      <c r="C335" s="353">
        <v>44249</v>
      </c>
      <c r="D335" s="139"/>
      <c r="E335" s="354">
        <v>16398821.890000001</v>
      </c>
      <c r="F335" s="139"/>
      <c r="G335" s="272"/>
    </row>
    <row r="336" spans="2:7">
      <c r="B336" s="54">
        <f t="shared" si="5"/>
        <v>329</v>
      </c>
      <c r="C336" s="353">
        <v>44250</v>
      </c>
      <c r="D336" s="139"/>
      <c r="E336" s="354">
        <v>16222513.560000001</v>
      </c>
      <c r="F336" s="139"/>
      <c r="G336" s="271"/>
    </row>
    <row r="337" spans="2:8">
      <c r="B337" s="54">
        <f t="shared" si="5"/>
        <v>330</v>
      </c>
      <c r="C337" s="353">
        <v>44251</v>
      </c>
      <c r="D337" s="139"/>
      <c r="E337" s="354">
        <v>16591229.880000001</v>
      </c>
      <c r="F337" s="139"/>
      <c r="G337" s="271"/>
    </row>
    <row r="338" spans="2:8">
      <c r="B338" s="54">
        <f t="shared" si="5"/>
        <v>331</v>
      </c>
      <c r="C338" s="353">
        <v>44252</v>
      </c>
      <c r="D338" s="139"/>
      <c r="E338" s="354">
        <v>16064854.689999999</v>
      </c>
      <c r="F338" s="139"/>
      <c r="G338" s="271"/>
    </row>
    <row r="339" spans="2:8">
      <c r="B339" s="54">
        <f t="shared" si="5"/>
        <v>332</v>
      </c>
      <c r="C339" s="353">
        <v>44253</v>
      </c>
      <c r="D339" s="139"/>
      <c r="E339" s="354">
        <v>15585456.6</v>
      </c>
      <c r="F339" s="139"/>
      <c r="G339" s="271"/>
    </row>
    <row r="340" spans="2:8">
      <c r="B340" s="54">
        <f t="shared" si="5"/>
        <v>333</v>
      </c>
      <c r="C340" s="353">
        <v>44254</v>
      </c>
      <c r="D340" s="139"/>
      <c r="E340" s="354">
        <v>15450200.33</v>
      </c>
      <c r="F340" s="139"/>
      <c r="G340" s="271"/>
    </row>
    <row r="341" spans="2:8">
      <c r="B341" s="54">
        <f t="shared" si="5"/>
        <v>334</v>
      </c>
      <c r="C341" s="353">
        <v>44255</v>
      </c>
      <c r="D341" s="139"/>
      <c r="E341" s="354">
        <v>15283258.74</v>
      </c>
      <c r="F341" s="139"/>
      <c r="G341" s="271"/>
    </row>
    <row r="342" spans="2:8">
      <c r="B342" s="54">
        <f t="shared" si="5"/>
        <v>335</v>
      </c>
      <c r="C342" s="353">
        <v>44256</v>
      </c>
      <c r="D342" s="139"/>
      <c r="E342" s="354">
        <v>14762107.01</v>
      </c>
      <c r="F342" s="139"/>
      <c r="G342" s="272"/>
    </row>
    <row r="343" spans="2:8">
      <c r="B343" s="54">
        <f t="shared" si="5"/>
        <v>336</v>
      </c>
      <c r="C343" s="353">
        <v>44257</v>
      </c>
      <c r="D343" s="139"/>
      <c r="E343" s="354">
        <v>13903177.82</v>
      </c>
      <c r="F343" s="139"/>
      <c r="G343" s="271"/>
    </row>
    <row r="344" spans="2:8">
      <c r="B344" s="54">
        <f t="shared" si="5"/>
        <v>337</v>
      </c>
      <c r="C344" s="353">
        <v>44258</v>
      </c>
      <c r="D344" s="139"/>
      <c r="E344" s="354">
        <v>13703230.390000001</v>
      </c>
      <c r="F344" s="139"/>
      <c r="G344" s="271"/>
    </row>
    <row r="345" spans="2:8">
      <c r="B345" s="54">
        <f t="shared" si="5"/>
        <v>338</v>
      </c>
      <c r="C345" s="353">
        <v>44259</v>
      </c>
      <c r="D345" s="139"/>
      <c r="E345" s="354">
        <v>13729108.01</v>
      </c>
      <c r="F345" s="139"/>
      <c r="G345" s="271"/>
    </row>
    <row r="346" spans="2:8">
      <c r="B346" s="54">
        <f t="shared" si="5"/>
        <v>339</v>
      </c>
      <c r="C346" s="353">
        <v>44260</v>
      </c>
      <c r="D346" s="139"/>
      <c r="E346" s="354">
        <v>13859667.66</v>
      </c>
      <c r="F346" s="139"/>
      <c r="G346" s="271"/>
    </row>
    <row r="347" spans="2:8">
      <c r="B347" s="54">
        <f t="shared" si="5"/>
        <v>340</v>
      </c>
      <c r="C347" s="353">
        <v>44261</v>
      </c>
      <c r="D347" s="139"/>
      <c r="E347" s="354">
        <v>13780902.27</v>
      </c>
      <c r="F347" s="139"/>
      <c r="G347" s="271"/>
    </row>
    <row r="348" spans="2:8">
      <c r="B348" s="54">
        <f t="shared" si="5"/>
        <v>341</v>
      </c>
      <c r="C348" s="353">
        <v>44262</v>
      </c>
      <c r="D348" s="139"/>
      <c r="E348" s="354">
        <v>13698798.91</v>
      </c>
      <c r="F348" s="139"/>
      <c r="G348" s="271"/>
    </row>
    <row r="349" spans="2:8">
      <c r="B349" s="54">
        <f t="shared" si="5"/>
        <v>342</v>
      </c>
      <c r="C349" s="353">
        <v>44263</v>
      </c>
      <c r="D349" s="139"/>
      <c r="E349" s="354">
        <v>12945142.789999999</v>
      </c>
      <c r="F349" s="139"/>
      <c r="G349" s="272"/>
    </row>
    <row r="350" spans="2:8">
      <c r="B350" s="54">
        <f t="shared" si="5"/>
        <v>343</v>
      </c>
      <c r="C350" s="353">
        <v>44264</v>
      </c>
      <c r="D350" s="139"/>
      <c r="E350" s="354">
        <v>12040479.92</v>
      </c>
      <c r="F350" s="139"/>
      <c r="G350" s="271"/>
      <c r="H350" s="256"/>
    </row>
    <row r="351" spans="2:8">
      <c r="B351" s="54">
        <f t="shared" si="5"/>
        <v>344</v>
      </c>
      <c r="C351" s="353">
        <v>44265</v>
      </c>
      <c r="D351" s="139"/>
      <c r="E351" s="354">
        <v>11179945.26</v>
      </c>
      <c r="F351" s="139"/>
      <c r="G351" s="271"/>
      <c r="H351" s="256"/>
    </row>
    <row r="352" spans="2:8">
      <c r="B352" s="54">
        <f t="shared" si="5"/>
        <v>345</v>
      </c>
      <c r="C352" s="353">
        <v>44266</v>
      </c>
      <c r="D352" s="139"/>
      <c r="E352" s="354">
        <v>11535625.34</v>
      </c>
      <c r="F352" s="139"/>
      <c r="G352" s="271"/>
      <c r="H352" s="256"/>
    </row>
    <row r="353" spans="2:8">
      <c r="B353" s="54">
        <f t="shared" si="5"/>
        <v>346</v>
      </c>
      <c r="C353" s="353">
        <v>44267</v>
      </c>
      <c r="D353" s="139"/>
      <c r="E353" s="354">
        <v>12309359.699999999</v>
      </c>
      <c r="F353" s="139"/>
      <c r="G353" s="271"/>
      <c r="H353" s="256"/>
    </row>
    <row r="354" spans="2:8">
      <c r="B354" s="54">
        <f t="shared" si="5"/>
        <v>347</v>
      </c>
      <c r="C354" s="353">
        <v>44268</v>
      </c>
      <c r="D354" s="139"/>
      <c r="E354" s="354">
        <v>12200676.789999999</v>
      </c>
      <c r="F354" s="139"/>
      <c r="G354" s="271"/>
      <c r="H354" s="256"/>
    </row>
    <row r="355" spans="2:8">
      <c r="B355" s="54">
        <f t="shared" si="5"/>
        <v>348</v>
      </c>
      <c r="C355" s="353">
        <v>44269</v>
      </c>
      <c r="D355" s="139"/>
      <c r="E355" s="354">
        <v>12108524.189999999</v>
      </c>
      <c r="F355" s="139"/>
      <c r="G355" s="271"/>
      <c r="H355" s="256"/>
    </row>
    <row r="356" spans="2:8">
      <c r="B356" s="54">
        <f t="shared" si="5"/>
        <v>349</v>
      </c>
      <c r="C356" s="353">
        <v>44270</v>
      </c>
      <c r="D356" s="139"/>
      <c r="E356" s="354">
        <v>11436395.550000001</v>
      </c>
      <c r="F356" s="139"/>
      <c r="G356" s="272"/>
      <c r="H356" s="256"/>
    </row>
    <row r="357" spans="2:8">
      <c r="B357" s="54">
        <f t="shared" si="5"/>
        <v>350</v>
      </c>
      <c r="C357" s="353">
        <v>44271</v>
      </c>
      <c r="D357" s="139"/>
      <c r="E357" s="354">
        <v>11108099.359999999</v>
      </c>
      <c r="F357" s="139"/>
      <c r="G357" s="271"/>
      <c r="H357" s="256"/>
    </row>
    <row r="358" spans="2:8">
      <c r="B358" s="54">
        <f t="shared" si="5"/>
        <v>351</v>
      </c>
      <c r="C358" s="353">
        <v>44272</v>
      </c>
      <c r="D358" s="139"/>
      <c r="E358" s="354">
        <v>11518400.98</v>
      </c>
      <c r="F358" s="139"/>
      <c r="G358" s="271"/>
      <c r="H358" s="256"/>
    </row>
    <row r="359" spans="2:8">
      <c r="B359" s="54">
        <f t="shared" si="5"/>
        <v>352</v>
      </c>
      <c r="C359" s="353">
        <v>44273</v>
      </c>
      <c r="D359" s="139"/>
      <c r="E359" s="354">
        <v>11958408.76</v>
      </c>
      <c r="F359" s="139"/>
      <c r="G359" s="271"/>
      <c r="H359" s="256"/>
    </row>
    <row r="360" spans="2:8">
      <c r="B360" s="54">
        <f t="shared" si="5"/>
        <v>353</v>
      </c>
      <c r="C360" s="353">
        <v>44274</v>
      </c>
      <c r="D360" s="139"/>
      <c r="E360" s="354">
        <v>12146664.789999999</v>
      </c>
      <c r="F360" s="139"/>
      <c r="G360" s="271"/>
      <c r="H360" s="256"/>
    </row>
    <row r="361" spans="2:8">
      <c r="B361" s="54">
        <f t="shared" si="5"/>
        <v>354</v>
      </c>
      <c r="C361" s="353">
        <v>44275</v>
      </c>
      <c r="D361" s="139"/>
      <c r="E361" s="354">
        <v>12068902.189999999</v>
      </c>
      <c r="F361" s="139"/>
      <c r="G361" s="271"/>
      <c r="H361" s="256"/>
    </row>
    <row r="362" spans="2:8">
      <c r="B362" s="54">
        <f t="shared" si="5"/>
        <v>355</v>
      </c>
      <c r="C362" s="353">
        <v>44276</v>
      </c>
      <c r="D362" s="139"/>
      <c r="E362" s="354">
        <v>11959690.050000001</v>
      </c>
      <c r="F362" s="139"/>
      <c r="G362" s="271"/>
      <c r="H362" s="256"/>
    </row>
    <row r="363" spans="2:8">
      <c r="B363" s="54">
        <f t="shared" si="5"/>
        <v>356</v>
      </c>
      <c r="C363" s="353">
        <v>44277</v>
      </c>
      <c r="D363" s="139"/>
      <c r="E363" s="354">
        <v>11388268.51</v>
      </c>
      <c r="F363" s="139"/>
      <c r="G363" s="272"/>
      <c r="H363" s="256"/>
    </row>
    <row r="364" spans="2:8">
      <c r="B364" s="54">
        <f t="shared" si="5"/>
        <v>357</v>
      </c>
      <c r="C364" s="353">
        <v>44278</v>
      </c>
      <c r="D364" s="139"/>
      <c r="E364" s="354">
        <v>12920914.369999999</v>
      </c>
      <c r="F364" s="139"/>
      <c r="G364" s="271"/>
      <c r="H364" s="256"/>
    </row>
    <row r="365" spans="2:8">
      <c r="B365" s="54">
        <f t="shared" si="5"/>
        <v>358</v>
      </c>
      <c r="C365" s="353">
        <v>44279</v>
      </c>
      <c r="D365" s="139"/>
      <c r="E365" s="354">
        <v>12907872.119999999</v>
      </c>
      <c r="F365" s="139"/>
      <c r="G365" s="271"/>
      <c r="H365" s="256"/>
    </row>
    <row r="366" spans="2:8">
      <c r="B366" s="54">
        <f t="shared" si="5"/>
        <v>359</v>
      </c>
      <c r="C366" s="353">
        <v>44280</v>
      </c>
      <c r="D366" s="139"/>
      <c r="E366" s="354">
        <v>12911613.060000001</v>
      </c>
      <c r="F366" s="139"/>
      <c r="G366" s="271"/>
    </row>
    <row r="367" spans="2:8">
      <c r="B367" s="54">
        <f t="shared" si="5"/>
        <v>360</v>
      </c>
      <c r="C367" s="353">
        <v>44281</v>
      </c>
      <c r="D367" s="139"/>
      <c r="E367" s="354">
        <v>12607759.1</v>
      </c>
      <c r="F367" s="139"/>
      <c r="G367" s="271"/>
    </row>
    <row r="368" spans="2:8">
      <c r="B368" s="54">
        <f t="shared" si="5"/>
        <v>361</v>
      </c>
      <c r="C368" s="353">
        <v>44282</v>
      </c>
      <c r="D368" s="139"/>
      <c r="E368" s="354">
        <v>12541532.98</v>
      </c>
      <c r="F368" s="139"/>
      <c r="G368" s="271"/>
    </row>
    <row r="369" spans="2:7">
      <c r="B369" s="54">
        <f t="shared" si="5"/>
        <v>362</v>
      </c>
      <c r="C369" s="353">
        <v>44283</v>
      </c>
      <c r="D369" s="139"/>
      <c r="E369" s="354">
        <v>12393528.57</v>
      </c>
      <c r="F369" s="139"/>
      <c r="G369" s="271"/>
    </row>
    <row r="370" spans="2:7">
      <c r="B370" s="54">
        <f t="shared" si="5"/>
        <v>363</v>
      </c>
      <c r="C370" s="353">
        <v>44284</v>
      </c>
      <c r="D370" s="139"/>
      <c r="E370" s="354">
        <v>11169338.26</v>
      </c>
      <c r="F370" s="139"/>
      <c r="G370" s="272"/>
    </row>
    <row r="371" spans="2:7">
      <c r="B371" s="54">
        <f t="shared" si="5"/>
        <v>364</v>
      </c>
      <c r="C371" s="353">
        <v>44285</v>
      </c>
      <c r="D371" s="139"/>
      <c r="E371" s="354">
        <v>9879119.7699999996</v>
      </c>
      <c r="F371" s="139"/>
      <c r="G371" s="271"/>
    </row>
    <row r="372" spans="2:7">
      <c r="B372" s="54">
        <f t="shared" si="5"/>
        <v>365</v>
      </c>
      <c r="C372" s="353">
        <v>44286</v>
      </c>
      <c r="D372" s="139"/>
      <c r="E372" s="354">
        <v>8848312.4199999999</v>
      </c>
      <c r="F372" s="139"/>
      <c r="G372" s="271"/>
    </row>
    <row r="373" spans="2:7">
      <c r="B373" s="54">
        <v>366</v>
      </c>
      <c r="C373" s="53"/>
      <c r="D373" s="53"/>
      <c r="E373" s="57"/>
      <c r="F373" s="53"/>
    </row>
    <row r="374" spans="2:7">
      <c r="B374" s="54">
        <v>367</v>
      </c>
      <c r="C374" s="53" t="s">
        <v>81</v>
      </c>
      <c r="D374" s="53"/>
      <c r="E374" s="57">
        <f>ROUND(SUM(E8:E372)/(365),2)</f>
        <v>7418295.04</v>
      </c>
      <c r="F374" s="53"/>
    </row>
    <row r="375" spans="2:7">
      <c r="B375" s="54">
        <v>368</v>
      </c>
      <c r="C375" s="53"/>
      <c r="D375" s="53"/>
      <c r="E375" s="57"/>
      <c r="F375" s="53"/>
    </row>
    <row r="376" spans="2:7">
      <c r="B376" s="54">
        <v>369</v>
      </c>
      <c r="C376" s="53" t="s">
        <v>234</v>
      </c>
      <c r="D376" s="53"/>
      <c r="E376" s="57">
        <f>-'WP 2-2'!O20</f>
        <v>156421195</v>
      </c>
      <c r="F376" s="53" t="s">
        <v>264</v>
      </c>
    </row>
    <row r="377" spans="2:7">
      <c r="B377" s="54">
        <v>370</v>
      </c>
      <c r="C377" s="53" t="s">
        <v>235</v>
      </c>
      <c r="D377" s="53"/>
      <c r="E377" s="57">
        <f>ROUND(E376/365,2)</f>
        <v>428551.22</v>
      </c>
      <c r="F377" s="53"/>
    </row>
    <row r="378" spans="2:7">
      <c r="B378" s="54">
        <v>371</v>
      </c>
      <c r="C378" s="53"/>
      <c r="D378" s="53"/>
      <c r="E378" s="57"/>
      <c r="F378" s="53"/>
    </row>
    <row r="379" spans="2:7">
      <c r="B379" s="54">
        <v>372</v>
      </c>
      <c r="C379" s="53" t="s">
        <v>82</v>
      </c>
      <c r="D379" s="53"/>
      <c r="E379" s="57">
        <f>ROUND(E374/E377,2)</f>
        <v>17.309999999999999</v>
      </c>
      <c r="F379" s="53"/>
    </row>
    <row r="380" spans="2:7">
      <c r="E380" s="15"/>
    </row>
  </sheetData>
  <phoneticPr fontId="9" type="noConversion"/>
  <printOptions horizontalCentered="1"/>
  <pageMargins left="0.6" right="0.6" top="0.75" bottom="0.5" header="0.25" footer="0.24"/>
  <pageSetup scale="70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A1:P30"/>
  <sheetViews>
    <sheetView zoomScaleNormal="100" zoomScaleSheetLayoutView="100" workbookViewId="0"/>
  </sheetViews>
  <sheetFormatPr defaultColWidth="8" defaultRowHeight="12.75"/>
  <cols>
    <col min="1" max="1" width="6.75" style="282" customWidth="1"/>
    <col min="2" max="2" width="31.625" style="282" customWidth="1"/>
    <col min="3" max="3" width="12" style="282" customWidth="1"/>
    <col min="4" max="7" width="13.75" style="282" bestFit="1" customWidth="1"/>
    <col min="8" max="10" width="14.75" style="282" bestFit="1" customWidth="1"/>
    <col min="11" max="13" width="13.75" style="282" bestFit="1" customWidth="1"/>
    <col min="14" max="14" width="11.375" style="282" customWidth="1"/>
    <col min="15" max="15" width="16.125" style="282" customWidth="1"/>
    <col min="16" max="17" width="10.125" style="282" bestFit="1" customWidth="1"/>
    <col min="18" max="18" width="11.125" style="282" bestFit="1" customWidth="1"/>
    <col min="19" max="16384" width="8" style="282"/>
  </cols>
  <sheetData>
    <row r="1" spans="1:15" s="278" customFormat="1" ht="15">
      <c r="A1" s="106" t="str">
        <f>+'WP 2-1'!B1</f>
        <v>Atmos Energy Corporation-Kentucky</v>
      </c>
      <c r="B1" s="273"/>
      <c r="C1" s="273"/>
      <c r="D1" s="274"/>
      <c r="E1" s="273"/>
      <c r="F1" s="275"/>
      <c r="G1" s="276"/>
      <c r="H1" s="276"/>
      <c r="I1" s="276"/>
      <c r="J1" s="276"/>
      <c r="K1" s="276"/>
      <c r="L1" s="276"/>
      <c r="M1" s="276"/>
      <c r="N1" s="276"/>
      <c r="O1" s="277" t="s">
        <v>105</v>
      </c>
    </row>
    <row r="2" spans="1:15" s="278" customFormat="1" ht="15">
      <c r="A2" s="279" t="s">
        <v>223</v>
      </c>
      <c r="B2" s="275"/>
      <c r="C2" s="273"/>
      <c r="D2" s="274"/>
      <c r="E2" s="273"/>
      <c r="F2" s="273"/>
      <c r="G2" s="276"/>
      <c r="H2" s="276"/>
      <c r="I2" s="276"/>
      <c r="J2" s="276"/>
      <c r="K2" s="276"/>
      <c r="L2" s="276"/>
      <c r="M2" s="276"/>
      <c r="N2" s="276"/>
      <c r="O2" s="277"/>
    </row>
    <row r="3" spans="1:15" s="278" customFormat="1" ht="15">
      <c r="A3" s="279" t="str">
        <f>+'ATO-CWC2'!A4</f>
        <v>For the CWC Study Test Year Ended March 31, 2021</v>
      </c>
      <c r="B3" s="273"/>
      <c r="C3" s="273"/>
      <c r="D3" s="274"/>
      <c r="E3" s="273"/>
      <c r="F3" s="273"/>
      <c r="G3" s="276"/>
      <c r="H3" s="276"/>
      <c r="I3" s="276"/>
      <c r="J3" s="276"/>
      <c r="K3" s="276"/>
      <c r="L3" s="276"/>
      <c r="M3" s="276"/>
      <c r="N3" s="276"/>
      <c r="O3" s="277"/>
    </row>
    <row r="4" spans="1:15" s="278" customFormat="1" ht="15">
      <c r="A4" s="275"/>
      <c r="B4" s="275"/>
      <c r="C4" s="275"/>
      <c r="D4" s="275"/>
      <c r="E4" s="275"/>
      <c r="F4" s="275"/>
      <c r="G4" s="276"/>
      <c r="H4" s="276"/>
      <c r="I4" s="276"/>
      <c r="J4" s="276"/>
      <c r="K4" s="276"/>
      <c r="L4" s="276"/>
      <c r="M4" s="276"/>
      <c r="N4" s="276"/>
      <c r="O4" s="277"/>
    </row>
    <row r="5" spans="1:15" s="278" customFormat="1" ht="14.2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</row>
    <row r="6" spans="1:15" s="278" customFormat="1">
      <c r="A6" s="280" t="s">
        <v>175</v>
      </c>
      <c r="B6" s="280" t="s">
        <v>124</v>
      </c>
      <c r="C6" s="355">
        <v>43922</v>
      </c>
      <c r="D6" s="355">
        <v>43952</v>
      </c>
      <c r="E6" s="355">
        <v>43983</v>
      </c>
      <c r="F6" s="355">
        <v>44013</v>
      </c>
      <c r="G6" s="355">
        <v>44044</v>
      </c>
      <c r="H6" s="355">
        <v>44075</v>
      </c>
      <c r="I6" s="355">
        <v>44105</v>
      </c>
      <c r="J6" s="355">
        <v>44136</v>
      </c>
      <c r="K6" s="355">
        <v>44166</v>
      </c>
      <c r="L6" s="355">
        <v>44197</v>
      </c>
      <c r="M6" s="355">
        <v>44228</v>
      </c>
      <c r="N6" s="355">
        <v>44256</v>
      </c>
      <c r="O6" s="174" t="s">
        <v>141</v>
      </c>
    </row>
    <row r="7" spans="1:15">
      <c r="A7" s="281">
        <v>4800</v>
      </c>
      <c r="B7" s="55" t="s">
        <v>43</v>
      </c>
      <c r="C7" s="102">
        <v>-7539760.8300000001</v>
      </c>
      <c r="D7" s="102">
        <v>-5682139.1299999999</v>
      </c>
      <c r="E7" s="102">
        <v>-4085372.76</v>
      </c>
      <c r="F7" s="102">
        <v>-3795242.69</v>
      </c>
      <c r="G7" s="102">
        <v>-3743537.1</v>
      </c>
      <c r="H7" s="102">
        <v>-3895128.2600000002</v>
      </c>
      <c r="I7" s="102">
        <v>-4389566</v>
      </c>
      <c r="J7" s="102">
        <v>-6573042.3099999996</v>
      </c>
      <c r="K7" s="102">
        <v>-10594273.17</v>
      </c>
      <c r="L7" s="102">
        <v>-14202976.970000001</v>
      </c>
      <c r="M7" s="102">
        <v>-14243829.290000001</v>
      </c>
      <c r="N7" s="102">
        <v>-12321346.049999999</v>
      </c>
      <c r="O7" s="102">
        <f>SUM(C7:N7)</f>
        <v>-91066214.560000002</v>
      </c>
    </row>
    <row r="8" spans="1:15">
      <c r="A8" s="281">
        <v>4811</v>
      </c>
      <c r="B8" s="55" t="s">
        <v>203</v>
      </c>
      <c r="C8" s="102">
        <v>-2955872.91</v>
      </c>
      <c r="D8" s="102">
        <v>-1990398.58</v>
      </c>
      <c r="E8" s="102">
        <v>-1553176.99</v>
      </c>
      <c r="F8" s="102">
        <v>-1536865.87</v>
      </c>
      <c r="G8" s="102">
        <v>-1505953.75</v>
      </c>
      <c r="H8" s="102">
        <v>-1794457.96</v>
      </c>
      <c r="I8" s="102">
        <v>-2081080.93</v>
      </c>
      <c r="J8" s="102">
        <v>-2653755.96</v>
      </c>
      <c r="K8" s="102">
        <v>-4254594.95</v>
      </c>
      <c r="L8" s="102">
        <v>-6033919.9199999999</v>
      </c>
      <c r="M8" s="102">
        <v>-6098779.2999999998</v>
      </c>
      <c r="N8" s="102">
        <v>-5209681.57</v>
      </c>
      <c r="O8" s="102">
        <f t="shared" ref="O8:O19" si="0">SUM(C8:N8)</f>
        <v>-37668538.689999998</v>
      </c>
    </row>
    <row r="9" spans="1:15">
      <c r="A9" s="281">
        <v>4812</v>
      </c>
      <c r="B9" s="55" t="s">
        <v>204</v>
      </c>
      <c r="C9" s="102">
        <v>-488764.92</v>
      </c>
      <c r="D9" s="102">
        <v>-227792.78000000003</v>
      </c>
      <c r="E9" s="102">
        <v>-148143.71</v>
      </c>
      <c r="F9" s="102">
        <v>-134036.04999999999</v>
      </c>
      <c r="G9" s="102">
        <v>-148274.44</v>
      </c>
      <c r="H9" s="102">
        <v>-448258.13</v>
      </c>
      <c r="I9" s="102">
        <v>-170311.87</v>
      </c>
      <c r="J9" s="102">
        <v>-286329.5</v>
      </c>
      <c r="K9" s="102">
        <v>-503033.18</v>
      </c>
      <c r="L9" s="102">
        <v>-691279.96</v>
      </c>
      <c r="M9" s="102">
        <v>-786975.93000000017</v>
      </c>
      <c r="N9" s="102">
        <v>-540118.29</v>
      </c>
      <c r="O9" s="102">
        <f t="shared" si="0"/>
        <v>-4573318.76</v>
      </c>
    </row>
    <row r="10" spans="1:15">
      <c r="A10" s="281">
        <v>4820</v>
      </c>
      <c r="B10" s="55" t="s">
        <v>205</v>
      </c>
      <c r="C10" s="102">
        <v>-487968.25000000006</v>
      </c>
      <c r="D10" s="102">
        <v>-323210.5</v>
      </c>
      <c r="E10" s="102">
        <v>-214704.91999999998</v>
      </c>
      <c r="F10" s="102">
        <v>-172415.28999999998</v>
      </c>
      <c r="G10" s="102">
        <v>-174415.16</v>
      </c>
      <c r="H10" s="102">
        <v>-189135.8</v>
      </c>
      <c r="I10" s="102">
        <v>-226898.61</v>
      </c>
      <c r="J10" s="102">
        <v>-378743.3</v>
      </c>
      <c r="K10" s="102">
        <v>-687579.35</v>
      </c>
      <c r="L10" s="102">
        <v>-957387.78999999992</v>
      </c>
      <c r="M10" s="102">
        <v>-981312.73</v>
      </c>
      <c r="N10" s="102">
        <v>-877681.38</v>
      </c>
      <c r="O10" s="102">
        <f t="shared" si="0"/>
        <v>-5671453.0799999991</v>
      </c>
    </row>
    <row r="11" spans="1:15">
      <c r="A11" s="281">
        <v>4870</v>
      </c>
      <c r="B11" s="55" t="s">
        <v>169</v>
      </c>
      <c r="C11" s="102">
        <v>140.49</v>
      </c>
      <c r="D11" s="102">
        <v>41.74</v>
      </c>
      <c r="E11" s="102">
        <v>9.01</v>
      </c>
      <c r="F11" s="102">
        <v>6.8</v>
      </c>
      <c r="G11" s="102">
        <v>21.55</v>
      </c>
      <c r="H11" s="102">
        <v>2.36</v>
      </c>
      <c r="I11" s="102">
        <v>7.37</v>
      </c>
      <c r="J11" s="102">
        <v>-17.68</v>
      </c>
      <c r="K11" s="102">
        <v>97.27</v>
      </c>
      <c r="L11" s="102">
        <v>29</v>
      </c>
      <c r="M11" s="102">
        <v>2.2799999999999998</v>
      </c>
      <c r="N11" s="102">
        <v>10.94</v>
      </c>
      <c r="O11" s="102">
        <f t="shared" si="0"/>
        <v>351.13</v>
      </c>
    </row>
    <row r="12" spans="1:15">
      <c r="A12" s="281">
        <v>4880</v>
      </c>
      <c r="B12" s="55" t="s">
        <v>170</v>
      </c>
      <c r="C12" s="102">
        <v>-25716</v>
      </c>
      <c r="D12" s="102">
        <v>-22714</v>
      </c>
      <c r="E12" s="102">
        <v>-22154</v>
      </c>
      <c r="F12" s="102">
        <v>-24635</v>
      </c>
      <c r="G12" s="102">
        <v>-21821</v>
      </c>
      <c r="H12" s="102">
        <v>-25602</v>
      </c>
      <c r="I12" s="102">
        <v>-21842</v>
      </c>
      <c r="J12" s="102">
        <v>-14779</v>
      </c>
      <c r="K12" s="102">
        <v>-17743</v>
      </c>
      <c r="L12" s="102">
        <v>-13260</v>
      </c>
      <c r="M12" s="102">
        <v>-12790</v>
      </c>
      <c r="N12" s="102">
        <v>-11209</v>
      </c>
      <c r="O12" s="102">
        <f t="shared" si="0"/>
        <v>-234265</v>
      </c>
    </row>
    <row r="13" spans="1:15">
      <c r="A13" s="281">
        <v>4893</v>
      </c>
      <c r="B13" s="55" t="s">
        <v>186</v>
      </c>
      <c r="C13" s="102">
        <v>-1220981.1900000002</v>
      </c>
      <c r="D13" s="102">
        <v>-1171340.28</v>
      </c>
      <c r="E13" s="102">
        <v>-1164146.3599999999</v>
      </c>
      <c r="F13" s="102">
        <v>-1076153.56</v>
      </c>
      <c r="G13" s="102">
        <v>-1301163.57</v>
      </c>
      <c r="H13" s="102">
        <v>-1347394.64</v>
      </c>
      <c r="I13" s="102">
        <v>-1507384.16</v>
      </c>
      <c r="J13" s="102">
        <v>-1497650.6099999999</v>
      </c>
      <c r="K13" s="102">
        <v>-1770467.14</v>
      </c>
      <c r="L13" s="102">
        <v>-1839284.7</v>
      </c>
      <c r="M13" s="102">
        <v>-1731578.78</v>
      </c>
      <c r="N13" s="102">
        <v>-1580211.05</v>
      </c>
      <c r="O13" s="102">
        <f t="shared" si="0"/>
        <v>-17207756.039999999</v>
      </c>
    </row>
    <row r="14" spans="1:15">
      <c r="A14" s="281">
        <v>4895</v>
      </c>
      <c r="B14" s="55" t="s">
        <v>171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f t="shared" si="0"/>
        <v>0</v>
      </c>
    </row>
    <row r="15" spans="1:15">
      <c r="A15" s="281">
        <v>4896</v>
      </c>
      <c r="B15" s="55" t="s">
        <v>172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f t="shared" si="0"/>
        <v>0</v>
      </c>
    </row>
    <row r="16" spans="1:15">
      <c r="A16" s="281">
        <v>4930</v>
      </c>
      <c r="B16" s="55" t="s">
        <v>174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f t="shared" si="0"/>
        <v>0</v>
      </c>
    </row>
    <row r="17" spans="1:16">
      <c r="A17" s="281">
        <v>4950</v>
      </c>
      <c r="B17" s="55" t="s">
        <v>44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f t="shared" si="0"/>
        <v>0</v>
      </c>
    </row>
    <row r="18" spans="1:16" ht="16.5">
      <c r="A18" s="283" t="s">
        <v>173</v>
      </c>
      <c r="B18" s="55"/>
      <c r="C18" s="356">
        <f>SUM(C7:C17)</f>
        <v>-12718923.609999999</v>
      </c>
      <c r="D18" s="356">
        <f t="shared" ref="D18:N18" si="1">SUM(D7:D17)</f>
        <v>-9417553.5299999993</v>
      </c>
      <c r="E18" s="356">
        <f t="shared" si="1"/>
        <v>-7187689.7300000004</v>
      </c>
      <c r="F18" s="356">
        <f t="shared" si="1"/>
        <v>-6739341.6600000001</v>
      </c>
      <c r="G18" s="356">
        <f t="shared" si="1"/>
        <v>-6895143.4700000007</v>
      </c>
      <c r="H18" s="356">
        <f t="shared" si="1"/>
        <v>-7699974.4299999997</v>
      </c>
      <c r="I18" s="356">
        <f t="shared" si="1"/>
        <v>-8397076.1999999993</v>
      </c>
      <c r="J18" s="356">
        <f t="shared" si="1"/>
        <v>-11404318.359999999</v>
      </c>
      <c r="K18" s="356">
        <f t="shared" si="1"/>
        <v>-17827593.52</v>
      </c>
      <c r="L18" s="356">
        <f t="shared" si="1"/>
        <v>-23738080.34</v>
      </c>
      <c r="M18" s="356">
        <f t="shared" si="1"/>
        <v>-23855263.75</v>
      </c>
      <c r="N18" s="356">
        <f t="shared" si="1"/>
        <v>-20540236.399999995</v>
      </c>
      <c r="O18" s="356">
        <f>SUM(O7:O17)</f>
        <v>-156421195</v>
      </c>
      <c r="P18" s="284"/>
    </row>
    <row r="19" spans="1:16" ht="16.5">
      <c r="A19" s="283"/>
      <c r="B19" s="55" t="s">
        <v>187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>
        <f t="shared" si="0"/>
        <v>0</v>
      </c>
      <c r="P19" s="284"/>
    </row>
    <row r="20" spans="1:16" ht="16.5">
      <c r="A20" s="283" t="s">
        <v>188</v>
      </c>
      <c r="B20" s="55"/>
      <c r="C20" s="356">
        <f>+C18+C19</f>
        <v>-12718923.609999999</v>
      </c>
      <c r="D20" s="356">
        <f t="shared" ref="D20:N20" si="2">+D18+D19</f>
        <v>-9417553.5299999993</v>
      </c>
      <c r="E20" s="356">
        <f t="shared" si="2"/>
        <v>-7187689.7300000004</v>
      </c>
      <c r="F20" s="356">
        <f t="shared" si="2"/>
        <v>-6739341.6600000001</v>
      </c>
      <c r="G20" s="356">
        <f t="shared" si="2"/>
        <v>-6895143.4700000007</v>
      </c>
      <c r="H20" s="356">
        <f t="shared" si="2"/>
        <v>-7699974.4299999997</v>
      </c>
      <c r="I20" s="356">
        <f t="shared" si="2"/>
        <v>-8397076.1999999993</v>
      </c>
      <c r="J20" s="356">
        <f t="shared" si="2"/>
        <v>-11404318.359999999</v>
      </c>
      <c r="K20" s="356">
        <f t="shared" si="2"/>
        <v>-17827593.52</v>
      </c>
      <c r="L20" s="356">
        <f t="shared" si="2"/>
        <v>-23738080.34</v>
      </c>
      <c r="M20" s="356">
        <f t="shared" si="2"/>
        <v>-23855263.75</v>
      </c>
      <c r="N20" s="356">
        <f t="shared" si="2"/>
        <v>-20540236.399999995</v>
      </c>
      <c r="O20" s="356">
        <f>+O19+O18</f>
        <v>-156421195</v>
      </c>
      <c r="P20" s="284"/>
    </row>
    <row r="21" spans="1:16" ht="16.5">
      <c r="A21" s="283"/>
      <c r="B21" s="55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234"/>
      <c r="P21" s="284"/>
    </row>
    <row r="22" spans="1:16">
      <c r="A22" s="281">
        <v>4805</v>
      </c>
      <c r="B22" s="55" t="s">
        <v>165</v>
      </c>
      <c r="C22" s="102">
        <v>996945.04</v>
      </c>
      <c r="D22" s="102">
        <v>1501189</v>
      </c>
      <c r="E22" s="102">
        <v>27349</v>
      </c>
      <c r="F22" s="102">
        <v>13956</v>
      </c>
      <c r="G22" s="102">
        <v>-135138</v>
      </c>
      <c r="H22" s="102">
        <v>-92291</v>
      </c>
      <c r="I22" s="102">
        <v>-1161190.4100000001</v>
      </c>
      <c r="J22" s="102">
        <v>-1605913.48</v>
      </c>
      <c r="K22" s="102">
        <v>-2388951.96</v>
      </c>
      <c r="L22" s="102">
        <v>129738.67</v>
      </c>
      <c r="M22" s="102">
        <v>610667.66999999993</v>
      </c>
      <c r="N22" s="102">
        <v>2150074.06</v>
      </c>
      <c r="O22" s="102">
        <f>SUM(C22:N22)</f>
        <v>46434.589999999851</v>
      </c>
    </row>
    <row r="23" spans="1:16">
      <c r="A23" s="281">
        <v>4815</v>
      </c>
      <c r="B23" s="55" t="s">
        <v>167</v>
      </c>
      <c r="C23" s="102">
        <v>448742.12</v>
      </c>
      <c r="D23" s="102">
        <v>563776</v>
      </c>
      <c r="E23" s="102">
        <v>25766</v>
      </c>
      <c r="F23" s="102">
        <v>-20786</v>
      </c>
      <c r="G23" s="102">
        <v>-46812</v>
      </c>
      <c r="H23" s="102">
        <v>-27205</v>
      </c>
      <c r="I23" s="102">
        <v>-511613.14</v>
      </c>
      <c r="J23" s="102">
        <v>-468313.98</v>
      </c>
      <c r="K23" s="102">
        <v>-968927.23</v>
      </c>
      <c r="L23" s="102">
        <v>-221742.22</v>
      </c>
      <c r="M23" s="102">
        <v>504744.37</v>
      </c>
      <c r="N23" s="102">
        <v>748392.8</v>
      </c>
      <c r="O23" s="102">
        <f>SUM(C23:N23)</f>
        <v>26021.720000000088</v>
      </c>
    </row>
    <row r="24" spans="1:16">
      <c r="A24" s="281">
        <v>4816</v>
      </c>
      <c r="B24" s="55" t="s">
        <v>166</v>
      </c>
      <c r="C24" s="102">
        <v>163669.25</v>
      </c>
      <c r="D24" s="102">
        <v>-261692.61000000002</v>
      </c>
      <c r="E24" s="102">
        <v>277180.02</v>
      </c>
      <c r="F24" s="102">
        <v>-6367.42</v>
      </c>
      <c r="G24" s="102">
        <v>-295404.5</v>
      </c>
      <c r="H24" s="102">
        <v>307858.83999999997</v>
      </c>
      <c r="I24" s="102">
        <v>-6831.82</v>
      </c>
      <c r="J24" s="102">
        <v>-639.27</v>
      </c>
      <c r="K24" s="102">
        <v>-26558.3</v>
      </c>
      <c r="L24" s="102">
        <v>4535.9399999999996</v>
      </c>
      <c r="M24" s="102">
        <v>44265.36</v>
      </c>
      <c r="N24" s="102">
        <v>-31411.18</v>
      </c>
      <c r="O24" s="102">
        <f>SUM(C24:N24)</f>
        <v>168604.31</v>
      </c>
    </row>
    <row r="25" spans="1:16">
      <c r="A25" s="281">
        <v>4825</v>
      </c>
      <c r="B25" s="55" t="s">
        <v>168</v>
      </c>
      <c r="C25" s="102">
        <v>57841.120000000003</v>
      </c>
      <c r="D25" s="102">
        <v>135962</v>
      </c>
      <c r="E25" s="102">
        <v>3619</v>
      </c>
      <c r="F25" s="102">
        <v>1552</v>
      </c>
      <c r="G25" s="102">
        <v>-4758</v>
      </c>
      <c r="H25" s="102">
        <v>-5716</v>
      </c>
      <c r="I25" s="102">
        <v>-95557.58</v>
      </c>
      <c r="J25" s="102">
        <v>-125403.3</v>
      </c>
      <c r="K25" s="102">
        <v>-167756.96000000002</v>
      </c>
      <c r="L25" s="102">
        <v>-23954.190000000002</v>
      </c>
      <c r="M25" s="102">
        <v>71882.209999999992</v>
      </c>
      <c r="N25" s="102">
        <v>161073.73000000001</v>
      </c>
      <c r="O25" s="102">
        <f>SUM(C25:N25)</f>
        <v>8784.0299999999697</v>
      </c>
    </row>
    <row r="26" spans="1:16">
      <c r="A26" s="281">
        <v>4960</v>
      </c>
      <c r="B26" s="55" t="s">
        <v>259</v>
      </c>
      <c r="C26" s="102">
        <v>0</v>
      </c>
      <c r="D26" s="102">
        <v>-382953.06</v>
      </c>
      <c r="E26" s="102">
        <v>-459726.18</v>
      </c>
      <c r="F26" s="102">
        <v>-432048.13999999996</v>
      </c>
      <c r="G26" s="102">
        <v>-91699.97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f>SUM(C26:N26)</f>
        <v>-1366427.3499999999</v>
      </c>
    </row>
    <row r="27" spans="1:16">
      <c r="A27" s="347" t="s">
        <v>282</v>
      </c>
      <c r="B27" s="53"/>
      <c r="C27" s="356">
        <f>SUM(C22:C26)</f>
        <v>1667197.5300000003</v>
      </c>
      <c r="D27" s="356">
        <f t="shared" ref="D27:N27" si="3">SUM(D22:D26)</f>
        <v>1556281.3299999998</v>
      </c>
      <c r="E27" s="356">
        <f t="shared" si="3"/>
        <v>-125812.15999999997</v>
      </c>
      <c r="F27" s="356">
        <f t="shared" si="3"/>
        <v>-443693.55999999994</v>
      </c>
      <c r="G27" s="356">
        <f t="shared" si="3"/>
        <v>-573812.47</v>
      </c>
      <c r="H27" s="356">
        <f t="shared" si="3"/>
        <v>182646.83999999997</v>
      </c>
      <c r="I27" s="356">
        <f t="shared" si="3"/>
        <v>-1775192.9500000004</v>
      </c>
      <c r="J27" s="356">
        <f t="shared" si="3"/>
        <v>-2200270.0299999998</v>
      </c>
      <c r="K27" s="356">
        <f t="shared" si="3"/>
        <v>-3552194.4499999997</v>
      </c>
      <c r="L27" s="356">
        <f t="shared" si="3"/>
        <v>-111421.8</v>
      </c>
      <c r="M27" s="356">
        <f t="shared" si="3"/>
        <v>1231559.6100000001</v>
      </c>
      <c r="N27" s="356">
        <f t="shared" si="3"/>
        <v>3028129.41</v>
      </c>
      <c r="O27" s="356">
        <f>SUM(O22:O26)</f>
        <v>-1116582.7</v>
      </c>
    </row>
    <row r="28" spans="1:16" ht="14.2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</row>
    <row r="29" spans="1:16" ht="15" thickBot="1">
      <c r="A29" s="285" t="s">
        <v>164</v>
      </c>
      <c r="B29" s="277"/>
      <c r="C29" s="357">
        <f>+C20+C27</f>
        <v>-11051726.079999998</v>
      </c>
      <c r="D29" s="357">
        <f t="shared" ref="D29:N29" si="4">+D20+D27</f>
        <v>-7861272.1999999993</v>
      </c>
      <c r="E29" s="357">
        <f t="shared" si="4"/>
        <v>-7313501.8900000006</v>
      </c>
      <c r="F29" s="357">
        <f t="shared" si="4"/>
        <v>-7183035.2199999997</v>
      </c>
      <c r="G29" s="357">
        <f t="shared" si="4"/>
        <v>-7468955.9400000004</v>
      </c>
      <c r="H29" s="357">
        <f t="shared" si="4"/>
        <v>-7517327.5899999999</v>
      </c>
      <c r="I29" s="357">
        <f t="shared" si="4"/>
        <v>-10172269.15</v>
      </c>
      <c r="J29" s="357">
        <f t="shared" si="4"/>
        <v>-13604588.389999999</v>
      </c>
      <c r="K29" s="357">
        <f t="shared" si="4"/>
        <v>-21379787.969999999</v>
      </c>
      <c r="L29" s="357">
        <f t="shared" si="4"/>
        <v>-23849502.140000001</v>
      </c>
      <c r="M29" s="357">
        <f t="shared" si="4"/>
        <v>-22623704.140000001</v>
      </c>
      <c r="N29" s="357">
        <f t="shared" si="4"/>
        <v>-17512106.989999995</v>
      </c>
      <c r="O29" s="357">
        <f>+O20+O27</f>
        <v>-157537777.69999999</v>
      </c>
    </row>
    <row r="30" spans="1:16" ht="13.5" thickTop="1"/>
  </sheetData>
  <phoneticPr fontId="25" type="noConversion"/>
  <printOptions horizontalCentered="1"/>
  <pageMargins left="0.6" right="0.6" top="0.75" bottom="0.5" header="0.25" footer="0.24"/>
  <pageSetup scale="52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</sheetPr>
  <dimension ref="A1:P134"/>
  <sheetViews>
    <sheetView zoomScale="110" zoomScaleNormal="110" zoomScaleSheetLayoutView="75" workbookViewId="0">
      <selection sqref="A1:K1"/>
    </sheetView>
  </sheetViews>
  <sheetFormatPr defaultColWidth="9.625" defaultRowHeight="12.75"/>
  <cols>
    <col min="1" max="1" width="5.125" style="30" customWidth="1"/>
    <col min="2" max="2" width="29" style="30" bestFit="1" customWidth="1"/>
    <col min="3" max="4" width="14.125" style="93" bestFit="1" customWidth="1"/>
    <col min="5" max="5" width="7.875" style="30" customWidth="1"/>
    <col min="6" max="6" width="8" style="30" customWidth="1"/>
    <col min="7" max="7" width="7.25" style="30" customWidth="1"/>
    <col min="8" max="8" width="8.75" style="30" customWidth="1"/>
    <col min="9" max="9" width="8.375" style="30" customWidth="1"/>
    <col min="10" max="10" width="7.625" style="30" customWidth="1"/>
    <col min="11" max="11" width="13.125" style="30" bestFit="1" customWidth="1"/>
    <col min="12" max="12" width="15.75" style="30" customWidth="1"/>
    <col min="13" max="13" width="1.75" style="30" bestFit="1" customWidth="1"/>
    <col min="14" max="14" width="10" style="30" bestFit="1" customWidth="1"/>
    <col min="15" max="16384" width="9.625" style="30"/>
  </cols>
  <sheetData>
    <row r="1" spans="1:16">
      <c r="A1" s="369" t="str">
        <f>CONCATENATE(COMPANY,"-",JURISDICTION)</f>
        <v>Atmos Energy Corporation-Kentucky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56" t="s">
        <v>194</v>
      </c>
      <c r="M1" s="286"/>
      <c r="N1" s="286"/>
      <c r="O1" s="286"/>
      <c r="P1" s="286"/>
    </row>
    <row r="2" spans="1:16">
      <c r="A2" s="371" t="s">
        <v>42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268"/>
      <c r="M2" s="286"/>
      <c r="N2" s="286"/>
      <c r="O2" s="286"/>
      <c r="P2" s="286"/>
    </row>
    <row r="3" spans="1:16">
      <c r="A3" s="370" t="str">
        <f>+'ATO-CWC2'!A4</f>
        <v>For the CWC Study Test Year Ended March 31, 2021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268"/>
      <c r="M3" s="286"/>
      <c r="N3" s="286"/>
      <c r="O3" s="286"/>
      <c r="P3" s="286"/>
    </row>
    <row r="4" spans="1:16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68"/>
      <c r="M4" s="286"/>
      <c r="N4" s="286"/>
      <c r="O4" s="286"/>
      <c r="P4" s="286"/>
    </row>
    <row r="5" spans="1:16">
      <c r="A5" s="137" t="s">
        <v>121</v>
      </c>
      <c r="B5" s="268"/>
      <c r="C5" s="137" t="s">
        <v>95</v>
      </c>
      <c r="D5" s="137" t="s">
        <v>95</v>
      </c>
      <c r="E5" s="137" t="s">
        <v>145</v>
      </c>
      <c r="F5" s="137" t="s">
        <v>54</v>
      </c>
      <c r="G5" s="137" t="s">
        <v>55</v>
      </c>
      <c r="H5" s="137" t="s">
        <v>56</v>
      </c>
      <c r="I5" s="137" t="s">
        <v>120</v>
      </c>
      <c r="J5" s="137" t="s">
        <v>141</v>
      </c>
      <c r="K5" s="137" t="s">
        <v>2</v>
      </c>
      <c r="L5" s="137" t="s">
        <v>157</v>
      </c>
      <c r="M5" s="286"/>
      <c r="N5" s="286"/>
      <c r="O5" s="286"/>
      <c r="P5" s="286"/>
    </row>
    <row r="6" spans="1:16">
      <c r="A6" s="288" t="s">
        <v>123</v>
      </c>
      <c r="B6" s="288" t="s">
        <v>52</v>
      </c>
      <c r="C6" s="288" t="s">
        <v>58</v>
      </c>
      <c r="D6" s="288" t="s">
        <v>59</v>
      </c>
      <c r="E6" s="288" t="s">
        <v>136</v>
      </c>
      <c r="F6" s="288" t="s">
        <v>55</v>
      </c>
      <c r="G6" s="288" t="s">
        <v>136</v>
      </c>
      <c r="H6" s="288" t="s">
        <v>148</v>
      </c>
      <c r="I6" s="288" t="s">
        <v>136</v>
      </c>
      <c r="J6" s="288" t="s">
        <v>136</v>
      </c>
      <c r="K6" s="192" t="s">
        <v>125</v>
      </c>
      <c r="L6" s="289" t="s">
        <v>97</v>
      </c>
      <c r="M6" s="286"/>
      <c r="N6" s="286"/>
      <c r="O6" s="286"/>
      <c r="P6" s="286"/>
    </row>
    <row r="7" spans="1:16">
      <c r="A7" s="268"/>
      <c r="B7" s="137" t="s">
        <v>128</v>
      </c>
      <c r="C7" s="137" t="s">
        <v>129</v>
      </c>
      <c r="D7" s="137" t="s">
        <v>130</v>
      </c>
      <c r="E7" s="137" t="s">
        <v>131</v>
      </c>
      <c r="F7" s="137" t="s">
        <v>132</v>
      </c>
      <c r="G7" s="137" t="s">
        <v>133</v>
      </c>
      <c r="H7" s="290" t="s">
        <v>134</v>
      </c>
      <c r="I7" s="291" t="s">
        <v>53</v>
      </c>
      <c r="J7" s="291" t="s">
        <v>75</v>
      </c>
      <c r="K7" s="291" t="s">
        <v>96</v>
      </c>
      <c r="L7" s="290" t="s">
        <v>60</v>
      </c>
      <c r="M7" s="286"/>
      <c r="N7" s="286"/>
      <c r="O7" s="286"/>
      <c r="P7" s="286"/>
    </row>
    <row r="8" spans="1:16">
      <c r="A8" s="53"/>
      <c r="B8" s="95"/>
      <c r="C8" s="96"/>
      <c r="D8" s="97"/>
      <c r="E8" s="98"/>
      <c r="F8" s="99"/>
      <c r="G8" s="98"/>
      <c r="H8" s="100"/>
      <c r="I8" s="102"/>
      <c r="J8" s="101"/>
      <c r="K8" s="101"/>
      <c r="L8" s="101"/>
      <c r="M8" s="286"/>
      <c r="N8" s="286"/>
      <c r="O8" s="286"/>
      <c r="P8" s="286"/>
    </row>
    <row r="9" spans="1:16">
      <c r="A9" s="54">
        <v>1</v>
      </c>
      <c r="B9" s="95" t="s">
        <v>283</v>
      </c>
      <c r="C9" s="358">
        <v>43891</v>
      </c>
      <c r="D9" s="358">
        <v>43921</v>
      </c>
      <c r="E9" s="236">
        <f>(D9-C9+1)/2</f>
        <v>15.5</v>
      </c>
      <c r="F9" s="359">
        <v>43937</v>
      </c>
      <c r="G9" s="236">
        <f>+F9-D9</f>
        <v>16</v>
      </c>
      <c r="H9" s="100">
        <v>43941</v>
      </c>
      <c r="I9" s="226">
        <f>+H9-F9</f>
        <v>4</v>
      </c>
      <c r="J9" s="101">
        <f>+I9+G9+E9</f>
        <v>35.5</v>
      </c>
      <c r="K9" s="360">
        <v>1239.5899999999999</v>
      </c>
      <c r="L9" s="360">
        <f>K9*J9</f>
        <v>44005.445</v>
      </c>
      <c r="M9" s="286"/>
      <c r="N9" s="286"/>
      <c r="O9" s="286"/>
      <c r="P9" s="286"/>
    </row>
    <row r="10" spans="1:16">
      <c r="A10" s="54">
        <v>2</v>
      </c>
      <c r="B10" s="95" t="s">
        <v>284</v>
      </c>
      <c r="C10" s="358">
        <v>43891</v>
      </c>
      <c r="D10" s="358">
        <v>43921</v>
      </c>
      <c r="E10" s="236">
        <f t="shared" ref="E10:E73" si="0">(D10-C10+1)/2</f>
        <v>15.5</v>
      </c>
      <c r="F10" s="359">
        <v>43943</v>
      </c>
      <c r="G10" s="236">
        <f t="shared" ref="G10:G73" si="1">+F10-D10</f>
        <v>22</v>
      </c>
      <c r="H10" s="100">
        <v>43948</v>
      </c>
      <c r="I10" s="226">
        <f t="shared" ref="I10:I73" si="2">+H10-F10</f>
        <v>5</v>
      </c>
      <c r="J10" s="101">
        <f t="shared" ref="J10:J73" si="3">+I10+G10+E10</f>
        <v>42.5</v>
      </c>
      <c r="K10" s="101">
        <v>123395.44</v>
      </c>
      <c r="L10" s="101">
        <f t="shared" ref="L10:L124" si="4">K10*J10</f>
        <v>5244306.2</v>
      </c>
      <c r="M10" s="286"/>
      <c r="N10" s="286"/>
      <c r="O10" s="286"/>
      <c r="P10" s="286"/>
    </row>
    <row r="11" spans="1:16">
      <c r="A11" s="54">
        <v>3</v>
      </c>
      <c r="B11" s="95" t="s">
        <v>284</v>
      </c>
      <c r="C11" s="358">
        <v>43891</v>
      </c>
      <c r="D11" s="358">
        <v>43921</v>
      </c>
      <c r="E11" s="236">
        <f t="shared" si="0"/>
        <v>15.5</v>
      </c>
      <c r="F11" s="359">
        <v>43944</v>
      </c>
      <c r="G11" s="236">
        <f t="shared" si="1"/>
        <v>23</v>
      </c>
      <c r="H11" s="100">
        <v>43948</v>
      </c>
      <c r="I11" s="226">
        <f t="shared" si="2"/>
        <v>4</v>
      </c>
      <c r="J11" s="101">
        <f t="shared" si="3"/>
        <v>42.5</v>
      </c>
      <c r="K11" s="101">
        <v>342296.45</v>
      </c>
      <c r="L11" s="101">
        <f t="shared" si="4"/>
        <v>14547599.125</v>
      </c>
      <c r="M11" s="286"/>
      <c r="N11" s="286"/>
      <c r="O11" s="286"/>
      <c r="P11" s="286"/>
    </row>
    <row r="12" spans="1:16">
      <c r="A12" s="54">
        <v>4</v>
      </c>
      <c r="B12" s="95" t="s">
        <v>285</v>
      </c>
      <c r="C12" s="358">
        <v>43891</v>
      </c>
      <c r="D12" s="358">
        <v>43921</v>
      </c>
      <c r="E12" s="236">
        <f t="shared" si="0"/>
        <v>15.5</v>
      </c>
      <c r="F12" s="359">
        <v>43937</v>
      </c>
      <c r="G12" s="236">
        <f t="shared" si="1"/>
        <v>16</v>
      </c>
      <c r="H12" s="100">
        <v>43941</v>
      </c>
      <c r="I12" s="226">
        <f t="shared" si="2"/>
        <v>4</v>
      </c>
      <c r="J12" s="101">
        <f t="shared" si="3"/>
        <v>35.5</v>
      </c>
      <c r="K12" s="101">
        <v>140.36000000000001</v>
      </c>
      <c r="L12" s="101">
        <f t="shared" si="4"/>
        <v>4982.7800000000007</v>
      </c>
      <c r="M12" s="286"/>
      <c r="N12" s="286"/>
      <c r="O12" s="286"/>
      <c r="P12" s="286"/>
    </row>
    <row r="13" spans="1:16">
      <c r="A13" s="54">
        <v>5</v>
      </c>
      <c r="B13" s="95" t="s">
        <v>286</v>
      </c>
      <c r="C13" s="358">
        <v>43891</v>
      </c>
      <c r="D13" s="358">
        <v>43921</v>
      </c>
      <c r="E13" s="236">
        <f t="shared" si="0"/>
        <v>15.5</v>
      </c>
      <c r="F13" s="359">
        <v>43935</v>
      </c>
      <c r="G13" s="236">
        <f t="shared" si="1"/>
        <v>14</v>
      </c>
      <c r="H13" s="100">
        <v>43938</v>
      </c>
      <c r="I13" s="226">
        <f t="shared" si="2"/>
        <v>3</v>
      </c>
      <c r="J13" s="101">
        <f t="shared" si="3"/>
        <v>32.5</v>
      </c>
      <c r="K13" s="101">
        <v>264.29000000000002</v>
      </c>
      <c r="L13" s="101">
        <f t="shared" si="4"/>
        <v>8589.4250000000011</v>
      </c>
      <c r="M13" s="286"/>
      <c r="N13" s="286"/>
      <c r="O13" s="286"/>
      <c r="P13" s="286"/>
    </row>
    <row r="14" spans="1:16">
      <c r="A14" s="54">
        <v>6</v>
      </c>
      <c r="B14" s="95" t="s">
        <v>287</v>
      </c>
      <c r="C14" s="358">
        <v>43891</v>
      </c>
      <c r="D14" s="358">
        <v>43921</v>
      </c>
      <c r="E14" s="236">
        <f t="shared" si="0"/>
        <v>15.5</v>
      </c>
      <c r="F14" s="359">
        <v>43937</v>
      </c>
      <c r="G14" s="236">
        <f t="shared" si="1"/>
        <v>16</v>
      </c>
      <c r="H14" s="100">
        <v>43952</v>
      </c>
      <c r="I14" s="226">
        <f t="shared" si="2"/>
        <v>15</v>
      </c>
      <c r="J14" s="101">
        <f t="shared" si="3"/>
        <v>46.5</v>
      </c>
      <c r="K14" s="101">
        <v>1928.84</v>
      </c>
      <c r="L14" s="101">
        <f t="shared" si="4"/>
        <v>89691.06</v>
      </c>
    </row>
    <row r="15" spans="1:16">
      <c r="A15" s="54">
        <v>7</v>
      </c>
      <c r="B15" s="95" t="s">
        <v>288</v>
      </c>
      <c r="C15" s="358">
        <v>43891</v>
      </c>
      <c r="D15" s="358">
        <v>43921</v>
      </c>
      <c r="E15" s="236">
        <f t="shared" si="0"/>
        <v>15.5</v>
      </c>
      <c r="F15" s="359">
        <v>43937</v>
      </c>
      <c r="G15" s="236">
        <f t="shared" si="1"/>
        <v>16</v>
      </c>
      <c r="H15" s="100">
        <v>43944</v>
      </c>
      <c r="I15" s="226">
        <f t="shared" si="2"/>
        <v>7</v>
      </c>
      <c r="J15" s="101">
        <f t="shared" si="3"/>
        <v>38.5</v>
      </c>
      <c r="K15" s="101">
        <v>374423.93</v>
      </c>
      <c r="L15" s="101">
        <f t="shared" si="4"/>
        <v>14415321.305</v>
      </c>
    </row>
    <row r="16" spans="1:16">
      <c r="A16" s="54">
        <v>8</v>
      </c>
      <c r="B16" s="95" t="s">
        <v>289</v>
      </c>
      <c r="C16" s="358">
        <v>43891</v>
      </c>
      <c r="D16" s="358">
        <v>43921</v>
      </c>
      <c r="E16" s="236">
        <f t="shared" si="0"/>
        <v>15.5</v>
      </c>
      <c r="F16" s="359">
        <v>43936</v>
      </c>
      <c r="G16" s="236">
        <f t="shared" si="1"/>
        <v>15</v>
      </c>
      <c r="H16" s="100">
        <v>43941</v>
      </c>
      <c r="I16" s="226">
        <f t="shared" si="2"/>
        <v>5</v>
      </c>
      <c r="J16" s="101">
        <f t="shared" si="3"/>
        <v>35.5</v>
      </c>
      <c r="K16" s="101">
        <v>1757354.35</v>
      </c>
      <c r="L16" s="101">
        <f t="shared" si="4"/>
        <v>62386079.425000004</v>
      </c>
    </row>
    <row r="17" spans="1:12">
      <c r="A17" s="54">
        <v>9</v>
      </c>
      <c r="B17" s="95" t="s">
        <v>290</v>
      </c>
      <c r="C17" s="358">
        <v>43891</v>
      </c>
      <c r="D17" s="358">
        <v>43921</v>
      </c>
      <c r="E17" s="236">
        <f t="shared" si="0"/>
        <v>15.5</v>
      </c>
      <c r="F17" s="359">
        <v>43936</v>
      </c>
      <c r="G17" s="236">
        <f t="shared" si="1"/>
        <v>15</v>
      </c>
      <c r="H17" s="100">
        <v>43941</v>
      </c>
      <c r="I17" s="226">
        <f t="shared" si="2"/>
        <v>5</v>
      </c>
      <c r="J17" s="101">
        <f t="shared" si="3"/>
        <v>35.5</v>
      </c>
      <c r="K17" s="101">
        <v>32855.9</v>
      </c>
      <c r="L17" s="101">
        <f t="shared" si="4"/>
        <v>1166384.45</v>
      </c>
    </row>
    <row r="18" spans="1:12">
      <c r="A18" s="54">
        <v>10</v>
      </c>
      <c r="B18" s="95" t="s">
        <v>291</v>
      </c>
      <c r="C18" s="358">
        <v>43891</v>
      </c>
      <c r="D18" s="358">
        <v>43921</v>
      </c>
      <c r="E18" s="236">
        <f t="shared" si="0"/>
        <v>15.5</v>
      </c>
      <c r="F18" s="359">
        <v>43943</v>
      </c>
      <c r="G18" s="236">
        <f t="shared" si="1"/>
        <v>22</v>
      </c>
      <c r="H18" s="100">
        <v>43948</v>
      </c>
      <c r="I18" s="226">
        <f t="shared" si="2"/>
        <v>5</v>
      </c>
      <c r="J18" s="101">
        <f t="shared" si="3"/>
        <v>42.5</v>
      </c>
      <c r="K18" s="101">
        <v>116549.35</v>
      </c>
      <c r="L18" s="101">
        <f t="shared" si="4"/>
        <v>4953347.375</v>
      </c>
    </row>
    <row r="19" spans="1:12">
      <c r="A19" s="54">
        <v>11</v>
      </c>
      <c r="B19" s="95" t="s">
        <v>283</v>
      </c>
      <c r="C19" s="358">
        <v>43922</v>
      </c>
      <c r="D19" s="358">
        <v>43951</v>
      </c>
      <c r="E19" s="236">
        <f t="shared" si="0"/>
        <v>15</v>
      </c>
      <c r="F19" s="359">
        <v>43964</v>
      </c>
      <c r="G19" s="236">
        <f t="shared" si="1"/>
        <v>13</v>
      </c>
      <c r="H19" s="100">
        <v>43970</v>
      </c>
      <c r="I19" s="226">
        <f t="shared" si="2"/>
        <v>6</v>
      </c>
      <c r="J19" s="101">
        <f t="shared" si="3"/>
        <v>34</v>
      </c>
      <c r="K19" s="101">
        <v>865.85</v>
      </c>
      <c r="L19" s="101">
        <f t="shared" si="4"/>
        <v>29438.9</v>
      </c>
    </row>
    <row r="20" spans="1:12">
      <c r="A20" s="54">
        <v>12</v>
      </c>
      <c r="B20" s="95" t="s">
        <v>284</v>
      </c>
      <c r="C20" s="358">
        <v>43922</v>
      </c>
      <c r="D20" s="358">
        <v>43951</v>
      </c>
      <c r="E20" s="236">
        <f t="shared" si="0"/>
        <v>15</v>
      </c>
      <c r="F20" s="359">
        <v>43971</v>
      </c>
      <c r="G20" s="236">
        <f t="shared" si="1"/>
        <v>20</v>
      </c>
      <c r="H20" s="100">
        <v>43977</v>
      </c>
      <c r="I20" s="226">
        <f t="shared" si="2"/>
        <v>6</v>
      </c>
      <c r="J20" s="101">
        <f t="shared" si="3"/>
        <v>41</v>
      </c>
      <c r="K20" s="101">
        <v>42746.37</v>
      </c>
      <c r="L20" s="101">
        <f t="shared" si="4"/>
        <v>1752601.1700000002</v>
      </c>
    </row>
    <row r="21" spans="1:12">
      <c r="A21" s="54">
        <v>13</v>
      </c>
      <c r="B21" s="95" t="s">
        <v>284</v>
      </c>
      <c r="C21" s="358">
        <v>43922</v>
      </c>
      <c r="D21" s="358">
        <v>43951</v>
      </c>
      <c r="E21" s="236">
        <f t="shared" si="0"/>
        <v>15</v>
      </c>
      <c r="F21" s="359">
        <v>43973</v>
      </c>
      <c r="G21" s="236">
        <f t="shared" si="1"/>
        <v>22</v>
      </c>
      <c r="H21" s="100">
        <v>43977</v>
      </c>
      <c r="I21" s="226">
        <f t="shared" si="2"/>
        <v>4</v>
      </c>
      <c r="J21" s="101">
        <f t="shared" si="3"/>
        <v>41</v>
      </c>
      <c r="K21" s="101">
        <v>2266111.33</v>
      </c>
      <c r="L21" s="101">
        <f t="shared" si="4"/>
        <v>92910564.530000001</v>
      </c>
    </row>
    <row r="22" spans="1:12">
      <c r="A22" s="54">
        <v>14</v>
      </c>
      <c r="B22" s="95" t="s">
        <v>285</v>
      </c>
      <c r="C22" s="358">
        <v>43922</v>
      </c>
      <c r="D22" s="358">
        <v>43951</v>
      </c>
      <c r="E22" s="236">
        <f t="shared" si="0"/>
        <v>15</v>
      </c>
      <c r="F22" s="359">
        <v>43964</v>
      </c>
      <c r="G22" s="236">
        <f t="shared" si="1"/>
        <v>13</v>
      </c>
      <c r="H22" s="100">
        <v>43971</v>
      </c>
      <c r="I22" s="226">
        <f t="shared" si="2"/>
        <v>7</v>
      </c>
      <c r="J22" s="101">
        <f t="shared" si="3"/>
        <v>35</v>
      </c>
      <c r="K22" s="101">
        <v>121.34</v>
      </c>
      <c r="L22" s="101">
        <f t="shared" si="4"/>
        <v>4246.9000000000005</v>
      </c>
    </row>
    <row r="23" spans="1:12">
      <c r="A23" s="54">
        <v>15</v>
      </c>
      <c r="B23" s="95" t="s">
        <v>286</v>
      </c>
      <c r="C23" s="358">
        <v>43922</v>
      </c>
      <c r="D23" s="358">
        <v>43951</v>
      </c>
      <c r="E23" s="236">
        <f t="shared" si="0"/>
        <v>15</v>
      </c>
      <c r="F23" s="359">
        <v>43958</v>
      </c>
      <c r="G23" s="236">
        <f t="shared" si="1"/>
        <v>7</v>
      </c>
      <c r="H23" s="100">
        <v>43969</v>
      </c>
      <c r="I23" s="226">
        <f t="shared" si="2"/>
        <v>11</v>
      </c>
      <c r="J23" s="101">
        <f t="shared" si="3"/>
        <v>33</v>
      </c>
      <c r="K23" s="101">
        <v>248.2</v>
      </c>
      <c r="L23" s="101">
        <f t="shared" si="4"/>
        <v>8190.5999999999995</v>
      </c>
    </row>
    <row r="24" spans="1:12">
      <c r="A24" s="54">
        <v>16</v>
      </c>
      <c r="B24" s="95" t="s">
        <v>287</v>
      </c>
      <c r="C24" s="358">
        <v>43922</v>
      </c>
      <c r="D24" s="358">
        <v>43951</v>
      </c>
      <c r="E24" s="236">
        <f t="shared" si="0"/>
        <v>15</v>
      </c>
      <c r="F24" s="359">
        <v>43964</v>
      </c>
      <c r="G24" s="236">
        <f t="shared" si="1"/>
        <v>13</v>
      </c>
      <c r="H24" s="100">
        <v>43970</v>
      </c>
      <c r="I24" s="226">
        <f t="shared" si="2"/>
        <v>6</v>
      </c>
      <c r="J24" s="101">
        <f t="shared" si="3"/>
        <v>34</v>
      </c>
      <c r="K24" s="101">
        <v>3240.73</v>
      </c>
      <c r="L24" s="101">
        <f t="shared" si="4"/>
        <v>110184.82</v>
      </c>
    </row>
    <row r="25" spans="1:12">
      <c r="A25" s="54">
        <v>17</v>
      </c>
      <c r="B25" s="95" t="s">
        <v>288</v>
      </c>
      <c r="C25" s="358">
        <v>43922</v>
      </c>
      <c r="D25" s="358">
        <v>43951</v>
      </c>
      <c r="E25" s="236">
        <f t="shared" si="0"/>
        <v>15</v>
      </c>
      <c r="F25" s="359">
        <v>43964</v>
      </c>
      <c r="G25" s="236">
        <f t="shared" si="1"/>
        <v>13</v>
      </c>
      <c r="H25" s="100">
        <v>43973</v>
      </c>
      <c r="I25" s="226">
        <f t="shared" si="2"/>
        <v>9</v>
      </c>
      <c r="J25" s="101">
        <f t="shared" si="3"/>
        <v>37</v>
      </c>
      <c r="K25" s="101">
        <v>269328.83</v>
      </c>
      <c r="L25" s="101">
        <f t="shared" si="4"/>
        <v>9965166.7100000009</v>
      </c>
    </row>
    <row r="26" spans="1:12">
      <c r="A26" s="54">
        <v>18</v>
      </c>
      <c r="B26" s="95" t="s">
        <v>289</v>
      </c>
      <c r="C26" s="358">
        <v>43922</v>
      </c>
      <c r="D26" s="358">
        <v>43951</v>
      </c>
      <c r="E26" s="236">
        <f t="shared" si="0"/>
        <v>15</v>
      </c>
      <c r="F26" s="359">
        <v>43964</v>
      </c>
      <c r="G26" s="236">
        <f t="shared" si="1"/>
        <v>13</v>
      </c>
      <c r="H26" s="100">
        <v>43972</v>
      </c>
      <c r="I26" s="226">
        <f t="shared" si="2"/>
        <v>8</v>
      </c>
      <c r="J26" s="101">
        <f t="shared" si="3"/>
        <v>36</v>
      </c>
      <c r="K26" s="101">
        <v>1537917.78</v>
      </c>
      <c r="L26" s="101">
        <f t="shared" si="4"/>
        <v>55365040.079999998</v>
      </c>
    </row>
    <row r="27" spans="1:12">
      <c r="A27" s="54">
        <v>19</v>
      </c>
      <c r="B27" s="95" t="s">
        <v>290</v>
      </c>
      <c r="C27" s="358">
        <v>43922</v>
      </c>
      <c r="D27" s="358">
        <v>43951</v>
      </c>
      <c r="E27" s="236">
        <f t="shared" si="0"/>
        <v>15</v>
      </c>
      <c r="F27" s="359">
        <v>43959</v>
      </c>
      <c r="G27" s="236">
        <f t="shared" si="1"/>
        <v>8</v>
      </c>
      <c r="H27" s="100">
        <v>43971</v>
      </c>
      <c r="I27" s="226">
        <f t="shared" si="2"/>
        <v>12</v>
      </c>
      <c r="J27" s="101">
        <f t="shared" si="3"/>
        <v>35</v>
      </c>
      <c r="K27" s="101">
        <v>6650.85</v>
      </c>
      <c r="L27" s="101">
        <f t="shared" si="4"/>
        <v>232779.75</v>
      </c>
    </row>
    <row r="28" spans="1:12">
      <c r="A28" s="54">
        <v>20</v>
      </c>
      <c r="B28" s="95" t="s">
        <v>291</v>
      </c>
      <c r="C28" s="358">
        <v>43922</v>
      </c>
      <c r="D28" s="358">
        <v>43951</v>
      </c>
      <c r="E28" s="236">
        <f t="shared" si="0"/>
        <v>15</v>
      </c>
      <c r="F28" s="359">
        <v>43971</v>
      </c>
      <c r="G28" s="236">
        <f t="shared" si="1"/>
        <v>20</v>
      </c>
      <c r="H28" s="100">
        <v>43977</v>
      </c>
      <c r="I28" s="226">
        <f t="shared" si="2"/>
        <v>6</v>
      </c>
      <c r="J28" s="101">
        <f t="shared" si="3"/>
        <v>41</v>
      </c>
      <c r="K28" s="101">
        <v>379580.8</v>
      </c>
      <c r="L28" s="101">
        <f t="shared" si="4"/>
        <v>15562812.799999999</v>
      </c>
    </row>
    <row r="29" spans="1:12">
      <c r="A29" s="54">
        <v>21</v>
      </c>
      <c r="B29" s="95" t="s">
        <v>283</v>
      </c>
      <c r="C29" s="358">
        <v>43952</v>
      </c>
      <c r="D29" s="358">
        <v>43982</v>
      </c>
      <c r="E29" s="236">
        <f t="shared" si="0"/>
        <v>15.5</v>
      </c>
      <c r="F29" s="359">
        <v>43992</v>
      </c>
      <c r="G29" s="236">
        <f t="shared" si="1"/>
        <v>10</v>
      </c>
      <c r="H29" s="100">
        <v>44006</v>
      </c>
      <c r="I29" s="226">
        <f t="shared" si="2"/>
        <v>14</v>
      </c>
      <c r="J29" s="101">
        <f t="shared" si="3"/>
        <v>39.5</v>
      </c>
      <c r="K29" s="101">
        <v>1327</v>
      </c>
      <c r="L29" s="101">
        <f t="shared" si="4"/>
        <v>52416.5</v>
      </c>
    </row>
    <row r="30" spans="1:12">
      <c r="A30" s="54">
        <v>22</v>
      </c>
      <c r="B30" s="95" t="s">
        <v>285</v>
      </c>
      <c r="C30" s="358">
        <v>43952</v>
      </c>
      <c r="D30" s="358">
        <v>43982</v>
      </c>
      <c r="E30" s="236">
        <f t="shared" si="0"/>
        <v>15.5</v>
      </c>
      <c r="F30" s="359">
        <v>43992</v>
      </c>
      <c r="G30" s="236">
        <f t="shared" si="1"/>
        <v>10</v>
      </c>
      <c r="H30" s="100">
        <v>44006</v>
      </c>
      <c r="I30" s="226">
        <f t="shared" si="2"/>
        <v>14</v>
      </c>
      <c r="J30" s="101">
        <f t="shared" si="3"/>
        <v>39.5</v>
      </c>
      <c r="K30" s="101">
        <v>141.78</v>
      </c>
      <c r="L30" s="101">
        <f t="shared" si="4"/>
        <v>5600.31</v>
      </c>
    </row>
    <row r="31" spans="1:12">
      <c r="A31" s="54">
        <v>23</v>
      </c>
      <c r="B31" s="95" t="s">
        <v>286</v>
      </c>
      <c r="C31" s="358">
        <v>43952</v>
      </c>
      <c r="D31" s="358">
        <v>43982</v>
      </c>
      <c r="E31" s="236">
        <f t="shared" si="0"/>
        <v>15.5</v>
      </c>
      <c r="F31" s="359">
        <v>43994</v>
      </c>
      <c r="G31" s="236">
        <f t="shared" si="1"/>
        <v>12</v>
      </c>
      <c r="H31" s="100">
        <v>44056</v>
      </c>
      <c r="I31" s="226">
        <f t="shared" si="2"/>
        <v>62</v>
      </c>
      <c r="J31" s="101">
        <f t="shared" si="3"/>
        <v>89.5</v>
      </c>
      <c r="K31" s="101">
        <v>-319.91000000000003</v>
      </c>
      <c r="L31" s="101">
        <f t="shared" si="4"/>
        <v>-28631.945000000003</v>
      </c>
    </row>
    <row r="32" spans="1:12">
      <c r="A32" s="54">
        <v>24</v>
      </c>
      <c r="B32" s="95" t="s">
        <v>287</v>
      </c>
      <c r="C32" s="358">
        <v>43952</v>
      </c>
      <c r="D32" s="358">
        <v>43982</v>
      </c>
      <c r="E32" s="236">
        <f t="shared" si="0"/>
        <v>15.5</v>
      </c>
      <c r="F32" s="359">
        <v>43992</v>
      </c>
      <c r="G32" s="236">
        <f t="shared" si="1"/>
        <v>10</v>
      </c>
      <c r="H32" s="100">
        <v>44006</v>
      </c>
      <c r="I32" s="226">
        <f t="shared" si="2"/>
        <v>14</v>
      </c>
      <c r="J32" s="101">
        <f t="shared" si="3"/>
        <v>39.5</v>
      </c>
      <c r="K32" s="101">
        <v>5799.98</v>
      </c>
      <c r="L32" s="101">
        <f t="shared" si="4"/>
        <v>229099.21</v>
      </c>
    </row>
    <row r="33" spans="1:12">
      <c r="A33" s="54">
        <v>25</v>
      </c>
      <c r="B33" s="95" t="s">
        <v>292</v>
      </c>
      <c r="C33" s="358">
        <v>43952</v>
      </c>
      <c r="D33" s="358">
        <v>43982</v>
      </c>
      <c r="E33" s="236">
        <f t="shared" si="0"/>
        <v>15.5</v>
      </c>
      <c r="F33" s="359">
        <v>44005</v>
      </c>
      <c r="G33" s="236">
        <f t="shared" si="1"/>
        <v>23</v>
      </c>
      <c r="H33" s="100">
        <v>44007</v>
      </c>
      <c r="I33" s="226">
        <f t="shared" si="2"/>
        <v>2</v>
      </c>
      <c r="J33" s="101">
        <f t="shared" si="3"/>
        <v>40.5</v>
      </c>
      <c r="K33" s="101">
        <v>2574090.4500000002</v>
      </c>
      <c r="L33" s="101">
        <f t="shared" si="4"/>
        <v>104250663.22500001</v>
      </c>
    </row>
    <row r="34" spans="1:12">
      <c r="A34" s="54">
        <v>26</v>
      </c>
      <c r="B34" s="95" t="s">
        <v>292</v>
      </c>
      <c r="C34" s="358">
        <v>43952</v>
      </c>
      <c r="D34" s="358">
        <v>43982</v>
      </c>
      <c r="E34" s="236">
        <f t="shared" si="0"/>
        <v>15.5</v>
      </c>
      <c r="F34" s="359">
        <v>44004</v>
      </c>
      <c r="G34" s="236">
        <f t="shared" si="1"/>
        <v>22</v>
      </c>
      <c r="H34" s="100">
        <v>44007</v>
      </c>
      <c r="I34" s="226">
        <f t="shared" si="2"/>
        <v>3</v>
      </c>
      <c r="J34" s="101">
        <f t="shared" si="3"/>
        <v>40.5</v>
      </c>
      <c r="K34" s="101">
        <v>48112.12</v>
      </c>
      <c r="L34" s="101">
        <f t="shared" si="4"/>
        <v>1948540.86</v>
      </c>
    </row>
    <row r="35" spans="1:12">
      <c r="A35" s="54">
        <v>27</v>
      </c>
      <c r="B35" s="95" t="s">
        <v>288</v>
      </c>
      <c r="C35" s="358">
        <v>43952</v>
      </c>
      <c r="D35" s="358">
        <v>43982</v>
      </c>
      <c r="E35" s="236">
        <f t="shared" si="0"/>
        <v>15.5</v>
      </c>
      <c r="F35" s="359">
        <v>43992</v>
      </c>
      <c r="G35" s="236">
        <f t="shared" si="1"/>
        <v>10</v>
      </c>
      <c r="H35" s="100">
        <v>44004</v>
      </c>
      <c r="I35" s="226">
        <f t="shared" si="2"/>
        <v>12</v>
      </c>
      <c r="J35" s="101">
        <f t="shared" si="3"/>
        <v>37.5</v>
      </c>
      <c r="K35" s="101">
        <v>183341.93</v>
      </c>
      <c r="L35" s="101">
        <f t="shared" si="4"/>
        <v>6875322.375</v>
      </c>
    </row>
    <row r="36" spans="1:12">
      <c r="A36" s="54">
        <v>28</v>
      </c>
      <c r="B36" s="95" t="s">
        <v>289</v>
      </c>
      <c r="C36" s="358">
        <v>43952</v>
      </c>
      <c r="D36" s="358">
        <v>43982</v>
      </c>
      <c r="E36" s="236">
        <f t="shared" si="0"/>
        <v>15.5</v>
      </c>
      <c r="F36" s="359">
        <v>43998</v>
      </c>
      <c r="G36" s="236">
        <f t="shared" si="1"/>
        <v>16</v>
      </c>
      <c r="H36" s="100">
        <v>44001</v>
      </c>
      <c r="I36" s="226">
        <f t="shared" si="2"/>
        <v>3</v>
      </c>
      <c r="J36" s="101">
        <f t="shared" si="3"/>
        <v>34.5</v>
      </c>
      <c r="K36" s="101">
        <v>1249638.83</v>
      </c>
      <c r="L36" s="101">
        <f t="shared" si="4"/>
        <v>43112539.635000005</v>
      </c>
    </row>
    <row r="37" spans="1:12">
      <c r="A37" s="54">
        <v>29</v>
      </c>
      <c r="B37" s="95" t="s">
        <v>290</v>
      </c>
      <c r="C37" s="358">
        <v>43952</v>
      </c>
      <c r="D37" s="358">
        <v>43982</v>
      </c>
      <c r="E37" s="236">
        <f t="shared" si="0"/>
        <v>15.5</v>
      </c>
      <c r="F37" s="359">
        <v>43992</v>
      </c>
      <c r="G37" s="236">
        <f t="shared" si="1"/>
        <v>10</v>
      </c>
      <c r="H37" s="100">
        <v>44004</v>
      </c>
      <c r="I37" s="226">
        <f t="shared" si="2"/>
        <v>12</v>
      </c>
      <c r="J37" s="101">
        <f t="shared" si="3"/>
        <v>37.5</v>
      </c>
      <c r="K37" s="101">
        <v>6874.85</v>
      </c>
      <c r="L37" s="101">
        <f t="shared" si="4"/>
        <v>257806.875</v>
      </c>
    </row>
    <row r="38" spans="1:12">
      <c r="A38" s="54">
        <v>30</v>
      </c>
      <c r="B38" s="95" t="s">
        <v>291</v>
      </c>
      <c r="C38" s="358">
        <v>43952</v>
      </c>
      <c r="D38" s="358">
        <v>43982</v>
      </c>
      <c r="E38" s="236">
        <f t="shared" si="0"/>
        <v>15.5</v>
      </c>
      <c r="F38" s="359">
        <v>44005</v>
      </c>
      <c r="G38" s="236">
        <f t="shared" si="1"/>
        <v>23</v>
      </c>
      <c r="H38" s="100">
        <v>44007</v>
      </c>
      <c r="I38" s="226">
        <f t="shared" si="2"/>
        <v>2</v>
      </c>
      <c r="J38" s="101">
        <f t="shared" si="3"/>
        <v>40.5</v>
      </c>
      <c r="K38" s="101">
        <v>456789.58</v>
      </c>
      <c r="L38" s="101">
        <f t="shared" si="4"/>
        <v>18499977.990000002</v>
      </c>
    </row>
    <row r="39" spans="1:12">
      <c r="A39" s="54">
        <v>31</v>
      </c>
      <c r="B39" s="95" t="s">
        <v>283</v>
      </c>
      <c r="C39" s="358">
        <v>43983</v>
      </c>
      <c r="D39" s="358">
        <v>44012</v>
      </c>
      <c r="E39" s="236">
        <f t="shared" si="0"/>
        <v>15</v>
      </c>
      <c r="F39" s="359">
        <v>44022</v>
      </c>
      <c r="G39" s="236">
        <f t="shared" si="1"/>
        <v>10</v>
      </c>
      <c r="H39" s="100">
        <v>44027</v>
      </c>
      <c r="I39" s="226">
        <f t="shared" si="2"/>
        <v>5</v>
      </c>
      <c r="J39" s="101">
        <f t="shared" si="3"/>
        <v>30</v>
      </c>
      <c r="K39" s="101">
        <v>1396.45</v>
      </c>
      <c r="L39" s="101">
        <f t="shared" si="4"/>
        <v>41893.5</v>
      </c>
    </row>
    <row r="40" spans="1:12">
      <c r="A40" s="54">
        <v>32</v>
      </c>
      <c r="B40" s="95" t="s">
        <v>285</v>
      </c>
      <c r="C40" s="358">
        <v>43983</v>
      </c>
      <c r="D40" s="358">
        <v>44012</v>
      </c>
      <c r="E40" s="236">
        <f t="shared" si="0"/>
        <v>15</v>
      </c>
      <c r="F40" s="359">
        <v>44022</v>
      </c>
      <c r="G40" s="236">
        <f t="shared" si="1"/>
        <v>10</v>
      </c>
      <c r="H40" s="100">
        <v>44027</v>
      </c>
      <c r="I40" s="226">
        <f t="shared" si="2"/>
        <v>5</v>
      </c>
      <c r="J40" s="101">
        <f t="shared" si="3"/>
        <v>30</v>
      </c>
      <c r="K40" s="101">
        <v>114.61</v>
      </c>
      <c r="L40" s="101">
        <f t="shared" si="4"/>
        <v>3438.3</v>
      </c>
    </row>
    <row r="41" spans="1:12">
      <c r="A41" s="54">
        <v>33</v>
      </c>
      <c r="B41" s="95" t="s">
        <v>286</v>
      </c>
      <c r="C41" s="358">
        <v>43983</v>
      </c>
      <c r="D41" s="358">
        <v>44012</v>
      </c>
      <c r="E41" s="236">
        <f t="shared" si="0"/>
        <v>15</v>
      </c>
      <c r="F41" s="359">
        <v>44022</v>
      </c>
      <c r="G41" s="236">
        <f t="shared" si="1"/>
        <v>10</v>
      </c>
      <c r="H41" s="100">
        <v>44056</v>
      </c>
      <c r="I41" s="226">
        <f t="shared" si="2"/>
        <v>34</v>
      </c>
      <c r="J41" s="101">
        <f t="shared" si="3"/>
        <v>59</v>
      </c>
      <c r="K41" s="101">
        <v>-565.16</v>
      </c>
      <c r="L41" s="101">
        <f t="shared" si="4"/>
        <v>-33344.439999999995</v>
      </c>
    </row>
    <row r="42" spans="1:12">
      <c r="A42" s="54">
        <v>34</v>
      </c>
      <c r="B42" s="95" t="s">
        <v>287</v>
      </c>
      <c r="C42" s="358">
        <v>43983</v>
      </c>
      <c r="D42" s="358">
        <v>44012</v>
      </c>
      <c r="E42" s="236">
        <f t="shared" si="0"/>
        <v>15</v>
      </c>
      <c r="F42" s="359">
        <v>44022</v>
      </c>
      <c r="G42" s="236">
        <f t="shared" si="1"/>
        <v>10</v>
      </c>
      <c r="H42" s="100">
        <v>44027</v>
      </c>
      <c r="I42" s="226">
        <f t="shared" si="2"/>
        <v>5</v>
      </c>
      <c r="J42" s="101">
        <f t="shared" si="3"/>
        <v>30</v>
      </c>
      <c r="K42" s="101">
        <v>5237.87</v>
      </c>
      <c r="L42" s="101">
        <f t="shared" si="4"/>
        <v>157136.1</v>
      </c>
    </row>
    <row r="43" spans="1:12">
      <c r="A43" s="54">
        <v>35</v>
      </c>
      <c r="B43" s="95" t="s">
        <v>292</v>
      </c>
      <c r="C43" s="358">
        <v>43983</v>
      </c>
      <c r="D43" s="358">
        <v>44012</v>
      </c>
      <c r="E43" s="236">
        <f t="shared" si="0"/>
        <v>15</v>
      </c>
      <c r="F43" s="359">
        <v>44034</v>
      </c>
      <c r="G43" s="236">
        <f t="shared" si="1"/>
        <v>22</v>
      </c>
      <c r="H43" s="100">
        <v>44039</v>
      </c>
      <c r="I43" s="226">
        <f t="shared" si="2"/>
        <v>5</v>
      </c>
      <c r="J43" s="101">
        <f t="shared" si="3"/>
        <v>42</v>
      </c>
      <c r="K43" s="101">
        <v>45614.31</v>
      </c>
      <c r="L43" s="101">
        <f t="shared" si="4"/>
        <v>1915801.02</v>
      </c>
    </row>
    <row r="44" spans="1:12">
      <c r="A44" s="54">
        <v>36</v>
      </c>
      <c r="B44" s="95" t="s">
        <v>292</v>
      </c>
      <c r="C44" s="358">
        <v>43983</v>
      </c>
      <c r="D44" s="358">
        <v>44012</v>
      </c>
      <c r="E44" s="236">
        <f t="shared" si="0"/>
        <v>15</v>
      </c>
      <c r="F44" s="359">
        <v>44036</v>
      </c>
      <c r="G44" s="236">
        <f t="shared" si="1"/>
        <v>24</v>
      </c>
      <c r="H44" s="100">
        <v>44039</v>
      </c>
      <c r="I44" s="226">
        <f t="shared" si="2"/>
        <v>3</v>
      </c>
      <c r="J44" s="101">
        <f t="shared" si="3"/>
        <v>42</v>
      </c>
      <c r="K44" s="101">
        <v>1987746.39</v>
      </c>
      <c r="L44" s="101">
        <f t="shared" si="4"/>
        <v>83485348.379999995</v>
      </c>
    </row>
    <row r="45" spans="1:12">
      <c r="A45" s="54">
        <v>37</v>
      </c>
      <c r="B45" s="95" t="s">
        <v>288</v>
      </c>
      <c r="C45" s="358">
        <v>43983</v>
      </c>
      <c r="D45" s="358">
        <v>44012</v>
      </c>
      <c r="E45" s="236">
        <f t="shared" si="0"/>
        <v>15</v>
      </c>
      <c r="F45" s="359">
        <v>44025</v>
      </c>
      <c r="G45" s="236">
        <f t="shared" si="1"/>
        <v>13</v>
      </c>
      <c r="H45" s="100">
        <v>44035</v>
      </c>
      <c r="I45" s="226">
        <f t="shared" si="2"/>
        <v>10</v>
      </c>
      <c r="J45" s="101">
        <f t="shared" si="3"/>
        <v>38</v>
      </c>
      <c r="K45" s="101">
        <v>173787.83</v>
      </c>
      <c r="L45" s="101">
        <f t="shared" si="4"/>
        <v>6603937.5399999991</v>
      </c>
    </row>
    <row r="46" spans="1:12">
      <c r="A46" s="54">
        <v>38</v>
      </c>
      <c r="B46" s="95" t="s">
        <v>289</v>
      </c>
      <c r="C46" s="358">
        <v>43983</v>
      </c>
      <c r="D46" s="358">
        <v>44012</v>
      </c>
      <c r="E46" s="236">
        <f t="shared" si="0"/>
        <v>15</v>
      </c>
      <c r="F46" s="359">
        <v>44022</v>
      </c>
      <c r="G46" s="236">
        <f t="shared" si="1"/>
        <v>10</v>
      </c>
      <c r="H46" s="100">
        <v>44032</v>
      </c>
      <c r="I46" s="226">
        <f t="shared" si="2"/>
        <v>10</v>
      </c>
      <c r="J46" s="101">
        <f t="shared" si="3"/>
        <v>35</v>
      </c>
      <c r="K46" s="101">
        <v>1209327.8999999999</v>
      </c>
      <c r="L46" s="101">
        <f t="shared" si="4"/>
        <v>42326476.5</v>
      </c>
    </row>
    <row r="47" spans="1:12">
      <c r="A47" s="54">
        <v>39</v>
      </c>
      <c r="B47" s="95" t="s">
        <v>290</v>
      </c>
      <c r="C47" s="358">
        <v>43983</v>
      </c>
      <c r="D47" s="358">
        <v>44012</v>
      </c>
      <c r="E47" s="236">
        <f t="shared" si="0"/>
        <v>15</v>
      </c>
      <c r="F47" s="359">
        <v>44022</v>
      </c>
      <c r="G47" s="236">
        <f t="shared" si="1"/>
        <v>10</v>
      </c>
      <c r="H47" s="100">
        <v>44032</v>
      </c>
      <c r="I47" s="226">
        <f t="shared" si="2"/>
        <v>10</v>
      </c>
      <c r="J47" s="101">
        <f t="shared" si="3"/>
        <v>35</v>
      </c>
      <c r="K47" s="101">
        <v>6652.75</v>
      </c>
      <c r="L47" s="101">
        <f t="shared" si="4"/>
        <v>232846.25</v>
      </c>
    </row>
    <row r="48" spans="1:12">
      <c r="A48" s="54">
        <v>40</v>
      </c>
      <c r="B48" s="95" t="s">
        <v>291</v>
      </c>
      <c r="C48" s="358">
        <v>43983</v>
      </c>
      <c r="D48" s="358">
        <v>44012</v>
      </c>
      <c r="E48" s="236">
        <f t="shared" si="0"/>
        <v>15</v>
      </c>
      <c r="F48" s="359">
        <v>44034</v>
      </c>
      <c r="G48" s="236">
        <f t="shared" si="1"/>
        <v>22</v>
      </c>
      <c r="H48" s="100">
        <v>44039</v>
      </c>
      <c r="I48" s="226">
        <f t="shared" si="2"/>
        <v>5</v>
      </c>
      <c r="J48" s="101">
        <f t="shared" si="3"/>
        <v>42</v>
      </c>
      <c r="K48" s="101">
        <v>364122.48</v>
      </c>
      <c r="L48" s="101">
        <f t="shared" si="4"/>
        <v>15293144.16</v>
      </c>
    </row>
    <row r="49" spans="1:12">
      <c r="A49" s="54">
        <v>41</v>
      </c>
      <c r="B49" s="95" t="s">
        <v>283</v>
      </c>
      <c r="C49" s="358">
        <v>44013</v>
      </c>
      <c r="D49" s="358">
        <v>44043</v>
      </c>
      <c r="E49" s="236">
        <f t="shared" si="0"/>
        <v>15.5</v>
      </c>
      <c r="F49" s="359">
        <v>44063</v>
      </c>
      <c r="G49" s="236">
        <f t="shared" si="1"/>
        <v>20</v>
      </c>
      <c r="H49" s="100">
        <v>44069</v>
      </c>
      <c r="I49" s="226">
        <f t="shared" si="2"/>
        <v>6</v>
      </c>
      <c r="J49" s="101">
        <f t="shared" si="3"/>
        <v>41.5</v>
      </c>
      <c r="K49" s="101">
        <v>1413.07</v>
      </c>
      <c r="L49" s="101">
        <f t="shared" si="4"/>
        <v>58642.404999999999</v>
      </c>
    </row>
    <row r="50" spans="1:12">
      <c r="A50" s="54">
        <v>42</v>
      </c>
      <c r="B50" s="95" t="s">
        <v>285</v>
      </c>
      <c r="C50" s="358">
        <v>44013</v>
      </c>
      <c r="D50" s="358">
        <v>44043</v>
      </c>
      <c r="E50" s="236">
        <f t="shared" si="0"/>
        <v>15.5</v>
      </c>
      <c r="F50" s="359">
        <v>44063</v>
      </c>
      <c r="G50" s="236">
        <f t="shared" si="1"/>
        <v>20</v>
      </c>
      <c r="H50" s="100">
        <v>44069</v>
      </c>
      <c r="I50" s="226">
        <f t="shared" si="2"/>
        <v>6</v>
      </c>
      <c r="J50" s="101">
        <f t="shared" si="3"/>
        <v>41.5</v>
      </c>
      <c r="K50" s="101">
        <v>138.22</v>
      </c>
      <c r="L50" s="101">
        <f t="shared" si="4"/>
        <v>5736.13</v>
      </c>
    </row>
    <row r="51" spans="1:12">
      <c r="A51" s="54">
        <v>43</v>
      </c>
      <c r="B51" s="95" t="s">
        <v>286</v>
      </c>
      <c r="C51" s="358">
        <v>44013</v>
      </c>
      <c r="D51" s="358">
        <v>44043</v>
      </c>
      <c r="E51" s="236">
        <f t="shared" si="0"/>
        <v>15.5</v>
      </c>
      <c r="F51" s="359">
        <v>44054</v>
      </c>
      <c r="G51" s="236">
        <f t="shared" si="1"/>
        <v>11</v>
      </c>
      <c r="H51" s="100">
        <v>44056</v>
      </c>
      <c r="I51" s="226">
        <f t="shared" si="2"/>
        <v>2</v>
      </c>
      <c r="J51" s="101">
        <f t="shared" si="3"/>
        <v>28.5</v>
      </c>
      <c r="K51" s="101">
        <v>948.5</v>
      </c>
      <c r="L51" s="101">
        <f t="shared" si="4"/>
        <v>27032.25</v>
      </c>
    </row>
    <row r="52" spans="1:12">
      <c r="A52" s="54">
        <v>44</v>
      </c>
      <c r="B52" s="95" t="s">
        <v>287</v>
      </c>
      <c r="C52" s="358">
        <v>44013</v>
      </c>
      <c r="D52" s="358">
        <v>44043</v>
      </c>
      <c r="E52" s="236">
        <f t="shared" si="0"/>
        <v>15.5</v>
      </c>
      <c r="F52" s="359">
        <v>44063</v>
      </c>
      <c r="G52" s="236">
        <f t="shared" si="1"/>
        <v>20</v>
      </c>
      <c r="H52" s="100">
        <v>44069</v>
      </c>
      <c r="I52" s="226">
        <f t="shared" si="2"/>
        <v>6</v>
      </c>
      <c r="J52" s="101">
        <f t="shared" si="3"/>
        <v>41.5</v>
      </c>
      <c r="K52" s="101">
        <v>7153.45</v>
      </c>
      <c r="L52" s="101">
        <f t="shared" si="4"/>
        <v>296868.17499999999</v>
      </c>
    </row>
    <row r="53" spans="1:12">
      <c r="A53" s="54">
        <v>45</v>
      </c>
      <c r="B53" s="95" t="s">
        <v>292</v>
      </c>
      <c r="C53" s="358">
        <v>44013</v>
      </c>
      <c r="D53" s="358">
        <v>44043</v>
      </c>
      <c r="E53" s="236">
        <f t="shared" si="0"/>
        <v>15.5</v>
      </c>
      <c r="F53" s="359">
        <v>44065</v>
      </c>
      <c r="G53" s="236">
        <f t="shared" si="1"/>
        <v>22</v>
      </c>
      <c r="H53" s="100">
        <v>44068</v>
      </c>
      <c r="I53" s="226">
        <f t="shared" si="2"/>
        <v>3</v>
      </c>
      <c r="J53" s="101">
        <f t="shared" si="3"/>
        <v>40.5</v>
      </c>
      <c r="K53" s="101">
        <v>1674023.14</v>
      </c>
      <c r="L53" s="101">
        <f t="shared" si="4"/>
        <v>67797937.170000002</v>
      </c>
    </row>
    <row r="54" spans="1:12">
      <c r="A54" s="54">
        <v>46</v>
      </c>
      <c r="B54" s="95" t="s">
        <v>292</v>
      </c>
      <c r="C54" s="358">
        <v>44013</v>
      </c>
      <c r="D54" s="358">
        <v>44043</v>
      </c>
      <c r="E54" s="236">
        <f t="shared" si="0"/>
        <v>15.5</v>
      </c>
      <c r="F54" s="359">
        <v>44063</v>
      </c>
      <c r="G54" s="236">
        <f t="shared" si="1"/>
        <v>20</v>
      </c>
      <c r="H54" s="100">
        <v>44068</v>
      </c>
      <c r="I54" s="226">
        <f t="shared" si="2"/>
        <v>5</v>
      </c>
      <c r="J54" s="101">
        <f t="shared" si="3"/>
        <v>40.5</v>
      </c>
      <c r="K54" s="101">
        <v>40403.769999999997</v>
      </c>
      <c r="L54" s="101">
        <f t="shared" si="4"/>
        <v>1636352.6849999998</v>
      </c>
    </row>
    <row r="55" spans="1:12">
      <c r="A55" s="54">
        <v>47</v>
      </c>
      <c r="B55" s="95" t="s">
        <v>288</v>
      </c>
      <c r="C55" s="358">
        <v>44013</v>
      </c>
      <c r="D55" s="358">
        <v>44043</v>
      </c>
      <c r="E55" s="236">
        <f t="shared" si="0"/>
        <v>15.5</v>
      </c>
      <c r="F55" s="359">
        <v>44056</v>
      </c>
      <c r="G55" s="236">
        <f t="shared" si="1"/>
        <v>13</v>
      </c>
      <c r="H55" s="100">
        <v>44067</v>
      </c>
      <c r="I55" s="226">
        <f t="shared" si="2"/>
        <v>11</v>
      </c>
      <c r="J55" s="101">
        <f t="shared" si="3"/>
        <v>39.5</v>
      </c>
      <c r="K55" s="101">
        <v>173787.83</v>
      </c>
      <c r="L55" s="101">
        <f t="shared" si="4"/>
        <v>6864619.2849999992</v>
      </c>
    </row>
    <row r="56" spans="1:12">
      <c r="A56" s="54">
        <v>48</v>
      </c>
      <c r="B56" s="95" t="s">
        <v>289</v>
      </c>
      <c r="C56" s="358">
        <v>44013</v>
      </c>
      <c r="D56" s="358">
        <v>44043</v>
      </c>
      <c r="E56" s="236">
        <f t="shared" si="0"/>
        <v>15.5</v>
      </c>
      <c r="F56" s="359">
        <v>44055</v>
      </c>
      <c r="G56" s="236">
        <f t="shared" si="1"/>
        <v>12</v>
      </c>
      <c r="H56" s="100">
        <v>44064</v>
      </c>
      <c r="I56" s="226">
        <f t="shared" si="2"/>
        <v>9</v>
      </c>
      <c r="J56" s="101">
        <f t="shared" si="3"/>
        <v>36.5</v>
      </c>
      <c r="K56" s="101">
        <v>1249638.83</v>
      </c>
      <c r="L56" s="101">
        <f t="shared" si="4"/>
        <v>45611817.295000002</v>
      </c>
    </row>
    <row r="57" spans="1:12">
      <c r="A57" s="54">
        <v>49</v>
      </c>
      <c r="B57" s="95" t="s">
        <v>290</v>
      </c>
      <c r="C57" s="358">
        <v>44013</v>
      </c>
      <c r="D57" s="358">
        <v>44043</v>
      </c>
      <c r="E57" s="236">
        <f t="shared" si="0"/>
        <v>15.5</v>
      </c>
      <c r="F57" s="359">
        <v>44054</v>
      </c>
      <c r="G57" s="236">
        <f t="shared" si="1"/>
        <v>11</v>
      </c>
      <c r="H57" s="100">
        <v>44063</v>
      </c>
      <c r="I57" s="226">
        <f t="shared" si="2"/>
        <v>9</v>
      </c>
      <c r="J57" s="101">
        <f t="shared" si="3"/>
        <v>35.5</v>
      </c>
      <c r="K57" s="101">
        <v>6988.74</v>
      </c>
      <c r="L57" s="101">
        <f t="shared" si="4"/>
        <v>248100.27</v>
      </c>
    </row>
    <row r="58" spans="1:12">
      <c r="A58" s="54">
        <v>50</v>
      </c>
      <c r="B58" s="95" t="s">
        <v>291</v>
      </c>
      <c r="C58" s="358">
        <v>44013</v>
      </c>
      <c r="D58" s="358">
        <v>44043</v>
      </c>
      <c r="E58" s="236">
        <f t="shared" si="0"/>
        <v>15.5</v>
      </c>
      <c r="F58" s="359">
        <v>44063</v>
      </c>
      <c r="G58" s="236">
        <f t="shared" si="1"/>
        <v>20</v>
      </c>
      <c r="H58" s="100">
        <v>44068</v>
      </c>
      <c r="I58" s="226">
        <f t="shared" si="2"/>
        <v>5</v>
      </c>
      <c r="J58" s="101">
        <f t="shared" si="3"/>
        <v>40.5</v>
      </c>
      <c r="K58" s="101">
        <v>261453.46</v>
      </c>
      <c r="L58" s="101">
        <f t="shared" si="4"/>
        <v>10588865.129999999</v>
      </c>
    </row>
    <row r="59" spans="1:12">
      <c r="A59" s="54">
        <v>51</v>
      </c>
      <c r="B59" s="95" t="s">
        <v>283</v>
      </c>
      <c r="C59" s="358">
        <v>44044</v>
      </c>
      <c r="D59" s="358">
        <v>44074</v>
      </c>
      <c r="E59" s="236">
        <f t="shared" si="0"/>
        <v>15.5</v>
      </c>
      <c r="F59" s="359">
        <v>44088</v>
      </c>
      <c r="G59" s="236">
        <f t="shared" si="1"/>
        <v>14</v>
      </c>
      <c r="H59" s="100">
        <v>44098</v>
      </c>
      <c r="I59" s="226">
        <f t="shared" si="2"/>
        <v>10</v>
      </c>
      <c r="J59" s="101">
        <f t="shared" si="3"/>
        <v>39.5</v>
      </c>
      <c r="K59" s="101">
        <v>1709.1</v>
      </c>
      <c r="L59" s="101">
        <f t="shared" si="4"/>
        <v>67509.45</v>
      </c>
    </row>
    <row r="60" spans="1:12">
      <c r="A60" s="54">
        <v>52</v>
      </c>
      <c r="B60" s="95" t="s">
        <v>285</v>
      </c>
      <c r="C60" s="358">
        <v>44044</v>
      </c>
      <c r="D60" s="358">
        <v>44074</v>
      </c>
      <c r="E60" s="236">
        <f t="shared" si="0"/>
        <v>15.5</v>
      </c>
      <c r="F60" s="359">
        <v>44088</v>
      </c>
      <c r="G60" s="236">
        <f t="shared" si="1"/>
        <v>14</v>
      </c>
      <c r="H60" s="100">
        <v>44102</v>
      </c>
      <c r="I60" s="226">
        <f t="shared" si="2"/>
        <v>14</v>
      </c>
      <c r="J60" s="101">
        <f t="shared" si="3"/>
        <v>43.5</v>
      </c>
      <c r="K60" s="101">
        <v>154.04</v>
      </c>
      <c r="L60" s="101">
        <f t="shared" si="4"/>
        <v>6700.74</v>
      </c>
    </row>
    <row r="61" spans="1:12">
      <c r="A61" s="54">
        <v>53</v>
      </c>
      <c r="B61" s="95" t="s">
        <v>286</v>
      </c>
      <c r="C61" s="358">
        <v>44044</v>
      </c>
      <c r="D61" s="358">
        <v>44074</v>
      </c>
      <c r="E61" s="236">
        <f t="shared" si="0"/>
        <v>15.5</v>
      </c>
      <c r="F61" s="359">
        <v>44088</v>
      </c>
      <c r="G61" s="236">
        <f t="shared" si="1"/>
        <v>14</v>
      </c>
      <c r="H61" s="100">
        <v>44092</v>
      </c>
      <c r="I61" s="226">
        <f t="shared" si="2"/>
        <v>4</v>
      </c>
      <c r="J61" s="101">
        <f t="shared" si="3"/>
        <v>33.5</v>
      </c>
      <c r="K61" s="101">
        <v>-1918.76</v>
      </c>
      <c r="L61" s="101">
        <f t="shared" si="4"/>
        <v>-64278.46</v>
      </c>
    </row>
    <row r="62" spans="1:12">
      <c r="A62" s="54">
        <v>54</v>
      </c>
      <c r="B62" s="95" t="s">
        <v>287</v>
      </c>
      <c r="C62" s="358">
        <v>44044</v>
      </c>
      <c r="D62" s="358">
        <v>44074</v>
      </c>
      <c r="E62" s="236">
        <f t="shared" si="0"/>
        <v>15.5</v>
      </c>
      <c r="F62" s="359">
        <v>44088</v>
      </c>
      <c r="G62" s="236">
        <f t="shared" si="1"/>
        <v>14</v>
      </c>
      <c r="H62" s="100">
        <v>44098</v>
      </c>
      <c r="I62" s="226">
        <f t="shared" si="2"/>
        <v>10</v>
      </c>
      <c r="J62" s="101">
        <f t="shared" si="3"/>
        <v>39.5</v>
      </c>
      <c r="K62" s="101">
        <v>7527.18</v>
      </c>
      <c r="L62" s="101">
        <f t="shared" si="4"/>
        <v>297323.61</v>
      </c>
    </row>
    <row r="63" spans="1:12">
      <c r="A63" s="54">
        <v>55</v>
      </c>
      <c r="B63" s="95" t="s">
        <v>292</v>
      </c>
      <c r="C63" s="358">
        <v>44044</v>
      </c>
      <c r="D63" s="358">
        <v>44074</v>
      </c>
      <c r="E63" s="236">
        <f t="shared" si="0"/>
        <v>15.5</v>
      </c>
      <c r="F63" s="359">
        <v>44098</v>
      </c>
      <c r="G63" s="236">
        <f t="shared" si="1"/>
        <v>24</v>
      </c>
      <c r="H63" s="100">
        <v>44099</v>
      </c>
      <c r="I63" s="226">
        <f t="shared" si="2"/>
        <v>1</v>
      </c>
      <c r="J63" s="101">
        <f t="shared" si="3"/>
        <v>40.5</v>
      </c>
      <c r="K63" s="101">
        <v>2384628.5</v>
      </c>
      <c r="L63" s="101">
        <f t="shared" si="4"/>
        <v>96577454.25</v>
      </c>
    </row>
    <row r="64" spans="1:12">
      <c r="A64" s="54">
        <v>56</v>
      </c>
      <c r="B64" s="95" t="s">
        <v>292</v>
      </c>
      <c r="C64" s="358">
        <v>44044</v>
      </c>
      <c r="D64" s="358">
        <v>44074</v>
      </c>
      <c r="E64" s="236">
        <f t="shared" si="0"/>
        <v>15.5</v>
      </c>
      <c r="F64" s="359">
        <v>44096</v>
      </c>
      <c r="G64" s="236">
        <f t="shared" si="1"/>
        <v>22</v>
      </c>
      <c r="H64" s="100">
        <v>44099</v>
      </c>
      <c r="I64" s="226">
        <f t="shared" si="2"/>
        <v>3</v>
      </c>
      <c r="J64" s="101">
        <f t="shared" si="3"/>
        <v>40.5</v>
      </c>
      <c r="K64" s="101">
        <v>64856.56</v>
      </c>
      <c r="L64" s="101">
        <f t="shared" si="4"/>
        <v>2626690.6799999997</v>
      </c>
    </row>
    <row r="65" spans="1:12">
      <c r="A65" s="54">
        <v>57</v>
      </c>
      <c r="B65" s="95" t="s">
        <v>288</v>
      </c>
      <c r="C65" s="358">
        <v>44044</v>
      </c>
      <c r="D65" s="358">
        <v>44074</v>
      </c>
      <c r="E65" s="236">
        <f t="shared" si="0"/>
        <v>15.5</v>
      </c>
      <c r="F65" s="359">
        <v>44090</v>
      </c>
      <c r="G65" s="236">
        <f t="shared" si="1"/>
        <v>16</v>
      </c>
      <c r="H65" s="100">
        <v>44095</v>
      </c>
      <c r="I65" s="226">
        <f t="shared" si="2"/>
        <v>5</v>
      </c>
      <c r="J65" s="101">
        <f t="shared" si="3"/>
        <v>36.5</v>
      </c>
      <c r="K65" s="101">
        <v>173787.83</v>
      </c>
      <c r="L65" s="101">
        <f t="shared" si="4"/>
        <v>6343255.7949999999</v>
      </c>
    </row>
    <row r="66" spans="1:12">
      <c r="A66" s="54">
        <v>58</v>
      </c>
      <c r="B66" s="95" t="s">
        <v>289</v>
      </c>
      <c r="C66" s="358">
        <v>44044</v>
      </c>
      <c r="D66" s="358">
        <v>44074</v>
      </c>
      <c r="E66" s="236">
        <f t="shared" si="0"/>
        <v>15.5</v>
      </c>
      <c r="F66" s="359">
        <v>44088</v>
      </c>
      <c r="G66" s="236">
        <f t="shared" si="1"/>
        <v>14</v>
      </c>
      <c r="H66" s="100">
        <v>44095</v>
      </c>
      <c r="I66" s="226">
        <f t="shared" si="2"/>
        <v>7</v>
      </c>
      <c r="J66" s="101">
        <f t="shared" si="3"/>
        <v>36.5</v>
      </c>
      <c r="K66" s="101">
        <v>1249638.83</v>
      </c>
      <c r="L66" s="101">
        <f t="shared" si="4"/>
        <v>45611817.295000002</v>
      </c>
    </row>
    <row r="67" spans="1:12">
      <c r="A67" s="54">
        <v>59</v>
      </c>
      <c r="B67" s="95" t="s">
        <v>290</v>
      </c>
      <c r="C67" s="358">
        <v>44044</v>
      </c>
      <c r="D67" s="358">
        <v>44074</v>
      </c>
      <c r="E67" s="236">
        <f t="shared" si="0"/>
        <v>15.5</v>
      </c>
      <c r="F67" s="359">
        <v>44088</v>
      </c>
      <c r="G67" s="236">
        <f t="shared" si="1"/>
        <v>14</v>
      </c>
      <c r="H67" s="100">
        <v>44095</v>
      </c>
      <c r="I67" s="226">
        <f t="shared" si="2"/>
        <v>7</v>
      </c>
      <c r="J67" s="101">
        <f t="shared" si="3"/>
        <v>36.5</v>
      </c>
      <c r="K67" s="101">
        <v>7111.46</v>
      </c>
      <c r="L67" s="101">
        <f t="shared" si="4"/>
        <v>259568.29</v>
      </c>
    </row>
    <row r="68" spans="1:12">
      <c r="A68" s="54">
        <v>60</v>
      </c>
      <c r="B68" s="95" t="s">
        <v>291</v>
      </c>
      <c r="C68" s="358">
        <v>44044</v>
      </c>
      <c r="D68" s="358">
        <v>44074</v>
      </c>
      <c r="E68" s="236">
        <f t="shared" si="0"/>
        <v>15.5</v>
      </c>
      <c r="F68" s="359">
        <v>44096</v>
      </c>
      <c r="G68" s="236">
        <f t="shared" si="1"/>
        <v>22</v>
      </c>
      <c r="H68" s="100">
        <v>44099</v>
      </c>
      <c r="I68" s="226">
        <f t="shared" si="2"/>
        <v>3</v>
      </c>
      <c r="J68" s="101">
        <f t="shared" si="3"/>
        <v>40.5</v>
      </c>
      <c r="K68" s="101">
        <v>356875.4</v>
      </c>
      <c r="L68" s="101">
        <f t="shared" si="4"/>
        <v>14453453.700000001</v>
      </c>
    </row>
    <row r="69" spans="1:12">
      <c r="A69" s="54">
        <v>61</v>
      </c>
      <c r="B69" s="95" t="s">
        <v>283</v>
      </c>
      <c r="C69" s="358">
        <v>44075</v>
      </c>
      <c r="D69" s="358">
        <v>44104</v>
      </c>
      <c r="E69" s="236">
        <f t="shared" si="0"/>
        <v>15</v>
      </c>
      <c r="F69" s="359">
        <v>44125</v>
      </c>
      <c r="G69" s="236">
        <f t="shared" si="1"/>
        <v>21</v>
      </c>
      <c r="H69" s="100">
        <v>44127</v>
      </c>
      <c r="I69" s="226">
        <f t="shared" si="2"/>
        <v>2</v>
      </c>
      <c r="J69" s="101">
        <f t="shared" si="3"/>
        <v>38</v>
      </c>
      <c r="K69" s="101">
        <v>1948.91</v>
      </c>
      <c r="L69" s="101">
        <f t="shared" si="4"/>
        <v>74058.58</v>
      </c>
    </row>
    <row r="70" spans="1:12">
      <c r="A70" s="54">
        <v>62</v>
      </c>
      <c r="B70" s="95" t="s">
        <v>285</v>
      </c>
      <c r="C70" s="358">
        <v>44075</v>
      </c>
      <c r="D70" s="358">
        <v>44104</v>
      </c>
      <c r="E70" s="236">
        <f t="shared" si="0"/>
        <v>15</v>
      </c>
      <c r="F70" s="359">
        <v>44125</v>
      </c>
      <c r="G70" s="236">
        <f t="shared" si="1"/>
        <v>21</v>
      </c>
      <c r="H70" s="100">
        <v>44130</v>
      </c>
      <c r="I70" s="226">
        <f t="shared" si="2"/>
        <v>5</v>
      </c>
      <c r="J70" s="101">
        <f t="shared" si="3"/>
        <v>41</v>
      </c>
      <c r="K70" s="101">
        <v>161.07</v>
      </c>
      <c r="L70" s="101">
        <f t="shared" si="4"/>
        <v>6603.87</v>
      </c>
    </row>
    <row r="71" spans="1:12">
      <c r="A71" s="54">
        <v>63</v>
      </c>
      <c r="B71" s="95" t="s">
        <v>286</v>
      </c>
      <c r="C71" s="358">
        <v>44075</v>
      </c>
      <c r="D71" s="358">
        <v>44104</v>
      </c>
      <c r="E71" s="236">
        <f t="shared" si="0"/>
        <v>15</v>
      </c>
      <c r="F71" s="359">
        <v>44117</v>
      </c>
      <c r="G71" s="236">
        <f t="shared" si="1"/>
        <v>13</v>
      </c>
      <c r="H71" s="100">
        <v>44120</v>
      </c>
      <c r="I71" s="226">
        <f t="shared" si="2"/>
        <v>3</v>
      </c>
      <c r="J71" s="101">
        <f t="shared" si="3"/>
        <v>31</v>
      </c>
      <c r="K71" s="101">
        <v>-1253.6099999999999</v>
      </c>
      <c r="L71" s="101">
        <f t="shared" si="4"/>
        <v>-38861.909999999996</v>
      </c>
    </row>
    <row r="72" spans="1:12">
      <c r="A72" s="54">
        <v>64</v>
      </c>
      <c r="B72" s="95" t="s">
        <v>287</v>
      </c>
      <c r="C72" s="358">
        <v>44075</v>
      </c>
      <c r="D72" s="358">
        <v>44104</v>
      </c>
      <c r="E72" s="236">
        <f t="shared" si="0"/>
        <v>15</v>
      </c>
      <c r="F72" s="359">
        <v>44125</v>
      </c>
      <c r="G72" s="236">
        <f t="shared" si="1"/>
        <v>21</v>
      </c>
      <c r="H72" s="100">
        <v>44127</v>
      </c>
      <c r="I72" s="226">
        <f t="shared" si="2"/>
        <v>2</v>
      </c>
      <c r="J72" s="101">
        <f t="shared" si="3"/>
        <v>38</v>
      </c>
      <c r="K72" s="101">
        <v>8245.17</v>
      </c>
      <c r="L72" s="101">
        <f t="shared" si="4"/>
        <v>313316.46000000002</v>
      </c>
    </row>
    <row r="73" spans="1:12">
      <c r="A73" s="54">
        <v>65</v>
      </c>
      <c r="B73" s="95" t="s">
        <v>292</v>
      </c>
      <c r="C73" s="358">
        <v>44075</v>
      </c>
      <c r="D73" s="358">
        <v>44104</v>
      </c>
      <c r="E73" s="236">
        <f t="shared" si="0"/>
        <v>15</v>
      </c>
      <c r="F73" s="359">
        <v>44127</v>
      </c>
      <c r="G73" s="236">
        <f t="shared" si="1"/>
        <v>23</v>
      </c>
      <c r="H73" s="100">
        <v>44130</v>
      </c>
      <c r="I73" s="226">
        <f t="shared" si="2"/>
        <v>3</v>
      </c>
      <c r="J73" s="101">
        <f t="shared" si="3"/>
        <v>41</v>
      </c>
      <c r="K73" s="101">
        <v>3157938.54</v>
      </c>
      <c r="L73" s="101">
        <f t="shared" si="4"/>
        <v>129475480.14</v>
      </c>
    </row>
    <row r="74" spans="1:12">
      <c r="A74" s="54">
        <v>66</v>
      </c>
      <c r="B74" s="95" t="s">
        <v>292</v>
      </c>
      <c r="C74" s="358">
        <v>44075</v>
      </c>
      <c r="D74" s="358">
        <v>44104</v>
      </c>
      <c r="E74" s="236">
        <f t="shared" ref="E74:E124" si="5">(D74-C74+1)/2</f>
        <v>15</v>
      </c>
      <c r="F74" s="359">
        <v>44125</v>
      </c>
      <c r="G74" s="236">
        <f t="shared" ref="G74:G124" si="6">+F74-D74</f>
        <v>21</v>
      </c>
      <c r="H74" s="100">
        <v>44130</v>
      </c>
      <c r="I74" s="226">
        <f t="shared" ref="I74:I124" si="7">+H74-F74</f>
        <v>5</v>
      </c>
      <c r="J74" s="101">
        <f t="shared" ref="J74:J124" si="8">+I74+G74+E74</f>
        <v>41</v>
      </c>
      <c r="K74" s="101">
        <v>70129.100000000006</v>
      </c>
      <c r="L74" s="101">
        <f t="shared" si="4"/>
        <v>2875293.1</v>
      </c>
    </row>
    <row r="75" spans="1:12">
      <c r="A75" s="54">
        <v>67</v>
      </c>
      <c r="B75" s="95" t="s">
        <v>288</v>
      </c>
      <c r="C75" s="358">
        <v>44075</v>
      </c>
      <c r="D75" s="358">
        <v>44104</v>
      </c>
      <c r="E75" s="236">
        <f t="shared" si="5"/>
        <v>15</v>
      </c>
      <c r="F75" s="359">
        <v>44118</v>
      </c>
      <c r="G75" s="236">
        <f t="shared" si="6"/>
        <v>14</v>
      </c>
      <c r="H75" s="100">
        <v>44126</v>
      </c>
      <c r="I75" s="226">
        <f t="shared" si="7"/>
        <v>8</v>
      </c>
      <c r="J75" s="101">
        <f t="shared" si="8"/>
        <v>37</v>
      </c>
      <c r="K75" s="101">
        <v>173787.83</v>
      </c>
      <c r="L75" s="101">
        <f t="shared" si="4"/>
        <v>6430149.71</v>
      </c>
    </row>
    <row r="76" spans="1:12">
      <c r="A76" s="54">
        <v>68</v>
      </c>
      <c r="B76" s="95" t="s">
        <v>289</v>
      </c>
      <c r="C76" s="358">
        <v>44075</v>
      </c>
      <c r="D76" s="358">
        <v>44104</v>
      </c>
      <c r="E76" s="236">
        <f t="shared" si="5"/>
        <v>15</v>
      </c>
      <c r="F76" s="359">
        <v>44118</v>
      </c>
      <c r="G76" s="236">
        <f t="shared" si="6"/>
        <v>14</v>
      </c>
      <c r="H76" s="100">
        <v>44123</v>
      </c>
      <c r="I76" s="226">
        <f t="shared" si="7"/>
        <v>5</v>
      </c>
      <c r="J76" s="101">
        <f t="shared" si="8"/>
        <v>34</v>
      </c>
      <c r="K76" s="101">
        <v>1209327.8999999999</v>
      </c>
      <c r="L76" s="101">
        <f t="shared" si="4"/>
        <v>41117148.599999994</v>
      </c>
    </row>
    <row r="77" spans="1:12">
      <c r="A77" s="54">
        <v>69</v>
      </c>
      <c r="B77" s="95" t="s">
        <v>290</v>
      </c>
      <c r="C77" s="358">
        <v>44075</v>
      </c>
      <c r="D77" s="358">
        <v>44104</v>
      </c>
      <c r="E77" s="236">
        <f t="shared" si="5"/>
        <v>15</v>
      </c>
      <c r="F77" s="359">
        <v>44118</v>
      </c>
      <c r="G77" s="236">
        <f t="shared" si="6"/>
        <v>14</v>
      </c>
      <c r="H77" s="100">
        <v>44124</v>
      </c>
      <c r="I77" s="226">
        <f t="shared" si="7"/>
        <v>6</v>
      </c>
      <c r="J77" s="101">
        <f t="shared" si="8"/>
        <v>35</v>
      </c>
      <c r="K77" s="101">
        <v>6655.34</v>
      </c>
      <c r="L77" s="101">
        <f t="shared" si="4"/>
        <v>232936.9</v>
      </c>
    </row>
    <row r="78" spans="1:12">
      <c r="A78" s="54">
        <v>70</v>
      </c>
      <c r="B78" s="95" t="s">
        <v>291</v>
      </c>
      <c r="C78" s="358">
        <v>44075</v>
      </c>
      <c r="D78" s="358">
        <v>44104</v>
      </c>
      <c r="E78" s="236">
        <f t="shared" si="5"/>
        <v>15</v>
      </c>
      <c r="F78" s="359">
        <v>44126</v>
      </c>
      <c r="G78" s="236">
        <f t="shared" si="6"/>
        <v>22</v>
      </c>
      <c r="H78" s="100">
        <v>44130</v>
      </c>
      <c r="I78" s="226">
        <f t="shared" si="7"/>
        <v>4</v>
      </c>
      <c r="J78" s="101">
        <f t="shared" si="8"/>
        <v>41</v>
      </c>
      <c r="K78" s="101">
        <v>547815.43000000005</v>
      </c>
      <c r="L78" s="101">
        <f t="shared" si="4"/>
        <v>22460432.630000003</v>
      </c>
    </row>
    <row r="79" spans="1:12">
      <c r="A79" s="54">
        <v>71</v>
      </c>
      <c r="B79" s="95" t="s">
        <v>283</v>
      </c>
      <c r="C79" s="358">
        <v>44105</v>
      </c>
      <c r="D79" s="358">
        <v>44135</v>
      </c>
      <c r="E79" s="236">
        <f t="shared" si="5"/>
        <v>15.5</v>
      </c>
      <c r="F79" s="359">
        <v>44153</v>
      </c>
      <c r="G79" s="236">
        <f t="shared" si="6"/>
        <v>18</v>
      </c>
      <c r="H79" s="100">
        <v>44159</v>
      </c>
      <c r="I79" s="226">
        <f t="shared" si="7"/>
        <v>6</v>
      </c>
      <c r="J79" s="101">
        <f t="shared" si="8"/>
        <v>39.5</v>
      </c>
      <c r="K79" s="101">
        <v>1385.88</v>
      </c>
      <c r="L79" s="101">
        <f t="shared" si="4"/>
        <v>54742.26</v>
      </c>
    </row>
    <row r="80" spans="1:12">
      <c r="A80" s="54">
        <v>72</v>
      </c>
      <c r="B80" s="95" t="s">
        <v>285</v>
      </c>
      <c r="C80" s="358">
        <v>44105</v>
      </c>
      <c r="D80" s="358">
        <v>44135</v>
      </c>
      <c r="E80" s="236">
        <f t="shared" si="5"/>
        <v>15.5</v>
      </c>
      <c r="F80" s="359">
        <v>44154</v>
      </c>
      <c r="G80" s="236">
        <f t="shared" si="6"/>
        <v>19</v>
      </c>
      <c r="H80" s="100">
        <v>44160</v>
      </c>
      <c r="I80" s="226">
        <f t="shared" si="7"/>
        <v>6</v>
      </c>
      <c r="J80" s="101">
        <f t="shared" si="8"/>
        <v>40.5</v>
      </c>
      <c r="K80" s="101">
        <v>5.52</v>
      </c>
      <c r="L80" s="101">
        <f t="shared" si="4"/>
        <v>223.55999999999997</v>
      </c>
    </row>
    <row r="81" spans="1:12">
      <c r="A81" s="54">
        <v>73</v>
      </c>
      <c r="B81" s="95" t="s">
        <v>286</v>
      </c>
      <c r="C81" s="358">
        <v>44105</v>
      </c>
      <c r="D81" s="358">
        <v>44135</v>
      </c>
      <c r="E81" s="236">
        <f t="shared" si="5"/>
        <v>15.5</v>
      </c>
      <c r="F81" s="359">
        <v>44148</v>
      </c>
      <c r="G81" s="236">
        <f t="shared" si="6"/>
        <v>13</v>
      </c>
      <c r="H81" s="100">
        <v>44152</v>
      </c>
      <c r="I81" s="226">
        <f t="shared" si="7"/>
        <v>4</v>
      </c>
      <c r="J81" s="101">
        <f t="shared" si="8"/>
        <v>32.5</v>
      </c>
      <c r="K81" s="101">
        <v>1361.65</v>
      </c>
      <c r="L81" s="101">
        <f t="shared" si="4"/>
        <v>44253.625</v>
      </c>
    </row>
    <row r="82" spans="1:12">
      <c r="A82" s="54">
        <v>74</v>
      </c>
      <c r="B82" s="95" t="s">
        <v>287</v>
      </c>
      <c r="C82" s="358">
        <v>44105</v>
      </c>
      <c r="D82" s="358">
        <v>44135</v>
      </c>
      <c r="E82" s="236">
        <f t="shared" si="5"/>
        <v>15.5</v>
      </c>
      <c r="F82" s="359">
        <v>44153</v>
      </c>
      <c r="G82" s="236">
        <f t="shared" si="6"/>
        <v>18</v>
      </c>
      <c r="H82" s="100">
        <v>44159</v>
      </c>
      <c r="I82" s="226">
        <f t="shared" si="7"/>
        <v>6</v>
      </c>
      <c r="J82" s="101">
        <f t="shared" si="8"/>
        <v>39.5</v>
      </c>
      <c r="K82" s="101">
        <v>4526.99</v>
      </c>
      <c r="L82" s="101">
        <f t="shared" si="4"/>
        <v>178816.10499999998</v>
      </c>
    </row>
    <row r="83" spans="1:12">
      <c r="A83" s="54">
        <v>75</v>
      </c>
      <c r="B83" s="95" t="s">
        <v>292</v>
      </c>
      <c r="C83" s="358">
        <v>44105</v>
      </c>
      <c r="D83" s="358">
        <v>44135</v>
      </c>
      <c r="E83" s="236">
        <f t="shared" si="5"/>
        <v>15.5</v>
      </c>
      <c r="F83" s="359">
        <v>44158</v>
      </c>
      <c r="G83" s="236">
        <f t="shared" si="6"/>
        <v>23</v>
      </c>
      <c r="H83" s="100">
        <v>44160</v>
      </c>
      <c r="I83" s="226">
        <f t="shared" si="7"/>
        <v>2</v>
      </c>
      <c r="J83" s="101">
        <f t="shared" si="8"/>
        <v>40.5</v>
      </c>
      <c r="K83" s="101">
        <v>56255.65</v>
      </c>
      <c r="L83" s="101">
        <f t="shared" si="4"/>
        <v>2278353.8250000002</v>
      </c>
    </row>
    <row r="84" spans="1:12">
      <c r="A84" s="54">
        <v>76</v>
      </c>
      <c r="B84" s="95" t="s">
        <v>292</v>
      </c>
      <c r="C84" s="358">
        <v>44105</v>
      </c>
      <c r="D84" s="358">
        <v>44135</v>
      </c>
      <c r="E84" s="236">
        <f t="shared" si="5"/>
        <v>15.5</v>
      </c>
      <c r="F84" s="359">
        <v>44158</v>
      </c>
      <c r="G84" s="236">
        <f t="shared" si="6"/>
        <v>23</v>
      </c>
      <c r="H84" s="100">
        <v>44160</v>
      </c>
      <c r="I84" s="226">
        <f t="shared" si="7"/>
        <v>2</v>
      </c>
      <c r="J84" s="101">
        <f t="shared" si="8"/>
        <v>40.5</v>
      </c>
      <c r="K84" s="101">
        <v>3353437.91</v>
      </c>
      <c r="L84" s="101">
        <f t="shared" si="4"/>
        <v>135814235.35500002</v>
      </c>
    </row>
    <row r="85" spans="1:12">
      <c r="A85" s="54">
        <v>77</v>
      </c>
      <c r="B85" s="95" t="s">
        <v>288</v>
      </c>
      <c r="C85" s="358">
        <v>44105</v>
      </c>
      <c r="D85" s="358">
        <v>44135</v>
      </c>
      <c r="E85" s="236">
        <f t="shared" si="5"/>
        <v>15.5</v>
      </c>
      <c r="F85" s="359">
        <v>44147</v>
      </c>
      <c r="G85" s="236">
        <f t="shared" si="6"/>
        <v>12</v>
      </c>
      <c r="H85" s="100">
        <v>44158</v>
      </c>
      <c r="I85" s="226">
        <f t="shared" si="7"/>
        <v>11</v>
      </c>
      <c r="J85" s="101">
        <f t="shared" si="8"/>
        <v>38.5</v>
      </c>
      <c r="K85" s="101">
        <v>192896.03</v>
      </c>
      <c r="L85" s="101">
        <f t="shared" si="4"/>
        <v>7426497.1550000003</v>
      </c>
    </row>
    <row r="86" spans="1:12">
      <c r="A86" s="54">
        <v>78</v>
      </c>
      <c r="B86" s="95" t="s">
        <v>289</v>
      </c>
      <c r="C86" s="358">
        <v>44105</v>
      </c>
      <c r="D86" s="358">
        <v>44135</v>
      </c>
      <c r="E86" s="236">
        <f t="shared" si="5"/>
        <v>15.5</v>
      </c>
      <c r="F86" s="359">
        <v>44147</v>
      </c>
      <c r="G86" s="236">
        <f t="shared" si="6"/>
        <v>12</v>
      </c>
      <c r="H86" s="100">
        <v>44155</v>
      </c>
      <c r="I86" s="226">
        <f t="shared" si="7"/>
        <v>8</v>
      </c>
      <c r="J86" s="101">
        <f t="shared" si="8"/>
        <v>35.5</v>
      </c>
      <c r="K86" s="101">
        <v>1640658.26</v>
      </c>
      <c r="L86" s="101">
        <f t="shared" si="4"/>
        <v>58243368.229999997</v>
      </c>
    </row>
    <row r="87" spans="1:12">
      <c r="A87" s="54">
        <v>79</v>
      </c>
      <c r="B87" s="95" t="s">
        <v>290</v>
      </c>
      <c r="C87" s="358">
        <v>44105</v>
      </c>
      <c r="D87" s="358">
        <v>44135</v>
      </c>
      <c r="E87" s="236">
        <f t="shared" si="5"/>
        <v>15.5</v>
      </c>
      <c r="F87" s="359">
        <v>44148</v>
      </c>
      <c r="G87" s="236">
        <f t="shared" si="6"/>
        <v>13</v>
      </c>
      <c r="H87" s="100">
        <v>44155</v>
      </c>
      <c r="I87" s="226">
        <f t="shared" si="7"/>
        <v>7</v>
      </c>
      <c r="J87" s="101">
        <f t="shared" si="8"/>
        <v>35.5</v>
      </c>
      <c r="K87" s="101">
        <v>6877.16</v>
      </c>
      <c r="L87" s="101">
        <f t="shared" si="4"/>
        <v>244139.18</v>
      </c>
    </row>
    <row r="88" spans="1:12">
      <c r="A88" s="54">
        <v>80</v>
      </c>
      <c r="B88" s="95" t="s">
        <v>291</v>
      </c>
      <c r="C88" s="358">
        <v>44105</v>
      </c>
      <c r="D88" s="358">
        <v>44135</v>
      </c>
      <c r="E88" s="236">
        <f t="shared" si="5"/>
        <v>15.5</v>
      </c>
      <c r="F88" s="359">
        <v>44158</v>
      </c>
      <c r="G88" s="236">
        <f t="shared" si="6"/>
        <v>23</v>
      </c>
      <c r="H88" s="100">
        <v>44160</v>
      </c>
      <c r="I88" s="226">
        <f t="shared" si="7"/>
        <v>2</v>
      </c>
      <c r="J88" s="101">
        <f t="shared" si="8"/>
        <v>40.5</v>
      </c>
      <c r="K88" s="101">
        <v>540810.98</v>
      </c>
      <c r="L88" s="101">
        <f t="shared" si="4"/>
        <v>21902844.689999998</v>
      </c>
    </row>
    <row r="89" spans="1:12">
      <c r="A89" s="54">
        <v>81</v>
      </c>
      <c r="B89" s="95" t="s">
        <v>283</v>
      </c>
      <c r="C89" s="358">
        <v>44136</v>
      </c>
      <c r="D89" s="358">
        <v>44165</v>
      </c>
      <c r="E89" s="236">
        <f t="shared" si="5"/>
        <v>15</v>
      </c>
      <c r="F89" s="359">
        <v>44181</v>
      </c>
      <c r="G89" s="236">
        <f t="shared" si="6"/>
        <v>16</v>
      </c>
      <c r="H89" s="100">
        <v>44183</v>
      </c>
      <c r="I89" s="226">
        <f t="shared" si="7"/>
        <v>2</v>
      </c>
      <c r="J89" s="101">
        <f t="shared" si="8"/>
        <v>33</v>
      </c>
      <c r="K89" s="101">
        <v>2201.8000000000002</v>
      </c>
      <c r="L89" s="101">
        <f t="shared" si="4"/>
        <v>72659.400000000009</v>
      </c>
    </row>
    <row r="90" spans="1:12">
      <c r="A90" s="54">
        <v>82</v>
      </c>
      <c r="B90" s="95" t="s">
        <v>286</v>
      </c>
      <c r="C90" s="358">
        <v>44136</v>
      </c>
      <c r="D90" s="358">
        <v>44165</v>
      </c>
      <c r="E90" s="236">
        <f t="shared" si="5"/>
        <v>15</v>
      </c>
      <c r="F90" s="359">
        <v>44180</v>
      </c>
      <c r="G90" s="236">
        <f t="shared" si="6"/>
        <v>15</v>
      </c>
      <c r="H90" s="100">
        <v>44182</v>
      </c>
      <c r="I90" s="226">
        <f t="shared" si="7"/>
        <v>2</v>
      </c>
      <c r="J90" s="101">
        <f t="shared" si="8"/>
        <v>32</v>
      </c>
      <c r="K90" s="101">
        <v>-781.61</v>
      </c>
      <c r="L90" s="101">
        <f t="shared" si="4"/>
        <v>-25011.52</v>
      </c>
    </row>
    <row r="91" spans="1:12">
      <c r="A91" s="54">
        <v>83</v>
      </c>
      <c r="B91" s="95" t="s">
        <v>287</v>
      </c>
      <c r="C91" s="358">
        <v>44136</v>
      </c>
      <c r="D91" s="358">
        <v>44165</v>
      </c>
      <c r="E91" s="236">
        <f t="shared" si="5"/>
        <v>15</v>
      </c>
      <c r="F91" s="359">
        <v>44181</v>
      </c>
      <c r="G91" s="236">
        <f t="shared" si="6"/>
        <v>16</v>
      </c>
      <c r="H91" s="100">
        <v>44183</v>
      </c>
      <c r="I91" s="226">
        <f t="shared" si="7"/>
        <v>2</v>
      </c>
      <c r="J91" s="101">
        <f t="shared" si="8"/>
        <v>33</v>
      </c>
      <c r="K91" s="101">
        <v>4396.75</v>
      </c>
      <c r="L91" s="101">
        <f t="shared" si="4"/>
        <v>145092.75</v>
      </c>
    </row>
    <row r="92" spans="1:12">
      <c r="A92" s="54">
        <v>84</v>
      </c>
      <c r="B92" s="95" t="s">
        <v>292</v>
      </c>
      <c r="C92" s="358">
        <v>44136</v>
      </c>
      <c r="D92" s="358">
        <v>44165</v>
      </c>
      <c r="E92" s="236">
        <f t="shared" si="5"/>
        <v>15</v>
      </c>
      <c r="F92" s="359">
        <v>44184</v>
      </c>
      <c r="G92" s="236">
        <f t="shared" si="6"/>
        <v>19</v>
      </c>
      <c r="H92" s="100">
        <v>44193</v>
      </c>
      <c r="I92" s="226">
        <f t="shared" si="7"/>
        <v>9</v>
      </c>
      <c r="J92" s="101">
        <f t="shared" si="8"/>
        <v>43</v>
      </c>
      <c r="K92" s="101">
        <v>777867.91</v>
      </c>
      <c r="L92" s="101">
        <f t="shared" si="4"/>
        <v>33448320.130000003</v>
      </c>
    </row>
    <row r="93" spans="1:12">
      <c r="A93" s="54">
        <v>85</v>
      </c>
      <c r="B93" s="95" t="s">
        <v>292</v>
      </c>
      <c r="C93" s="358">
        <v>44136</v>
      </c>
      <c r="D93" s="358">
        <v>44165</v>
      </c>
      <c r="E93" s="236">
        <f t="shared" si="5"/>
        <v>15</v>
      </c>
      <c r="F93" s="359">
        <v>44184</v>
      </c>
      <c r="G93" s="236">
        <f t="shared" si="6"/>
        <v>19</v>
      </c>
      <c r="H93" s="100">
        <v>44193</v>
      </c>
      <c r="I93" s="226">
        <f t="shared" si="7"/>
        <v>9</v>
      </c>
      <c r="J93" s="101">
        <f t="shared" si="8"/>
        <v>43</v>
      </c>
      <c r="K93" s="101">
        <v>267759.90000000002</v>
      </c>
      <c r="L93" s="101">
        <f t="shared" si="4"/>
        <v>11513675.700000001</v>
      </c>
    </row>
    <row r="94" spans="1:12">
      <c r="A94" s="54">
        <v>86</v>
      </c>
      <c r="B94" s="95" t="s">
        <v>288</v>
      </c>
      <c r="C94" s="358">
        <v>44136</v>
      </c>
      <c r="D94" s="358">
        <v>44165</v>
      </c>
      <c r="E94" s="236">
        <f t="shared" si="5"/>
        <v>15</v>
      </c>
      <c r="F94" s="359">
        <v>44176</v>
      </c>
      <c r="G94" s="236">
        <f t="shared" si="6"/>
        <v>11</v>
      </c>
      <c r="H94" s="100">
        <v>44186</v>
      </c>
      <c r="I94" s="226">
        <f t="shared" si="7"/>
        <v>10</v>
      </c>
      <c r="J94" s="101">
        <f t="shared" si="8"/>
        <v>36</v>
      </c>
      <c r="K94" s="101">
        <v>369223.65</v>
      </c>
      <c r="L94" s="101">
        <f t="shared" si="4"/>
        <v>13292051.4</v>
      </c>
    </row>
    <row r="95" spans="1:12">
      <c r="A95" s="54">
        <v>87</v>
      </c>
      <c r="B95" s="95" t="s">
        <v>289</v>
      </c>
      <c r="C95" s="358">
        <v>44136</v>
      </c>
      <c r="D95" s="358">
        <v>44165</v>
      </c>
      <c r="E95" s="236">
        <f t="shared" si="5"/>
        <v>15</v>
      </c>
      <c r="F95" s="359">
        <v>44175</v>
      </c>
      <c r="G95" s="236">
        <f t="shared" si="6"/>
        <v>10</v>
      </c>
      <c r="H95" s="100">
        <v>44186</v>
      </c>
      <c r="I95" s="226">
        <f t="shared" si="7"/>
        <v>11</v>
      </c>
      <c r="J95" s="101">
        <f t="shared" si="8"/>
        <v>36</v>
      </c>
      <c r="K95" s="101">
        <v>1691401.5</v>
      </c>
      <c r="L95" s="101">
        <f t="shared" si="4"/>
        <v>60890454</v>
      </c>
    </row>
    <row r="96" spans="1:12">
      <c r="A96" s="54">
        <v>88</v>
      </c>
      <c r="B96" s="95" t="s">
        <v>290</v>
      </c>
      <c r="C96" s="358">
        <v>44136</v>
      </c>
      <c r="D96" s="358">
        <v>44165</v>
      </c>
      <c r="E96" s="236">
        <f t="shared" si="5"/>
        <v>15</v>
      </c>
      <c r="F96" s="359">
        <v>44180</v>
      </c>
      <c r="G96" s="236">
        <f t="shared" si="6"/>
        <v>15</v>
      </c>
      <c r="H96" s="100">
        <v>44186</v>
      </c>
      <c r="I96" s="226">
        <f t="shared" si="7"/>
        <v>6</v>
      </c>
      <c r="J96" s="101">
        <f t="shared" si="8"/>
        <v>36</v>
      </c>
      <c r="K96" s="101">
        <v>32447.200000000001</v>
      </c>
      <c r="L96" s="101">
        <f t="shared" si="4"/>
        <v>1168099.2</v>
      </c>
    </row>
    <row r="97" spans="1:13">
      <c r="A97" s="54">
        <v>89</v>
      </c>
      <c r="B97" s="95" t="s">
        <v>291</v>
      </c>
      <c r="C97" s="358">
        <v>44136</v>
      </c>
      <c r="D97" s="358">
        <v>44165</v>
      </c>
      <c r="E97" s="236">
        <f t="shared" si="5"/>
        <v>15</v>
      </c>
      <c r="F97" s="359">
        <v>44184</v>
      </c>
      <c r="G97" s="236">
        <f t="shared" si="6"/>
        <v>19</v>
      </c>
      <c r="H97" s="100">
        <v>44193</v>
      </c>
      <c r="I97" s="226">
        <f t="shared" si="7"/>
        <v>9</v>
      </c>
      <c r="J97" s="101">
        <f t="shared" si="8"/>
        <v>43</v>
      </c>
      <c r="K97" s="101">
        <v>104781.66</v>
      </c>
      <c r="L97" s="101">
        <f t="shared" si="4"/>
        <v>4505611.38</v>
      </c>
    </row>
    <row r="98" spans="1:13">
      <c r="A98" s="54">
        <v>90</v>
      </c>
      <c r="B98" s="95" t="s">
        <v>283</v>
      </c>
      <c r="C98" s="358">
        <v>44166</v>
      </c>
      <c r="D98" s="358">
        <v>44196</v>
      </c>
      <c r="E98" s="236">
        <f t="shared" si="5"/>
        <v>15.5</v>
      </c>
      <c r="F98" s="359">
        <v>44225</v>
      </c>
      <c r="G98" s="236">
        <f t="shared" si="6"/>
        <v>29</v>
      </c>
      <c r="H98" s="100">
        <v>44225</v>
      </c>
      <c r="I98" s="226">
        <f t="shared" si="7"/>
        <v>0</v>
      </c>
      <c r="J98" s="101">
        <f t="shared" si="8"/>
        <v>44.5</v>
      </c>
      <c r="K98" s="101">
        <v>729.73</v>
      </c>
      <c r="L98" s="101">
        <f t="shared" si="4"/>
        <v>32472.985000000001</v>
      </c>
    </row>
    <row r="99" spans="1:13">
      <c r="A99" s="54">
        <v>91</v>
      </c>
      <c r="B99" s="95" t="s">
        <v>286</v>
      </c>
      <c r="C99" s="358">
        <v>44166</v>
      </c>
      <c r="D99" s="358">
        <v>44196</v>
      </c>
      <c r="E99" s="236">
        <f t="shared" si="5"/>
        <v>15.5</v>
      </c>
      <c r="F99" s="359">
        <v>44207</v>
      </c>
      <c r="G99" s="236">
        <f t="shared" si="6"/>
        <v>11</v>
      </c>
      <c r="H99" s="100">
        <v>44210</v>
      </c>
      <c r="I99" s="226">
        <f t="shared" si="7"/>
        <v>3</v>
      </c>
      <c r="J99" s="101">
        <f t="shared" si="8"/>
        <v>29.5</v>
      </c>
      <c r="K99" s="101">
        <v>-955.3</v>
      </c>
      <c r="L99" s="101">
        <f t="shared" si="4"/>
        <v>-28181.35</v>
      </c>
    </row>
    <row r="100" spans="1:13">
      <c r="A100" s="54">
        <v>92</v>
      </c>
      <c r="B100" s="95" t="s">
        <v>287</v>
      </c>
      <c r="C100" s="358">
        <v>44166</v>
      </c>
      <c r="D100" s="358">
        <v>44196</v>
      </c>
      <c r="E100" s="236">
        <f t="shared" si="5"/>
        <v>15.5</v>
      </c>
      <c r="F100" s="359">
        <v>44209</v>
      </c>
      <c r="G100" s="236">
        <f t="shared" si="6"/>
        <v>13</v>
      </c>
      <c r="H100" s="100">
        <v>44218</v>
      </c>
      <c r="I100" s="226">
        <f t="shared" si="7"/>
        <v>9</v>
      </c>
      <c r="J100" s="101">
        <f t="shared" si="8"/>
        <v>37.5</v>
      </c>
      <c r="K100" s="101">
        <v>496.41</v>
      </c>
      <c r="L100" s="101">
        <f t="shared" si="4"/>
        <v>18615.375</v>
      </c>
    </row>
    <row r="101" spans="1:13">
      <c r="A101" s="54">
        <v>93</v>
      </c>
      <c r="B101" s="95" t="s">
        <v>292</v>
      </c>
      <c r="C101" s="358">
        <v>44166</v>
      </c>
      <c r="D101" s="358">
        <v>44196</v>
      </c>
      <c r="E101" s="236">
        <f t="shared" si="5"/>
        <v>15.5</v>
      </c>
      <c r="F101" s="359">
        <v>44217</v>
      </c>
      <c r="G101" s="236">
        <f t="shared" si="6"/>
        <v>21</v>
      </c>
      <c r="H101" s="100">
        <v>44221</v>
      </c>
      <c r="I101" s="226">
        <f t="shared" si="7"/>
        <v>4</v>
      </c>
      <c r="J101" s="101">
        <f t="shared" si="8"/>
        <v>40.5</v>
      </c>
      <c r="K101" s="101">
        <v>2970779.1799999997</v>
      </c>
      <c r="L101" s="101">
        <f t="shared" si="4"/>
        <v>120316556.78999999</v>
      </c>
    </row>
    <row r="102" spans="1:13">
      <c r="A102" s="54">
        <v>94</v>
      </c>
      <c r="B102" s="95" t="s">
        <v>292</v>
      </c>
      <c r="C102" s="358">
        <v>44166</v>
      </c>
      <c r="D102" s="358">
        <v>44196</v>
      </c>
      <c r="E102" s="236">
        <f t="shared" si="5"/>
        <v>15.5</v>
      </c>
      <c r="F102" s="359">
        <v>44217</v>
      </c>
      <c r="G102" s="236">
        <f t="shared" si="6"/>
        <v>21</v>
      </c>
      <c r="H102" s="100">
        <v>44221</v>
      </c>
      <c r="I102" s="226">
        <f t="shared" si="7"/>
        <v>4</v>
      </c>
      <c r="J102" s="101">
        <f t="shared" si="8"/>
        <v>40.5</v>
      </c>
      <c r="K102" s="101">
        <v>222259.03</v>
      </c>
      <c r="L102" s="101">
        <f t="shared" si="4"/>
        <v>9001490.7149999999</v>
      </c>
    </row>
    <row r="103" spans="1:13">
      <c r="A103" s="54">
        <v>95</v>
      </c>
      <c r="B103" s="95" t="s">
        <v>288</v>
      </c>
      <c r="C103" s="358">
        <v>44166</v>
      </c>
      <c r="D103" s="358">
        <v>44196</v>
      </c>
      <c r="E103" s="236">
        <f t="shared" si="5"/>
        <v>15.5</v>
      </c>
      <c r="F103" s="359">
        <v>44209</v>
      </c>
      <c r="G103" s="236">
        <f t="shared" si="6"/>
        <v>13</v>
      </c>
      <c r="H103" s="100">
        <v>44221</v>
      </c>
      <c r="I103" s="226">
        <f t="shared" si="7"/>
        <v>12</v>
      </c>
      <c r="J103" s="101">
        <f t="shared" si="8"/>
        <v>40.5</v>
      </c>
      <c r="K103" s="101">
        <v>378592.55</v>
      </c>
      <c r="L103" s="101">
        <f t="shared" si="4"/>
        <v>15332998.275</v>
      </c>
    </row>
    <row r="104" spans="1:13">
      <c r="A104" s="54">
        <v>96</v>
      </c>
      <c r="B104" s="95" t="s">
        <v>289</v>
      </c>
      <c r="C104" s="358">
        <v>44166</v>
      </c>
      <c r="D104" s="358">
        <v>44196</v>
      </c>
      <c r="E104" s="236">
        <f t="shared" si="5"/>
        <v>15.5</v>
      </c>
      <c r="F104" s="359">
        <v>44208</v>
      </c>
      <c r="G104" s="236">
        <f t="shared" si="6"/>
        <v>12</v>
      </c>
      <c r="H104" s="100">
        <v>44218</v>
      </c>
      <c r="I104" s="226">
        <f t="shared" si="7"/>
        <v>10</v>
      </c>
      <c r="J104" s="101">
        <f t="shared" si="8"/>
        <v>37.5</v>
      </c>
      <c r="K104" s="101">
        <v>1747781.5499999998</v>
      </c>
      <c r="L104" s="101">
        <f t="shared" si="4"/>
        <v>65541808.124999993</v>
      </c>
    </row>
    <row r="105" spans="1:13">
      <c r="A105" s="54">
        <v>97</v>
      </c>
      <c r="B105" s="95" t="s">
        <v>290</v>
      </c>
      <c r="C105" s="358">
        <v>44166</v>
      </c>
      <c r="D105" s="358">
        <v>44196</v>
      </c>
      <c r="E105" s="236">
        <f t="shared" si="5"/>
        <v>15.5</v>
      </c>
      <c r="F105" s="359">
        <v>44207</v>
      </c>
      <c r="G105" s="236">
        <f t="shared" si="6"/>
        <v>11</v>
      </c>
      <c r="H105" s="100">
        <v>44216</v>
      </c>
      <c r="I105" s="226">
        <f t="shared" si="7"/>
        <v>9</v>
      </c>
      <c r="J105" s="101">
        <f t="shared" si="8"/>
        <v>35.5</v>
      </c>
      <c r="K105" s="101">
        <v>33022.980000000003</v>
      </c>
      <c r="L105" s="101">
        <f t="shared" si="4"/>
        <v>1172315.79</v>
      </c>
    </row>
    <row r="106" spans="1:13">
      <c r="A106" s="54">
        <v>98</v>
      </c>
      <c r="B106" s="95" t="s">
        <v>291</v>
      </c>
      <c r="C106" s="358">
        <v>44166</v>
      </c>
      <c r="D106" s="358">
        <v>44196</v>
      </c>
      <c r="E106" s="236">
        <f t="shared" si="5"/>
        <v>15.5</v>
      </c>
      <c r="F106" s="359">
        <v>44217</v>
      </c>
      <c r="G106" s="236">
        <f t="shared" si="6"/>
        <v>21</v>
      </c>
      <c r="H106" s="100">
        <v>44221</v>
      </c>
      <c r="I106" s="226">
        <f t="shared" si="7"/>
        <v>4</v>
      </c>
      <c r="J106" s="101">
        <f t="shared" si="8"/>
        <v>40.5</v>
      </c>
      <c r="K106" s="101">
        <v>406786.89999999991</v>
      </c>
      <c r="L106" s="101">
        <f t="shared" si="4"/>
        <v>16474869.449999996</v>
      </c>
    </row>
    <row r="107" spans="1:13">
      <c r="A107" s="54">
        <v>99</v>
      </c>
      <c r="B107" s="95" t="s">
        <v>283</v>
      </c>
      <c r="C107" s="358">
        <v>44197</v>
      </c>
      <c r="D107" s="358">
        <v>44227</v>
      </c>
      <c r="E107" s="236">
        <f t="shared" si="5"/>
        <v>15.5</v>
      </c>
      <c r="F107" s="359">
        <v>44243</v>
      </c>
      <c r="G107" s="236">
        <f t="shared" si="6"/>
        <v>16</v>
      </c>
      <c r="H107" s="100">
        <v>44245</v>
      </c>
      <c r="I107" s="226">
        <f t="shared" si="7"/>
        <v>2</v>
      </c>
      <c r="J107" s="101">
        <f t="shared" si="8"/>
        <v>33.5</v>
      </c>
      <c r="K107" s="101">
        <v>2244.8599999999997</v>
      </c>
      <c r="L107" s="101">
        <f t="shared" si="4"/>
        <v>75202.809999999983</v>
      </c>
      <c r="M107" s="30" t="s">
        <v>2</v>
      </c>
    </row>
    <row r="108" spans="1:13">
      <c r="A108" s="54">
        <v>100</v>
      </c>
      <c r="B108" s="95" t="s">
        <v>286</v>
      </c>
      <c r="C108" s="358">
        <v>44197</v>
      </c>
      <c r="D108" s="358">
        <v>44227</v>
      </c>
      <c r="E108" s="236">
        <f t="shared" si="5"/>
        <v>15.5</v>
      </c>
      <c r="F108" s="359">
        <v>44236</v>
      </c>
      <c r="G108" s="236">
        <f t="shared" si="6"/>
        <v>9</v>
      </c>
      <c r="H108" s="100">
        <v>44237</v>
      </c>
      <c r="I108" s="226">
        <f t="shared" si="7"/>
        <v>1</v>
      </c>
      <c r="J108" s="101">
        <f t="shared" si="8"/>
        <v>25.5</v>
      </c>
      <c r="K108" s="101">
        <v>-359.76</v>
      </c>
      <c r="L108" s="101">
        <f t="shared" si="4"/>
        <v>-9173.8799999999992</v>
      </c>
    </row>
    <row r="109" spans="1:13">
      <c r="A109" s="54">
        <v>101</v>
      </c>
      <c r="B109" s="95" t="s">
        <v>287</v>
      </c>
      <c r="C109" s="358">
        <v>44197</v>
      </c>
      <c r="D109" s="358">
        <v>44227</v>
      </c>
      <c r="E109" s="236">
        <f t="shared" si="5"/>
        <v>15.5</v>
      </c>
      <c r="F109" s="359">
        <v>44243</v>
      </c>
      <c r="G109" s="236">
        <f t="shared" si="6"/>
        <v>16</v>
      </c>
      <c r="H109" s="100">
        <v>44245</v>
      </c>
      <c r="I109" s="226">
        <f t="shared" si="7"/>
        <v>2</v>
      </c>
      <c r="J109" s="101">
        <f t="shared" si="8"/>
        <v>33.5</v>
      </c>
      <c r="K109" s="101">
        <v>394.62</v>
      </c>
      <c r="L109" s="101">
        <f t="shared" si="4"/>
        <v>13219.77</v>
      </c>
    </row>
    <row r="110" spans="1:13">
      <c r="A110" s="54">
        <v>102</v>
      </c>
      <c r="B110" s="95" t="s">
        <v>292</v>
      </c>
      <c r="C110" s="358">
        <v>44197</v>
      </c>
      <c r="D110" s="358">
        <v>44227</v>
      </c>
      <c r="E110" s="236">
        <f t="shared" si="5"/>
        <v>15.5</v>
      </c>
      <c r="F110" s="359">
        <v>44250</v>
      </c>
      <c r="G110" s="236">
        <f t="shared" si="6"/>
        <v>23</v>
      </c>
      <c r="H110" s="100">
        <v>44252</v>
      </c>
      <c r="I110" s="226">
        <f t="shared" si="7"/>
        <v>2</v>
      </c>
      <c r="J110" s="101">
        <f t="shared" si="8"/>
        <v>40.5</v>
      </c>
      <c r="K110" s="101">
        <v>2757594.0199999991</v>
      </c>
      <c r="L110" s="101">
        <f t="shared" si="4"/>
        <v>111682557.80999996</v>
      </c>
    </row>
    <row r="111" spans="1:13">
      <c r="A111" s="54">
        <v>103</v>
      </c>
      <c r="B111" s="95" t="s">
        <v>292</v>
      </c>
      <c r="C111" s="358">
        <v>44197</v>
      </c>
      <c r="D111" s="358">
        <v>44227</v>
      </c>
      <c r="E111" s="236">
        <f t="shared" si="5"/>
        <v>15.5</v>
      </c>
      <c r="F111" s="359">
        <v>44250</v>
      </c>
      <c r="G111" s="236">
        <f t="shared" si="6"/>
        <v>23</v>
      </c>
      <c r="H111" s="100">
        <v>44252</v>
      </c>
      <c r="I111" s="226">
        <f t="shared" si="7"/>
        <v>2</v>
      </c>
      <c r="J111" s="101">
        <f t="shared" si="8"/>
        <v>40.5</v>
      </c>
      <c r="K111" s="101">
        <v>189505.65</v>
      </c>
      <c r="L111" s="101">
        <f t="shared" si="4"/>
        <v>7674978.8250000002</v>
      </c>
    </row>
    <row r="112" spans="1:13">
      <c r="A112" s="54">
        <v>104</v>
      </c>
      <c r="B112" s="95" t="s">
        <v>288</v>
      </c>
      <c r="C112" s="358">
        <v>44197</v>
      </c>
      <c r="D112" s="358">
        <v>44227</v>
      </c>
      <c r="E112" s="236">
        <f t="shared" si="5"/>
        <v>15.5</v>
      </c>
      <c r="F112" s="359">
        <v>44238</v>
      </c>
      <c r="G112" s="236">
        <f t="shared" si="6"/>
        <v>11</v>
      </c>
      <c r="H112" s="100">
        <v>44249</v>
      </c>
      <c r="I112" s="226">
        <f t="shared" si="7"/>
        <v>11</v>
      </c>
      <c r="J112" s="101">
        <f t="shared" si="8"/>
        <v>37.5</v>
      </c>
      <c r="K112" s="101">
        <v>378592.55</v>
      </c>
      <c r="L112" s="101">
        <f t="shared" si="4"/>
        <v>14197220.625</v>
      </c>
    </row>
    <row r="113" spans="1:12">
      <c r="A113" s="54">
        <v>105</v>
      </c>
      <c r="B113" s="95" t="s">
        <v>289</v>
      </c>
      <c r="C113" s="358">
        <v>44197</v>
      </c>
      <c r="D113" s="358">
        <v>44227</v>
      </c>
      <c r="E113" s="236">
        <f t="shared" si="5"/>
        <v>15.5</v>
      </c>
      <c r="F113" s="359">
        <v>44238</v>
      </c>
      <c r="G113" s="236">
        <f t="shared" si="6"/>
        <v>11</v>
      </c>
      <c r="H113" s="100">
        <v>44246</v>
      </c>
      <c r="I113" s="226">
        <f t="shared" si="7"/>
        <v>8</v>
      </c>
      <c r="J113" s="101">
        <f t="shared" si="8"/>
        <v>34.5</v>
      </c>
      <c r="K113" s="101">
        <v>1747781.5499999998</v>
      </c>
      <c r="L113" s="101">
        <f t="shared" si="4"/>
        <v>60298463.474999994</v>
      </c>
    </row>
    <row r="114" spans="1:12">
      <c r="A114" s="54">
        <v>106</v>
      </c>
      <c r="B114" s="95" t="s">
        <v>290</v>
      </c>
      <c r="C114" s="358">
        <v>44197</v>
      </c>
      <c r="D114" s="358">
        <v>44227</v>
      </c>
      <c r="E114" s="236">
        <f t="shared" si="5"/>
        <v>15.5</v>
      </c>
      <c r="F114" s="359">
        <v>44243</v>
      </c>
      <c r="G114" s="236">
        <f t="shared" si="6"/>
        <v>16</v>
      </c>
      <c r="H114" s="100">
        <v>44249</v>
      </c>
      <c r="I114" s="226">
        <f t="shared" si="7"/>
        <v>6</v>
      </c>
      <c r="J114" s="101">
        <f t="shared" si="8"/>
        <v>37.5</v>
      </c>
      <c r="K114" s="101">
        <v>33961.83</v>
      </c>
      <c r="L114" s="101">
        <f t="shared" si="4"/>
        <v>1273568.625</v>
      </c>
    </row>
    <row r="115" spans="1:12">
      <c r="A115" s="54">
        <v>107</v>
      </c>
      <c r="B115" s="95" t="s">
        <v>291</v>
      </c>
      <c r="C115" s="358">
        <v>44197</v>
      </c>
      <c r="D115" s="358">
        <v>44227</v>
      </c>
      <c r="E115" s="236">
        <f t="shared" si="5"/>
        <v>15.5</v>
      </c>
      <c r="F115" s="359">
        <v>44250</v>
      </c>
      <c r="G115" s="236">
        <f t="shared" si="6"/>
        <v>23</v>
      </c>
      <c r="H115" s="100">
        <v>44252</v>
      </c>
      <c r="I115" s="226">
        <f t="shared" si="7"/>
        <v>2</v>
      </c>
      <c r="J115" s="101">
        <f t="shared" si="8"/>
        <v>40.5</v>
      </c>
      <c r="K115" s="101">
        <v>363593.78999999992</v>
      </c>
      <c r="L115" s="101">
        <f t="shared" si="4"/>
        <v>14725548.494999997</v>
      </c>
    </row>
    <row r="116" spans="1:12">
      <c r="A116" s="54">
        <v>108</v>
      </c>
      <c r="B116" s="95" t="s">
        <v>283</v>
      </c>
      <c r="C116" s="358">
        <v>44228</v>
      </c>
      <c r="D116" s="358">
        <v>44255</v>
      </c>
      <c r="E116" s="236">
        <f t="shared" si="5"/>
        <v>14</v>
      </c>
      <c r="F116" s="359">
        <v>44272</v>
      </c>
      <c r="G116" s="236">
        <f t="shared" si="6"/>
        <v>17</v>
      </c>
      <c r="H116" s="100">
        <v>44273</v>
      </c>
      <c r="I116" s="226">
        <f t="shared" si="7"/>
        <v>1</v>
      </c>
      <c r="J116" s="101">
        <f t="shared" si="8"/>
        <v>32</v>
      </c>
      <c r="K116" s="101">
        <v>3098.75</v>
      </c>
      <c r="L116" s="101">
        <f t="shared" si="4"/>
        <v>99160</v>
      </c>
    </row>
    <row r="117" spans="1:12">
      <c r="A117" s="54">
        <v>109</v>
      </c>
      <c r="B117" s="95" t="s">
        <v>286</v>
      </c>
      <c r="C117" s="358">
        <v>44228</v>
      </c>
      <c r="D117" s="358">
        <v>44255</v>
      </c>
      <c r="E117" s="236">
        <f t="shared" si="5"/>
        <v>14</v>
      </c>
      <c r="F117" s="359">
        <v>44265</v>
      </c>
      <c r="G117" s="236">
        <f t="shared" si="6"/>
        <v>10</v>
      </c>
      <c r="H117" s="100">
        <v>44270</v>
      </c>
      <c r="I117" s="226">
        <f t="shared" si="7"/>
        <v>5</v>
      </c>
      <c r="J117" s="101">
        <f t="shared" si="8"/>
        <v>29</v>
      </c>
      <c r="K117" s="101">
        <v>5812.01</v>
      </c>
      <c r="L117" s="101">
        <f t="shared" si="4"/>
        <v>168548.29</v>
      </c>
    </row>
    <row r="118" spans="1:12">
      <c r="A118" s="54">
        <v>110</v>
      </c>
      <c r="B118" s="95" t="s">
        <v>287</v>
      </c>
      <c r="C118" s="358">
        <v>44228</v>
      </c>
      <c r="D118" s="358">
        <v>44255</v>
      </c>
      <c r="E118" s="236">
        <f t="shared" si="5"/>
        <v>14</v>
      </c>
      <c r="F118" s="359">
        <v>44272</v>
      </c>
      <c r="G118" s="236">
        <f t="shared" si="6"/>
        <v>17</v>
      </c>
      <c r="H118" s="100">
        <v>44273</v>
      </c>
      <c r="I118" s="226">
        <f t="shared" si="7"/>
        <v>1</v>
      </c>
      <c r="J118" s="101">
        <f t="shared" si="8"/>
        <v>32</v>
      </c>
      <c r="K118" s="101">
        <v>1698.27</v>
      </c>
      <c r="L118" s="101">
        <f t="shared" si="4"/>
        <v>54344.639999999999</v>
      </c>
    </row>
    <row r="119" spans="1:12">
      <c r="A119" s="54">
        <v>111</v>
      </c>
      <c r="B119" s="95" t="s">
        <v>292</v>
      </c>
      <c r="C119" s="358">
        <v>44228</v>
      </c>
      <c r="D119" s="358">
        <v>44255</v>
      </c>
      <c r="E119" s="236">
        <f t="shared" si="5"/>
        <v>14</v>
      </c>
      <c r="F119" s="359">
        <v>44279</v>
      </c>
      <c r="G119" s="236">
        <f t="shared" si="6"/>
        <v>24</v>
      </c>
      <c r="H119" s="100">
        <v>44280</v>
      </c>
      <c r="I119" s="226">
        <f t="shared" si="7"/>
        <v>1</v>
      </c>
      <c r="J119" s="101">
        <f t="shared" si="8"/>
        <v>39</v>
      </c>
      <c r="K119" s="101">
        <v>4639691.2900000038</v>
      </c>
      <c r="L119" s="101">
        <f t="shared" si="4"/>
        <v>180947960.31000015</v>
      </c>
    </row>
    <row r="120" spans="1:12">
      <c r="A120" s="54">
        <v>112</v>
      </c>
      <c r="B120" s="95" t="s">
        <v>292</v>
      </c>
      <c r="C120" s="358">
        <v>44228</v>
      </c>
      <c r="D120" s="358">
        <v>44255</v>
      </c>
      <c r="E120" s="236">
        <f t="shared" si="5"/>
        <v>14</v>
      </c>
      <c r="F120" s="359">
        <v>44278</v>
      </c>
      <c r="G120" s="236">
        <f t="shared" si="6"/>
        <v>23</v>
      </c>
      <c r="H120" s="100">
        <v>44280</v>
      </c>
      <c r="I120" s="226">
        <f t="shared" si="7"/>
        <v>2</v>
      </c>
      <c r="J120" s="101">
        <f t="shared" si="8"/>
        <v>39</v>
      </c>
      <c r="K120" s="101">
        <v>499067.83000000019</v>
      </c>
      <c r="L120" s="101">
        <f t="shared" si="4"/>
        <v>19463645.370000008</v>
      </c>
    </row>
    <row r="121" spans="1:12">
      <c r="A121" s="54">
        <v>113</v>
      </c>
      <c r="B121" s="95" t="s">
        <v>288</v>
      </c>
      <c r="C121" s="358">
        <v>44228</v>
      </c>
      <c r="D121" s="358">
        <v>44255</v>
      </c>
      <c r="E121" s="236">
        <f t="shared" si="5"/>
        <v>14</v>
      </c>
      <c r="F121" s="359">
        <v>44266</v>
      </c>
      <c r="G121" s="236">
        <f t="shared" si="6"/>
        <v>11</v>
      </c>
      <c r="H121" s="100">
        <v>44277</v>
      </c>
      <c r="I121" s="226">
        <f t="shared" si="7"/>
        <v>11</v>
      </c>
      <c r="J121" s="101">
        <f t="shared" si="8"/>
        <v>36</v>
      </c>
      <c r="K121" s="101">
        <v>378592.55</v>
      </c>
      <c r="L121" s="101">
        <f t="shared" si="4"/>
        <v>13629331.799999999</v>
      </c>
    </row>
    <row r="122" spans="1:12">
      <c r="A122" s="54">
        <v>114</v>
      </c>
      <c r="B122" s="95" t="s">
        <v>289</v>
      </c>
      <c r="C122" s="358">
        <v>44228</v>
      </c>
      <c r="D122" s="358">
        <v>44255</v>
      </c>
      <c r="E122" s="236">
        <f t="shared" si="5"/>
        <v>14</v>
      </c>
      <c r="F122" s="359">
        <v>44266</v>
      </c>
      <c r="G122" s="236">
        <f t="shared" si="6"/>
        <v>11</v>
      </c>
      <c r="H122" s="100">
        <v>44274</v>
      </c>
      <c r="I122" s="226">
        <f t="shared" si="7"/>
        <v>8</v>
      </c>
      <c r="J122" s="101">
        <f t="shared" si="8"/>
        <v>33</v>
      </c>
      <c r="K122" s="101">
        <v>1578641.4000000001</v>
      </c>
      <c r="L122" s="101">
        <f t="shared" si="4"/>
        <v>52095166.200000003</v>
      </c>
    </row>
    <row r="123" spans="1:12">
      <c r="A123" s="54">
        <v>115</v>
      </c>
      <c r="B123" s="95" t="s">
        <v>290</v>
      </c>
      <c r="C123" s="358">
        <v>44228</v>
      </c>
      <c r="D123" s="358">
        <v>44255</v>
      </c>
      <c r="E123" s="236">
        <f t="shared" si="5"/>
        <v>14</v>
      </c>
      <c r="F123" s="359">
        <v>44272</v>
      </c>
      <c r="G123" s="236">
        <f t="shared" si="6"/>
        <v>17</v>
      </c>
      <c r="H123" s="100">
        <v>44277</v>
      </c>
      <c r="I123" s="226">
        <f t="shared" si="7"/>
        <v>5</v>
      </c>
      <c r="J123" s="101">
        <f t="shared" si="8"/>
        <v>36</v>
      </c>
      <c r="K123" s="101">
        <v>29235.86</v>
      </c>
      <c r="L123" s="101">
        <f t="shared" si="4"/>
        <v>1052490.96</v>
      </c>
    </row>
    <row r="124" spans="1:12">
      <c r="A124" s="54">
        <v>116</v>
      </c>
      <c r="B124" s="95" t="s">
        <v>291</v>
      </c>
      <c r="C124" s="358">
        <v>44228</v>
      </c>
      <c r="D124" s="358">
        <v>44255</v>
      </c>
      <c r="E124" s="236">
        <f t="shared" si="5"/>
        <v>14</v>
      </c>
      <c r="F124" s="359">
        <v>44279</v>
      </c>
      <c r="G124" s="236">
        <f t="shared" si="6"/>
        <v>24</v>
      </c>
      <c r="H124" s="100">
        <v>44280</v>
      </c>
      <c r="I124" s="226">
        <f t="shared" si="7"/>
        <v>1</v>
      </c>
      <c r="J124" s="101">
        <f t="shared" si="8"/>
        <v>39</v>
      </c>
      <c r="K124" s="101">
        <v>850698.49999999953</v>
      </c>
      <c r="L124" s="101">
        <f t="shared" si="4"/>
        <v>33177241.499999981</v>
      </c>
    </row>
    <row r="125" spans="1:12">
      <c r="A125" s="54">
        <v>124</v>
      </c>
      <c r="B125" s="53"/>
      <c r="C125" s="53"/>
      <c r="D125" s="53"/>
      <c r="E125" s="53"/>
      <c r="F125" s="53"/>
      <c r="G125" s="53"/>
      <c r="H125" s="55"/>
      <c r="I125" s="53"/>
      <c r="J125" s="53"/>
      <c r="K125" s="53"/>
      <c r="L125" s="53"/>
    </row>
    <row r="126" spans="1:12" ht="13.5" thickBot="1">
      <c r="A126" s="54">
        <v>125</v>
      </c>
      <c r="B126" s="53"/>
      <c r="C126" s="54"/>
      <c r="D126" s="54"/>
      <c r="E126" s="103"/>
      <c r="F126" s="92"/>
      <c r="G126" s="103"/>
      <c r="H126" s="92"/>
      <c r="I126" s="103"/>
      <c r="J126" s="103"/>
      <c r="K126" s="361">
        <f>ROUND(SUM(K8:K125),0)</f>
        <v>56678421</v>
      </c>
      <c r="L126" s="361">
        <f>ROUND(SUM(L8:L125),0)</f>
        <v>2195974218</v>
      </c>
    </row>
    <row r="127" spans="1:12" ht="13.5" thickTop="1">
      <c r="A127" s="54">
        <v>126</v>
      </c>
      <c r="B127" s="53"/>
      <c r="C127" s="53"/>
      <c r="D127" s="53"/>
      <c r="E127" s="53"/>
      <c r="F127" s="53"/>
      <c r="G127" s="53"/>
      <c r="H127" s="55"/>
      <c r="I127" s="53"/>
      <c r="J127" s="53"/>
      <c r="K127" s="53"/>
      <c r="L127" s="53"/>
    </row>
    <row r="128" spans="1:12" ht="13.5" thickBot="1">
      <c r="A128" s="54">
        <v>127</v>
      </c>
      <c r="B128" s="53"/>
      <c r="C128" s="53"/>
      <c r="D128" s="53"/>
      <c r="E128" s="53"/>
      <c r="F128" s="53"/>
      <c r="G128" s="53"/>
      <c r="H128" s="55"/>
      <c r="I128" s="53"/>
      <c r="J128" s="53"/>
      <c r="K128" s="53"/>
      <c r="L128" s="91">
        <f>ROUND(+L126/K126,2)</f>
        <v>38.74</v>
      </c>
    </row>
    <row r="129" spans="1:12" ht="15.75" thickTop="1">
      <c r="A129" s="242"/>
      <c r="B129" s="104"/>
      <c r="C129" s="104"/>
      <c r="D129" s="104"/>
      <c r="E129" s="104"/>
      <c r="F129" s="104"/>
      <c r="G129" s="104"/>
      <c r="H129" s="67"/>
      <c r="I129" s="104"/>
      <c r="J129" s="104"/>
      <c r="K129" s="104"/>
      <c r="L129" s="56" t="s">
        <v>85</v>
      </c>
    </row>
    <row r="130" spans="1:12" ht="15">
      <c r="A130" s="146"/>
      <c r="B130" s="105"/>
      <c r="C130" s="105"/>
      <c r="D130" s="105"/>
      <c r="E130" s="104"/>
      <c r="F130" s="104"/>
      <c r="G130" s="104"/>
      <c r="H130" s="67"/>
      <c r="I130" s="104"/>
      <c r="J130" s="104"/>
      <c r="K130" s="104"/>
      <c r="L130" s="104"/>
    </row>
    <row r="131" spans="1:12" ht="15.75">
      <c r="A131" s="94"/>
      <c r="B131" s="94"/>
      <c r="C131" s="94"/>
      <c r="D131" s="94"/>
      <c r="E131" s="94"/>
      <c r="F131" s="94"/>
      <c r="G131" s="94"/>
      <c r="H131" s="28"/>
      <c r="I131" s="94"/>
      <c r="J131" s="94"/>
      <c r="K131" s="94"/>
      <c r="L131" s="94"/>
    </row>
    <row r="132" spans="1:12" ht="15.75">
      <c r="A132" s="94"/>
      <c r="B132" s="94"/>
      <c r="C132" s="94"/>
      <c r="D132" s="94"/>
      <c r="E132" s="94"/>
      <c r="F132" s="94"/>
      <c r="G132" s="94"/>
      <c r="H132" s="28"/>
      <c r="I132" s="94"/>
      <c r="J132" s="94"/>
      <c r="K132" s="94"/>
      <c r="L132" s="94"/>
    </row>
    <row r="133" spans="1:12" ht="15.75">
      <c r="A133" s="94"/>
      <c r="B133" s="94"/>
      <c r="C133" s="94"/>
      <c r="D133" s="94"/>
      <c r="E133" s="94"/>
      <c r="F133" s="94"/>
      <c r="G133" s="94"/>
      <c r="H133" s="28"/>
      <c r="I133" s="94"/>
      <c r="J133" s="94"/>
      <c r="K133" s="94"/>
      <c r="L133" s="94"/>
    </row>
    <row r="134" spans="1:12" ht="15.75">
      <c r="A134" s="94"/>
      <c r="B134" s="94"/>
      <c r="C134" s="94"/>
      <c r="D134" s="94"/>
      <c r="E134" s="94"/>
      <c r="F134" s="94"/>
      <c r="G134" s="94"/>
      <c r="H134" s="28"/>
      <c r="I134" s="94"/>
      <c r="J134" s="94"/>
      <c r="K134" s="94"/>
      <c r="L134" s="94"/>
    </row>
  </sheetData>
  <mergeCells count="3">
    <mergeCell ref="A1:K1"/>
    <mergeCell ref="A3:K3"/>
    <mergeCell ref="A2:K2"/>
  </mergeCells>
  <phoneticPr fontId="9" type="noConversion"/>
  <printOptions horizontalCentered="1"/>
  <pageMargins left="0.6" right="0.6" top="0.75" bottom="0.5" header="0.25" footer="0.24"/>
  <pageSetup scale="70"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tabColor theme="6" tint="0.39997558519241921"/>
    <pageSetUpPr fitToPage="1"/>
  </sheetPr>
  <dimension ref="A1:O68"/>
  <sheetViews>
    <sheetView showGridLines="0" zoomScaleNormal="100" zoomScaleSheetLayoutView="80" workbookViewId="0">
      <selection sqref="A1:I1"/>
    </sheetView>
  </sheetViews>
  <sheetFormatPr defaultColWidth="9.625" defaultRowHeight="15.75"/>
  <cols>
    <col min="1" max="1" width="4" style="22" bestFit="1" customWidth="1"/>
    <col min="2" max="2" width="12.125" style="22" customWidth="1"/>
    <col min="3" max="3" width="15.375" style="22" customWidth="1"/>
    <col min="4" max="4" width="10.625" style="22" customWidth="1"/>
    <col min="5" max="5" width="6.25" style="22" bestFit="1" customWidth="1"/>
    <col min="6" max="6" width="6.375" style="22" bestFit="1" customWidth="1"/>
    <col min="7" max="7" width="11.75" style="22" customWidth="1"/>
    <col min="8" max="8" width="7.25" style="22" bestFit="1" customWidth="1"/>
    <col min="9" max="9" width="10.5" style="22" bestFit="1" customWidth="1"/>
    <col min="10" max="10" width="11.75" style="22" customWidth="1"/>
    <col min="11" max="11" width="9.75" style="22" bestFit="1" customWidth="1"/>
    <col min="12" max="13" width="11.75" style="22" bestFit="1" customWidth="1"/>
    <col min="14" max="14" width="9" style="94" customWidth="1"/>
    <col min="15" max="16384" width="9.625" style="22"/>
  </cols>
  <sheetData>
    <row r="1" spans="1:13">
      <c r="A1" s="369" t="str">
        <f>CONCATENATE(COMPANY,"-",JURISDICTION)</f>
        <v>Atmos Energy Corporation-Kentucky</v>
      </c>
      <c r="B1" s="369"/>
      <c r="C1" s="369"/>
      <c r="D1" s="369"/>
      <c r="E1" s="369"/>
      <c r="F1" s="369"/>
      <c r="G1" s="369"/>
      <c r="H1" s="369"/>
      <c r="I1" s="369"/>
      <c r="J1" s="175" t="s">
        <v>195</v>
      </c>
      <c r="K1" s="292"/>
    </row>
    <row r="2" spans="1:13">
      <c r="A2" s="371" t="s">
        <v>4</v>
      </c>
      <c r="B2" s="371"/>
      <c r="C2" s="371"/>
      <c r="D2" s="371"/>
      <c r="E2" s="371"/>
      <c r="F2" s="371"/>
      <c r="G2" s="371"/>
      <c r="H2" s="371"/>
      <c r="I2" s="371"/>
      <c r="J2" s="263"/>
      <c r="K2" s="293"/>
    </row>
    <row r="3" spans="1:13">
      <c r="A3" s="370" t="str">
        <f>'ATO-CWC2'!A4</f>
        <v>For the CWC Study Test Year Ended March 31, 2021</v>
      </c>
      <c r="B3" s="370"/>
      <c r="C3" s="370"/>
      <c r="D3" s="370"/>
      <c r="E3" s="370"/>
      <c r="F3" s="370"/>
      <c r="G3" s="370"/>
      <c r="H3" s="370"/>
      <c r="I3" s="370"/>
      <c r="J3" s="294"/>
      <c r="K3" s="295"/>
    </row>
    <row r="4" spans="1:13">
      <c r="A4" s="50"/>
      <c r="B4" s="50"/>
      <c r="C4" s="296"/>
      <c r="D4" s="296"/>
      <c r="E4" s="296"/>
      <c r="F4" s="296"/>
      <c r="G4" s="296"/>
      <c r="H4" s="296"/>
      <c r="I4" s="296"/>
      <c r="J4" s="296"/>
    </row>
    <row r="5" spans="1:13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3">
      <c r="A6" s="268"/>
      <c r="B6" s="268"/>
      <c r="C6" s="137" t="s">
        <v>137</v>
      </c>
      <c r="D6" s="137" t="s">
        <v>138</v>
      </c>
      <c r="E6" s="137"/>
      <c r="F6" s="268"/>
      <c r="G6" s="268"/>
      <c r="H6" s="268"/>
      <c r="I6" s="268"/>
      <c r="J6" s="268"/>
    </row>
    <row r="7" spans="1:13">
      <c r="A7" s="268"/>
      <c r="B7" s="268"/>
      <c r="C7" s="137" t="s">
        <v>139</v>
      </c>
      <c r="D7" s="137" t="s">
        <v>140</v>
      </c>
      <c r="E7" s="137"/>
      <c r="F7" s="268"/>
      <c r="G7" s="268"/>
      <c r="H7" s="268"/>
      <c r="I7" s="137" t="s">
        <v>141</v>
      </c>
      <c r="J7" s="53"/>
      <c r="K7" s="297"/>
    </row>
    <row r="8" spans="1:13">
      <c r="A8" s="137" t="s">
        <v>121</v>
      </c>
      <c r="B8" s="137"/>
      <c r="C8" s="137" t="s">
        <v>142</v>
      </c>
      <c r="D8" s="137" t="s">
        <v>143</v>
      </c>
      <c r="E8" s="137" t="s">
        <v>144</v>
      </c>
      <c r="F8" s="137" t="s">
        <v>145</v>
      </c>
      <c r="G8" s="137" t="s">
        <v>146</v>
      </c>
      <c r="H8" s="137" t="s">
        <v>120</v>
      </c>
      <c r="I8" s="137" t="s">
        <v>74</v>
      </c>
      <c r="J8" s="92"/>
      <c r="K8" s="298"/>
      <c r="L8" s="232"/>
    </row>
    <row r="9" spans="1:13">
      <c r="A9" s="288" t="s">
        <v>123</v>
      </c>
      <c r="B9" s="288"/>
      <c r="C9" s="288" t="s">
        <v>147</v>
      </c>
      <c r="D9" s="288" t="s">
        <v>147</v>
      </c>
      <c r="E9" s="288" t="s">
        <v>126</v>
      </c>
      <c r="F9" s="288" t="s">
        <v>136</v>
      </c>
      <c r="G9" s="288" t="s">
        <v>148</v>
      </c>
      <c r="H9" s="288" t="s">
        <v>136</v>
      </c>
      <c r="I9" s="288" t="s">
        <v>136</v>
      </c>
      <c r="J9" s="92"/>
      <c r="K9" s="270"/>
      <c r="L9" s="299"/>
      <c r="M9" s="14"/>
    </row>
    <row r="10" spans="1:13">
      <c r="A10" s="53"/>
      <c r="B10" s="53"/>
      <c r="C10" s="54" t="s">
        <v>128</v>
      </c>
      <c r="D10" s="54" t="s">
        <v>129</v>
      </c>
      <c r="E10" s="54" t="s">
        <v>130</v>
      </c>
      <c r="F10" s="54" t="s">
        <v>131</v>
      </c>
      <c r="G10" s="54" t="s">
        <v>132</v>
      </c>
      <c r="H10" s="54" t="s">
        <v>133</v>
      </c>
      <c r="I10" s="54" t="s">
        <v>134</v>
      </c>
      <c r="J10" s="196"/>
      <c r="K10" s="299"/>
      <c r="L10" s="300"/>
      <c r="M10" s="14"/>
    </row>
    <row r="11" spans="1:13">
      <c r="A11" s="53"/>
      <c r="B11" s="53"/>
      <c r="C11" s="53"/>
      <c r="D11" s="53"/>
      <c r="E11" s="53"/>
      <c r="F11" s="53"/>
      <c r="G11" s="53"/>
      <c r="H11" s="53"/>
      <c r="I11" s="53"/>
      <c r="J11" s="55"/>
      <c r="K11" s="14"/>
      <c r="L11" s="14"/>
      <c r="M11" s="14"/>
    </row>
    <row r="12" spans="1:13">
      <c r="A12" s="137">
        <v>1</v>
      </c>
      <c r="B12" s="268"/>
      <c r="C12" s="362">
        <v>43911</v>
      </c>
      <c r="D12" s="363">
        <v>43924</v>
      </c>
      <c r="E12" s="57">
        <f>D12-C12+1</f>
        <v>14</v>
      </c>
      <c r="F12" s="57">
        <f t="shared" ref="F12" si="0">E12/2</f>
        <v>7</v>
      </c>
      <c r="G12" s="363">
        <v>43931</v>
      </c>
      <c r="H12" s="57">
        <f t="shared" ref="H12:H36" si="1">G12-D12</f>
        <v>7</v>
      </c>
      <c r="I12" s="57">
        <f t="shared" ref="I12:I36" si="2">F12+H12</f>
        <v>14</v>
      </c>
      <c r="J12" s="92"/>
      <c r="K12" s="42"/>
      <c r="L12" s="43"/>
      <c r="M12" s="14"/>
    </row>
    <row r="13" spans="1:13">
      <c r="A13" s="137">
        <v>2</v>
      </c>
      <c r="B13" s="268"/>
      <c r="C13" s="362">
        <v>43925</v>
      </c>
      <c r="D13" s="363">
        <v>43938</v>
      </c>
      <c r="E13" s="57">
        <f t="shared" ref="E13:E25" si="3">D13-C13+1</f>
        <v>14</v>
      </c>
      <c r="F13" s="57">
        <f t="shared" ref="F13:F26" si="4">E13/2</f>
        <v>7</v>
      </c>
      <c r="G13" s="363">
        <v>43945</v>
      </c>
      <c r="H13" s="57">
        <f t="shared" si="1"/>
        <v>7</v>
      </c>
      <c r="I13" s="57">
        <f t="shared" si="2"/>
        <v>14</v>
      </c>
      <c r="J13" s="92"/>
      <c r="K13" s="42"/>
      <c r="L13" s="43"/>
      <c r="M13" s="14"/>
    </row>
    <row r="14" spans="1:13">
      <c r="A14" s="137">
        <f>A13+1</f>
        <v>3</v>
      </c>
      <c r="B14" s="268"/>
      <c r="C14" s="362">
        <v>43939</v>
      </c>
      <c r="D14" s="363">
        <v>43952</v>
      </c>
      <c r="E14" s="57">
        <f t="shared" si="3"/>
        <v>14</v>
      </c>
      <c r="F14" s="57">
        <f t="shared" si="4"/>
        <v>7</v>
      </c>
      <c r="G14" s="363">
        <v>43959</v>
      </c>
      <c r="H14" s="57">
        <f t="shared" si="1"/>
        <v>7</v>
      </c>
      <c r="I14" s="57">
        <f t="shared" si="2"/>
        <v>14</v>
      </c>
      <c r="J14" s="92"/>
      <c r="K14" s="42"/>
      <c r="L14" s="43"/>
      <c r="M14" s="14"/>
    </row>
    <row r="15" spans="1:13">
      <c r="A15" s="137">
        <f t="shared" ref="A15:A36" si="5">A14+1</f>
        <v>4</v>
      </c>
      <c r="B15" s="268"/>
      <c r="C15" s="362">
        <v>43953</v>
      </c>
      <c r="D15" s="363">
        <v>43966</v>
      </c>
      <c r="E15" s="57">
        <f t="shared" si="3"/>
        <v>14</v>
      </c>
      <c r="F15" s="57">
        <f t="shared" si="4"/>
        <v>7</v>
      </c>
      <c r="G15" s="363">
        <v>43973</v>
      </c>
      <c r="H15" s="57">
        <f t="shared" si="1"/>
        <v>7</v>
      </c>
      <c r="I15" s="57">
        <f t="shared" si="2"/>
        <v>14</v>
      </c>
      <c r="J15" s="92"/>
      <c r="K15" s="42"/>
      <c r="L15" s="43"/>
      <c r="M15" s="14"/>
    </row>
    <row r="16" spans="1:13">
      <c r="A16" s="137">
        <f t="shared" si="5"/>
        <v>5</v>
      </c>
      <c r="B16" s="268"/>
      <c r="C16" s="362">
        <v>43967</v>
      </c>
      <c r="D16" s="363">
        <v>43980</v>
      </c>
      <c r="E16" s="57">
        <f t="shared" si="3"/>
        <v>14</v>
      </c>
      <c r="F16" s="57">
        <f t="shared" si="4"/>
        <v>7</v>
      </c>
      <c r="G16" s="363">
        <v>43987</v>
      </c>
      <c r="H16" s="57">
        <f t="shared" si="1"/>
        <v>7</v>
      </c>
      <c r="I16" s="57">
        <f t="shared" si="2"/>
        <v>14</v>
      </c>
      <c r="J16" s="92"/>
      <c r="K16" s="42"/>
      <c r="L16" s="43"/>
      <c r="M16" s="14"/>
    </row>
    <row r="17" spans="1:15">
      <c r="A17" s="137">
        <f t="shared" si="5"/>
        <v>6</v>
      </c>
      <c r="B17" s="268"/>
      <c r="C17" s="362">
        <v>43981</v>
      </c>
      <c r="D17" s="363">
        <v>43994</v>
      </c>
      <c r="E17" s="57">
        <f t="shared" si="3"/>
        <v>14</v>
      </c>
      <c r="F17" s="57">
        <f t="shared" si="4"/>
        <v>7</v>
      </c>
      <c r="G17" s="363">
        <v>44001</v>
      </c>
      <c r="H17" s="57">
        <f t="shared" si="1"/>
        <v>7</v>
      </c>
      <c r="I17" s="57">
        <f t="shared" si="2"/>
        <v>14</v>
      </c>
      <c r="J17" s="92"/>
      <c r="K17" s="42"/>
      <c r="L17" s="43"/>
      <c r="M17" s="14"/>
    </row>
    <row r="18" spans="1:15" ht="14.25">
      <c r="A18" s="137">
        <f t="shared" si="5"/>
        <v>7</v>
      </c>
      <c r="B18" s="268"/>
      <c r="C18" s="362">
        <v>43995</v>
      </c>
      <c r="D18" s="363">
        <v>44008</v>
      </c>
      <c r="E18" s="57">
        <f t="shared" si="3"/>
        <v>14</v>
      </c>
      <c r="F18" s="57">
        <f t="shared" si="4"/>
        <v>7</v>
      </c>
      <c r="G18" s="363">
        <v>44015</v>
      </c>
      <c r="H18" s="57">
        <f t="shared" si="1"/>
        <v>7</v>
      </c>
      <c r="I18" s="57">
        <f t="shared" si="2"/>
        <v>14</v>
      </c>
      <c r="J18" s="92"/>
      <c r="K18" s="44"/>
      <c r="L18" s="44"/>
      <c r="M18" s="45"/>
      <c r="N18" s="46"/>
      <c r="O18" s="44"/>
    </row>
    <row r="19" spans="1:15">
      <c r="A19" s="137">
        <f t="shared" si="5"/>
        <v>8</v>
      </c>
      <c r="B19" s="268"/>
      <c r="C19" s="362">
        <v>44009</v>
      </c>
      <c r="D19" s="363">
        <v>44022</v>
      </c>
      <c r="E19" s="57">
        <f t="shared" si="3"/>
        <v>14</v>
      </c>
      <c r="F19" s="57">
        <f t="shared" si="4"/>
        <v>7</v>
      </c>
      <c r="G19" s="363">
        <v>44029</v>
      </c>
      <c r="H19" s="57">
        <f t="shared" si="1"/>
        <v>7</v>
      </c>
      <c r="I19" s="57">
        <f t="shared" si="2"/>
        <v>14</v>
      </c>
      <c r="J19" s="92"/>
      <c r="K19" s="42"/>
      <c r="L19" s="43"/>
      <c r="M19" s="14"/>
      <c r="N19" s="28"/>
      <c r="O19" s="14"/>
    </row>
    <row r="20" spans="1:15">
      <c r="A20" s="137">
        <f t="shared" si="5"/>
        <v>9</v>
      </c>
      <c r="B20" s="268"/>
      <c r="C20" s="362">
        <v>44023</v>
      </c>
      <c r="D20" s="363">
        <v>44036</v>
      </c>
      <c r="E20" s="57">
        <f t="shared" si="3"/>
        <v>14</v>
      </c>
      <c r="F20" s="57">
        <f t="shared" si="4"/>
        <v>7</v>
      </c>
      <c r="G20" s="363">
        <v>44043</v>
      </c>
      <c r="H20" s="57">
        <f t="shared" si="1"/>
        <v>7</v>
      </c>
      <c r="I20" s="57">
        <f t="shared" si="2"/>
        <v>14</v>
      </c>
      <c r="J20" s="92"/>
      <c r="K20" s="42"/>
      <c r="L20" s="43"/>
      <c r="M20" s="14"/>
    </row>
    <row r="21" spans="1:15">
      <c r="A21" s="137">
        <f t="shared" si="5"/>
        <v>10</v>
      </c>
      <c r="B21" s="268"/>
      <c r="C21" s="362">
        <v>44037</v>
      </c>
      <c r="D21" s="363">
        <v>44050</v>
      </c>
      <c r="E21" s="57">
        <f t="shared" si="3"/>
        <v>14</v>
      </c>
      <c r="F21" s="57">
        <f t="shared" si="4"/>
        <v>7</v>
      </c>
      <c r="G21" s="363">
        <v>44057</v>
      </c>
      <c r="H21" s="57">
        <f t="shared" si="1"/>
        <v>7</v>
      </c>
      <c r="I21" s="57">
        <f t="shared" si="2"/>
        <v>14</v>
      </c>
      <c r="J21" s="92"/>
      <c r="K21" s="42"/>
      <c r="L21" s="43"/>
      <c r="M21" s="14"/>
    </row>
    <row r="22" spans="1:15">
      <c r="A22" s="137">
        <f t="shared" si="5"/>
        <v>11</v>
      </c>
      <c r="B22" s="268"/>
      <c r="C22" s="362">
        <v>44051</v>
      </c>
      <c r="D22" s="363">
        <v>44064</v>
      </c>
      <c r="E22" s="57">
        <f t="shared" si="3"/>
        <v>14</v>
      </c>
      <c r="F22" s="57">
        <f t="shared" si="4"/>
        <v>7</v>
      </c>
      <c r="G22" s="363">
        <v>44071</v>
      </c>
      <c r="H22" s="57">
        <f t="shared" si="1"/>
        <v>7</v>
      </c>
      <c r="I22" s="57">
        <f t="shared" si="2"/>
        <v>14</v>
      </c>
      <c r="J22" s="92"/>
      <c r="K22" s="42"/>
      <c r="L22" s="43"/>
      <c r="M22" s="14"/>
      <c r="N22" s="301"/>
    </row>
    <row r="23" spans="1:15">
      <c r="A23" s="137">
        <f t="shared" si="5"/>
        <v>12</v>
      </c>
      <c r="B23" s="268"/>
      <c r="C23" s="362">
        <v>44065</v>
      </c>
      <c r="D23" s="363">
        <v>44078</v>
      </c>
      <c r="E23" s="57">
        <f t="shared" si="3"/>
        <v>14</v>
      </c>
      <c r="F23" s="57">
        <f t="shared" si="4"/>
        <v>7</v>
      </c>
      <c r="G23" s="363">
        <v>44085</v>
      </c>
      <c r="H23" s="57">
        <f t="shared" si="1"/>
        <v>7</v>
      </c>
      <c r="I23" s="57">
        <f t="shared" si="2"/>
        <v>14</v>
      </c>
      <c r="J23" s="92"/>
      <c r="K23" s="42"/>
      <c r="L23" s="43"/>
      <c r="M23" s="14"/>
    </row>
    <row r="24" spans="1:15">
      <c r="A24" s="137">
        <f t="shared" si="5"/>
        <v>13</v>
      </c>
      <c r="B24" s="268"/>
      <c r="C24" s="362">
        <v>44079</v>
      </c>
      <c r="D24" s="363">
        <v>44092</v>
      </c>
      <c r="E24" s="57">
        <f t="shared" si="3"/>
        <v>14</v>
      </c>
      <c r="F24" s="57">
        <f t="shared" si="4"/>
        <v>7</v>
      </c>
      <c r="G24" s="363">
        <v>44099</v>
      </c>
      <c r="H24" s="57">
        <f t="shared" si="1"/>
        <v>7</v>
      </c>
      <c r="I24" s="57">
        <f t="shared" si="2"/>
        <v>14</v>
      </c>
      <c r="J24" s="92"/>
      <c r="K24" s="42"/>
      <c r="L24" s="43"/>
      <c r="M24" s="14"/>
    </row>
    <row r="25" spans="1:15">
      <c r="A25" s="137">
        <f t="shared" si="5"/>
        <v>14</v>
      </c>
      <c r="B25" s="268"/>
      <c r="C25" s="362">
        <v>44093</v>
      </c>
      <c r="D25" s="363">
        <v>44106</v>
      </c>
      <c r="E25" s="57">
        <f t="shared" si="3"/>
        <v>14</v>
      </c>
      <c r="F25" s="57">
        <f t="shared" si="4"/>
        <v>7</v>
      </c>
      <c r="G25" s="363">
        <v>44113</v>
      </c>
      <c r="H25" s="57">
        <f t="shared" si="1"/>
        <v>7</v>
      </c>
      <c r="I25" s="57">
        <f t="shared" si="2"/>
        <v>14</v>
      </c>
      <c r="J25" s="92"/>
      <c r="K25" s="42"/>
      <c r="L25" s="43"/>
      <c r="M25" s="14"/>
    </row>
    <row r="26" spans="1:15">
      <c r="A26" s="137">
        <f t="shared" si="5"/>
        <v>15</v>
      </c>
      <c r="B26" s="268"/>
      <c r="C26" s="362">
        <v>44107</v>
      </c>
      <c r="D26" s="363">
        <v>44120</v>
      </c>
      <c r="E26" s="57">
        <f t="shared" ref="E26" si="6">D26-C26+1</f>
        <v>14</v>
      </c>
      <c r="F26" s="57">
        <f t="shared" si="4"/>
        <v>7</v>
      </c>
      <c r="G26" s="363">
        <v>44127</v>
      </c>
      <c r="H26" s="57">
        <f t="shared" si="1"/>
        <v>7</v>
      </c>
      <c r="I26" s="57">
        <f t="shared" si="2"/>
        <v>14</v>
      </c>
      <c r="J26" s="92"/>
      <c r="K26" s="42"/>
      <c r="L26" s="43"/>
      <c r="M26" s="14"/>
    </row>
    <row r="27" spans="1:15">
      <c r="A27" s="137">
        <f t="shared" si="5"/>
        <v>16</v>
      </c>
      <c r="B27" s="268"/>
      <c r="C27" s="362">
        <v>44121</v>
      </c>
      <c r="D27" s="363">
        <v>44134</v>
      </c>
      <c r="E27" s="57">
        <f t="shared" ref="E27:E38" si="7">D27-C27+1</f>
        <v>14</v>
      </c>
      <c r="F27" s="57">
        <f t="shared" ref="F27:F38" si="8">E27/2</f>
        <v>7</v>
      </c>
      <c r="G27" s="363">
        <v>44141</v>
      </c>
      <c r="H27" s="57">
        <f t="shared" si="1"/>
        <v>7</v>
      </c>
      <c r="I27" s="57">
        <f t="shared" si="2"/>
        <v>14</v>
      </c>
      <c r="J27" s="92"/>
      <c r="K27" s="42"/>
      <c r="L27" s="43"/>
      <c r="M27" s="14"/>
    </row>
    <row r="28" spans="1:15">
      <c r="A28" s="137">
        <f t="shared" si="5"/>
        <v>17</v>
      </c>
      <c r="B28" s="268"/>
      <c r="C28" s="362">
        <v>44135</v>
      </c>
      <c r="D28" s="363">
        <v>44148</v>
      </c>
      <c r="E28" s="57">
        <f t="shared" si="7"/>
        <v>14</v>
      </c>
      <c r="F28" s="57">
        <f t="shared" si="8"/>
        <v>7</v>
      </c>
      <c r="G28" s="363">
        <v>44155</v>
      </c>
      <c r="H28" s="57">
        <f t="shared" si="1"/>
        <v>7</v>
      </c>
      <c r="I28" s="57">
        <f t="shared" si="2"/>
        <v>14</v>
      </c>
      <c r="J28" s="92"/>
      <c r="K28" s="42"/>
      <c r="L28" s="43"/>
      <c r="M28" s="14"/>
    </row>
    <row r="29" spans="1:15">
      <c r="A29" s="137">
        <f t="shared" si="5"/>
        <v>18</v>
      </c>
      <c r="B29" s="268"/>
      <c r="C29" s="362">
        <v>44149</v>
      </c>
      <c r="D29" s="363">
        <v>44162</v>
      </c>
      <c r="E29" s="57">
        <f t="shared" si="7"/>
        <v>14</v>
      </c>
      <c r="F29" s="57">
        <f t="shared" si="8"/>
        <v>7</v>
      </c>
      <c r="G29" s="363">
        <v>44169</v>
      </c>
      <c r="H29" s="57">
        <f t="shared" si="1"/>
        <v>7</v>
      </c>
      <c r="I29" s="57">
        <f t="shared" si="2"/>
        <v>14</v>
      </c>
      <c r="J29" s="92"/>
      <c r="K29" s="42"/>
      <c r="L29" s="43"/>
      <c r="M29" s="14"/>
    </row>
    <row r="30" spans="1:15">
      <c r="A30" s="137">
        <f t="shared" si="5"/>
        <v>19</v>
      </c>
      <c r="B30" s="268"/>
      <c r="C30" s="362">
        <v>44163</v>
      </c>
      <c r="D30" s="363">
        <v>44176</v>
      </c>
      <c r="E30" s="57">
        <f t="shared" si="7"/>
        <v>14</v>
      </c>
      <c r="F30" s="57">
        <f t="shared" si="8"/>
        <v>7</v>
      </c>
      <c r="G30" s="363">
        <v>44183</v>
      </c>
      <c r="H30" s="57">
        <f t="shared" si="1"/>
        <v>7</v>
      </c>
      <c r="I30" s="57">
        <f t="shared" si="2"/>
        <v>14</v>
      </c>
      <c r="J30" s="92"/>
      <c r="K30" s="42"/>
      <c r="L30" s="43"/>
      <c r="M30" s="14"/>
    </row>
    <row r="31" spans="1:15">
      <c r="A31" s="137">
        <f t="shared" si="5"/>
        <v>20</v>
      </c>
      <c r="B31" s="268"/>
      <c r="C31" s="362">
        <v>44177</v>
      </c>
      <c r="D31" s="363">
        <v>44190</v>
      </c>
      <c r="E31" s="57">
        <f t="shared" si="7"/>
        <v>14</v>
      </c>
      <c r="F31" s="57">
        <f t="shared" si="8"/>
        <v>7</v>
      </c>
      <c r="G31" s="363">
        <v>44196</v>
      </c>
      <c r="H31" s="57">
        <f t="shared" si="1"/>
        <v>6</v>
      </c>
      <c r="I31" s="57">
        <f t="shared" si="2"/>
        <v>13</v>
      </c>
      <c r="J31" s="92"/>
      <c r="K31" s="42"/>
      <c r="L31" s="43"/>
      <c r="M31" s="14"/>
    </row>
    <row r="32" spans="1:15">
      <c r="A32" s="137">
        <f t="shared" si="5"/>
        <v>21</v>
      </c>
      <c r="B32" s="268"/>
      <c r="C32" s="362">
        <v>44191</v>
      </c>
      <c r="D32" s="363">
        <v>44204</v>
      </c>
      <c r="E32" s="57">
        <f t="shared" si="7"/>
        <v>14</v>
      </c>
      <c r="F32" s="57">
        <f t="shared" si="8"/>
        <v>7</v>
      </c>
      <c r="G32" s="363">
        <v>44211</v>
      </c>
      <c r="H32" s="57">
        <f t="shared" si="1"/>
        <v>7</v>
      </c>
      <c r="I32" s="57">
        <f t="shared" si="2"/>
        <v>14</v>
      </c>
      <c r="J32" s="92"/>
      <c r="K32" s="42"/>
      <c r="L32" s="43"/>
      <c r="M32" s="14"/>
    </row>
    <row r="33" spans="1:15">
      <c r="A33" s="137">
        <f t="shared" si="5"/>
        <v>22</v>
      </c>
      <c r="B33" s="268"/>
      <c r="C33" s="362">
        <f>D32+1</f>
        <v>44205</v>
      </c>
      <c r="D33" s="363">
        <f>C33+13</f>
        <v>44218</v>
      </c>
      <c r="E33" s="57">
        <f t="shared" si="7"/>
        <v>14</v>
      </c>
      <c r="F33" s="57">
        <f t="shared" si="8"/>
        <v>7</v>
      </c>
      <c r="G33" s="363">
        <f>G32+14</f>
        <v>44225</v>
      </c>
      <c r="H33" s="57">
        <f t="shared" si="1"/>
        <v>7</v>
      </c>
      <c r="I33" s="57">
        <f t="shared" si="2"/>
        <v>14</v>
      </c>
      <c r="J33" s="92"/>
      <c r="K33" s="42"/>
      <c r="L33" s="43"/>
      <c r="M33" s="14"/>
    </row>
    <row r="34" spans="1:15">
      <c r="A34" s="137">
        <f t="shared" si="5"/>
        <v>23</v>
      </c>
      <c r="B34" s="268"/>
      <c r="C34" s="362">
        <f t="shared" ref="C34:C38" si="9">D33+1</f>
        <v>44219</v>
      </c>
      <c r="D34" s="363">
        <f t="shared" ref="D34:D38" si="10">C34+13</f>
        <v>44232</v>
      </c>
      <c r="E34" s="57">
        <f t="shared" si="7"/>
        <v>14</v>
      </c>
      <c r="F34" s="57">
        <f t="shared" si="8"/>
        <v>7</v>
      </c>
      <c r="G34" s="363">
        <f t="shared" ref="G34:G38" si="11">G33+14</f>
        <v>44239</v>
      </c>
      <c r="H34" s="57">
        <f t="shared" si="1"/>
        <v>7</v>
      </c>
      <c r="I34" s="57">
        <f t="shared" si="2"/>
        <v>14</v>
      </c>
      <c r="J34" s="92"/>
      <c r="K34" s="42"/>
      <c r="L34" s="43"/>
      <c r="M34" s="14"/>
    </row>
    <row r="35" spans="1:15">
      <c r="A35" s="137">
        <f t="shared" si="5"/>
        <v>24</v>
      </c>
      <c r="B35" s="268"/>
      <c r="C35" s="362">
        <f t="shared" si="9"/>
        <v>44233</v>
      </c>
      <c r="D35" s="363">
        <f t="shared" si="10"/>
        <v>44246</v>
      </c>
      <c r="E35" s="57">
        <f t="shared" si="7"/>
        <v>14</v>
      </c>
      <c r="F35" s="57">
        <f t="shared" si="8"/>
        <v>7</v>
      </c>
      <c r="G35" s="363">
        <f t="shared" si="11"/>
        <v>44253</v>
      </c>
      <c r="H35" s="57">
        <f t="shared" si="1"/>
        <v>7</v>
      </c>
      <c r="I35" s="57">
        <f t="shared" si="2"/>
        <v>14</v>
      </c>
      <c r="J35" s="92"/>
      <c r="K35" s="42"/>
      <c r="L35" s="43"/>
      <c r="M35" s="14"/>
    </row>
    <row r="36" spans="1:15">
      <c r="A36" s="137">
        <f t="shared" si="5"/>
        <v>25</v>
      </c>
      <c r="B36" s="268"/>
      <c r="C36" s="362">
        <f t="shared" si="9"/>
        <v>44247</v>
      </c>
      <c r="D36" s="363">
        <f t="shared" si="10"/>
        <v>44260</v>
      </c>
      <c r="E36" s="57">
        <f t="shared" si="7"/>
        <v>14</v>
      </c>
      <c r="F36" s="57">
        <f t="shared" si="8"/>
        <v>7</v>
      </c>
      <c r="G36" s="363">
        <f t="shared" si="11"/>
        <v>44267</v>
      </c>
      <c r="H36" s="57">
        <f t="shared" si="1"/>
        <v>7</v>
      </c>
      <c r="I36" s="57">
        <f t="shared" si="2"/>
        <v>14</v>
      </c>
      <c r="J36" s="92"/>
      <c r="K36" s="42"/>
      <c r="L36" s="43"/>
      <c r="M36" s="14"/>
    </row>
    <row r="37" spans="1:15">
      <c r="A37" s="137">
        <v>26</v>
      </c>
      <c r="B37" s="268"/>
      <c r="C37" s="362">
        <f t="shared" si="9"/>
        <v>44261</v>
      </c>
      <c r="D37" s="363">
        <f t="shared" si="10"/>
        <v>44274</v>
      </c>
      <c r="E37" s="57">
        <f t="shared" si="7"/>
        <v>14</v>
      </c>
      <c r="F37" s="57">
        <f t="shared" si="8"/>
        <v>7</v>
      </c>
      <c r="G37" s="363">
        <f t="shared" si="11"/>
        <v>44281</v>
      </c>
      <c r="H37" s="57">
        <f t="shared" ref="H37" si="12">G37-D37</f>
        <v>7</v>
      </c>
      <c r="I37" s="57">
        <f t="shared" ref="I37" si="13">F37+H37</f>
        <v>14</v>
      </c>
      <c r="J37" s="92"/>
      <c r="K37" s="42"/>
      <c r="L37" s="43"/>
      <c r="M37" s="14"/>
    </row>
    <row r="38" spans="1:15">
      <c r="A38" s="137">
        <v>27</v>
      </c>
      <c r="B38" s="268"/>
      <c r="C38" s="362">
        <f t="shared" si="9"/>
        <v>44275</v>
      </c>
      <c r="D38" s="363">
        <f t="shared" si="10"/>
        <v>44288</v>
      </c>
      <c r="E38" s="57">
        <f t="shared" si="7"/>
        <v>14</v>
      </c>
      <c r="F38" s="57">
        <f t="shared" si="8"/>
        <v>7</v>
      </c>
      <c r="G38" s="363">
        <f t="shared" si="11"/>
        <v>44295</v>
      </c>
      <c r="H38" s="179">
        <f>G38-D38</f>
        <v>7</v>
      </c>
      <c r="I38" s="179">
        <f>F38+H38</f>
        <v>14</v>
      </c>
      <c r="J38" s="92"/>
      <c r="K38" s="42"/>
      <c r="L38" s="43"/>
      <c r="M38" s="14"/>
    </row>
    <row r="39" spans="1:15">
      <c r="A39" s="137">
        <v>28</v>
      </c>
      <c r="B39" s="268"/>
      <c r="C39" s="181"/>
      <c r="D39" s="181"/>
      <c r="E39" s="268"/>
      <c r="F39" s="302"/>
      <c r="G39" s="181"/>
      <c r="H39" s="268"/>
      <c r="I39" s="268"/>
      <c r="J39" s="92"/>
      <c r="K39" s="42"/>
    </row>
    <row r="40" spans="1:15">
      <c r="A40" s="137">
        <v>29</v>
      </c>
      <c r="B40" s="53"/>
      <c r="C40" s="268"/>
      <c r="D40" s="268"/>
      <c r="E40" s="268"/>
      <c r="F40" s="268"/>
      <c r="G40" s="56" t="s">
        <v>87</v>
      </c>
      <c r="H40" s="268"/>
      <c r="I40" s="103">
        <f>ROUND(AVERAGEA(I12:I36),1)</f>
        <v>14</v>
      </c>
      <c r="J40" s="92"/>
      <c r="K40" s="303"/>
      <c r="L40" s="304"/>
    </row>
    <row r="41" spans="1:15">
      <c r="A41" s="137">
        <v>30</v>
      </c>
      <c r="B41" s="53"/>
      <c r="C41" s="268"/>
      <c r="D41" s="268"/>
      <c r="E41" s="268"/>
      <c r="F41" s="268"/>
      <c r="G41" s="56"/>
      <c r="H41" s="268"/>
      <c r="I41" s="140"/>
      <c r="J41" s="92"/>
      <c r="K41" s="303"/>
      <c r="L41" s="304"/>
    </row>
    <row r="42" spans="1:15">
      <c r="A42" s="137">
        <v>31</v>
      </c>
      <c r="B42" s="305" t="s">
        <v>112</v>
      </c>
      <c r="C42" s="92"/>
      <c r="D42" s="92"/>
      <c r="E42" s="92"/>
      <c r="F42" s="92"/>
      <c r="G42" s="176"/>
      <c r="H42" s="92"/>
      <c r="I42" s="140"/>
      <c r="J42" s="92"/>
      <c r="K42" s="303"/>
      <c r="L42" s="304"/>
    </row>
    <row r="43" spans="1:15">
      <c r="A43" s="137">
        <v>32</v>
      </c>
      <c r="B43" s="53"/>
      <c r="C43" s="137" t="s">
        <v>146</v>
      </c>
      <c r="D43" s="53"/>
      <c r="E43" s="53"/>
      <c r="F43" s="53"/>
      <c r="G43" s="54" t="s">
        <v>72</v>
      </c>
      <c r="H43" s="53"/>
      <c r="I43" s="54" t="s">
        <v>71</v>
      </c>
      <c r="J43" s="92"/>
      <c r="K43" s="303"/>
      <c r="L43" s="304"/>
    </row>
    <row r="44" spans="1:15">
      <c r="A44" s="137">
        <v>33</v>
      </c>
      <c r="B44" s="53"/>
      <c r="C44" s="288" t="s">
        <v>148</v>
      </c>
      <c r="D44" s="53"/>
      <c r="E44" s="306" t="s">
        <v>154</v>
      </c>
      <c r="F44" s="53"/>
      <c r="G44" s="192" t="s">
        <v>73</v>
      </c>
      <c r="H44" s="53"/>
      <c r="I44" s="190" t="s">
        <v>88</v>
      </c>
      <c r="J44" s="92"/>
      <c r="K44" s="303"/>
      <c r="L44" s="32"/>
    </row>
    <row r="45" spans="1:15">
      <c r="A45" s="137">
        <v>34</v>
      </c>
      <c r="B45" s="53"/>
      <c r="C45" s="54" t="s">
        <v>132</v>
      </c>
      <c r="D45" s="53"/>
      <c r="E45" s="54" t="s">
        <v>53</v>
      </c>
      <c r="F45" s="53"/>
      <c r="G45" s="54" t="s">
        <v>75</v>
      </c>
      <c r="H45" s="53"/>
      <c r="I45" s="53"/>
      <c r="J45" s="92"/>
      <c r="K45" s="303"/>
      <c r="L45" s="14"/>
      <c r="M45" s="14"/>
      <c r="N45" s="28"/>
    </row>
    <row r="46" spans="1:15" ht="12.75">
      <c r="A46" s="137">
        <v>35</v>
      </c>
      <c r="B46" s="225" t="s">
        <v>65</v>
      </c>
      <c r="C46" s="364">
        <v>43987</v>
      </c>
      <c r="D46" s="53"/>
      <c r="E46" s="178">
        <v>0</v>
      </c>
      <c r="F46" s="53"/>
      <c r="G46" s="365">
        <v>0</v>
      </c>
      <c r="H46" s="53"/>
      <c r="I46" s="182">
        <f>ROUND(G46*E46,2)</f>
        <v>0</v>
      </c>
      <c r="J46" s="178"/>
      <c r="K46" s="307"/>
      <c r="L46" s="14"/>
      <c r="M46" s="299"/>
      <c r="N46" s="299"/>
    </row>
    <row r="47" spans="1:15" ht="12.75">
      <c r="A47" s="137">
        <v>36</v>
      </c>
      <c r="B47" s="225" t="s">
        <v>66</v>
      </c>
      <c r="C47" s="364">
        <v>43990</v>
      </c>
      <c r="D47" s="53"/>
      <c r="E47" s="178">
        <f>C47-C46</f>
        <v>3</v>
      </c>
      <c r="F47" s="53"/>
      <c r="G47" s="365">
        <v>5.2631578947368418E-2</v>
      </c>
      <c r="H47" s="53"/>
      <c r="I47" s="182">
        <f t="shared" ref="I47:I51" si="14">ROUND(G47*E47,2)</f>
        <v>0.16</v>
      </c>
      <c r="J47" s="309"/>
      <c r="K47" s="307"/>
      <c r="L47" s="14"/>
      <c r="M47" s="299"/>
      <c r="N47" s="310"/>
      <c r="O47" s="32"/>
    </row>
    <row r="48" spans="1:15" ht="12.75">
      <c r="A48" s="137">
        <v>37</v>
      </c>
      <c r="B48" s="225" t="s">
        <v>67</v>
      </c>
      <c r="C48" s="364">
        <v>43991</v>
      </c>
      <c r="D48" s="53"/>
      <c r="E48" s="178">
        <f>C48-C46</f>
        <v>4</v>
      </c>
      <c r="F48" s="53"/>
      <c r="G48" s="365">
        <v>0.31578947368421051</v>
      </c>
      <c r="H48" s="53"/>
      <c r="I48" s="182">
        <f t="shared" si="14"/>
        <v>1.26</v>
      </c>
      <c r="J48" s="178"/>
      <c r="K48" s="307"/>
      <c r="L48" s="14"/>
      <c r="M48" s="14"/>
      <c r="N48" s="310"/>
      <c r="O48" s="32"/>
    </row>
    <row r="49" spans="1:15" ht="12.75">
      <c r="A49" s="137">
        <v>38</v>
      </c>
      <c r="B49" s="225" t="s">
        <v>68</v>
      </c>
      <c r="C49" s="366" t="s">
        <v>293</v>
      </c>
      <c r="D49" s="53"/>
      <c r="E49" s="178">
        <v>9</v>
      </c>
      <c r="F49" s="53"/>
      <c r="G49" s="365">
        <v>0.36842105263157893</v>
      </c>
      <c r="H49" s="53"/>
      <c r="I49" s="182">
        <f t="shared" si="14"/>
        <v>3.32</v>
      </c>
      <c r="J49" s="176"/>
      <c r="K49" s="307"/>
      <c r="L49" s="14"/>
      <c r="M49" s="14"/>
      <c r="N49" s="310"/>
      <c r="O49" s="32"/>
    </row>
    <row r="50" spans="1:15" ht="12.75">
      <c r="A50" s="137">
        <v>39</v>
      </c>
      <c r="B50" s="225" t="s">
        <v>69</v>
      </c>
      <c r="C50" s="366" t="s">
        <v>294</v>
      </c>
      <c r="D50" s="53"/>
      <c r="E50" s="178">
        <f>9+7</f>
        <v>16</v>
      </c>
      <c r="F50" s="53"/>
      <c r="G50" s="365">
        <v>0.10526315789473684</v>
      </c>
      <c r="H50" s="53"/>
      <c r="I50" s="182">
        <f t="shared" si="14"/>
        <v>1.68</v>
      </c>
      <c r="J50" s="178"/>
      <c r="K50" s="307"/>
      <c r="L50" s="35"/>
      <c r="M50" s="35"/>
      <c r="N50" s="310"/>
      <c r="O50" s="32"/>
    </row>
    <row r="51" spans="1:15" ht="12.75">
      <c r="A51" s="137">
        <v>40</v>
      </c>
      <c r="B51" s="225" t="s">
        <v>70</v>
      </c>
      <c r="C51" s="364">
        <v>44004</v>
      </c>
      <c r="D51" s="53"/>
      <c r="E51" s="178">
        <f>16+7</f>
        <v>23</v>
      </c>
      <c r="F51" s="53"/>
      <c r="G51" s="365">
        <v>0.15789473684210525</v>
      </c>
      <c r="H51" s="53"/>
      <c r="I51" s="311">
        <f t="shared" si="14"/>
        <v>3.63</v>
      </c>
      <c r="J51" s="178"/>
      <c r="K51" s="307"/>
      <c r="L51" s="35"/>
      <c r="M51" s="35"/>
      <c r="N51" s="310"/>
      <c r="O51" s="32"/>
    </row>
    <row r="52" spans="1:15" ht="12.75">
      <c r="A52" s="137">
        <v>41</v>
      </c>
      <c r="B52" s="53"/>
      <c r="C52" s="268"/>
      <c r="D52" s="268"/>
      <c r="E52" s="140"/>
      <c r="F52" s="268"/>
      <c r="G52" s="53"/>
      <c r="H52" s="53"/>
      <c r="I52" s="55"/>
      <c r="J52" s="178"/>
      <c r="K52" s="303"/>
      <c r="L52" s="35"/>
      <c r="M52" s="35"/>
      <c r="N52" s="35"/>
      <c r="O52" s="14"/>
    </row>
    <row r="53" spans="1:15" ht="12.75">
      <c r="A53" s="137">
        <v>42</v>
      </c>
      <c r="B53" s="53" t="s">
        <v>115</v>
      </c>
      <c r="C53" s="92"/>
      <c r="D53" s="92"/>
      <c r="E53" s="92"/>
      <c r="F53" s="92"/>
      <c r="G53" s="176"/>
      <c r="H53" s="92"/>
      <c r="I53" s="103">
        <f>ROUND(SUM(I46:I52),2)</f>
        <v>10.050000000000001</v>
      </c>
      <c r="J53" s="178"/>
      <c r="K53" s="303"/>
      <c r="L53" s="35"/>
      <c r="M53" s="35"/>
      <c r="N53" s="35"/>
      <c r="O53" s="14"/>
    </row>
    <row r="54" spans="1:15" ht="12.75">
      <c r="A54" s="137">
        <v>43</v>
      </c>
      <c r="B54" s="53"/>
      <c r="C54" s="92"/>
      <c r="D54" s="92"/>
      <c r="E54" s="92"/>
      <c r="F54" s="92"/>
      <c r="G54" s="92"/>
      <c r="H54" s="92"/>
      <c r="I54" s="177"/>
      <c r="J54" s="178"/>
      <c r="K54" s="303"/>
      <c r="L54" s="35"/>
      <c r="M54" s="35"/>
      <c r="N54" s="35"/>
      <c r="O54" s="14"/>
    </row>
    <row r="55" spans="1:15" ht="12.75">
      <c r="A55" s="137">
        <v>44</v>
      </c>
      <c r="B55" s="53" t="s">
        <v>116</v>
      </c>
      <c r="C55" s="92"/>
      <c r="D55" s="92"/>
      <c r="E55" s="92"/>
      <c r="F55" s="92"/>
      <c r="G55" s="176"/>
      <c r="H55" s="92"/>
      <c r="I55" s="312">
        <v>8.1619327456741754E-3</v>
      </c>
      <c r="J55" s="178"/>
      <c r="K55" s="303"/>
      <c r="L55" s="35"/>
      <c r="M55" s="35"/>
      <c r="N55" s="35"/>
      <c r="O55" s="14"/>
    </row>
    <row r="56" spans="1:15" ht="12.75">
      <c r="A56" s="137">
        <v>45</v>
      </c>
      <c r="B56" s="53"/>
      <c r="C56" s="92"/>
      <c r="D56" s="92"/>
      <c r="E56" s="92"/>
      <c r="F56" s="92"/>
      <c r="G56" s="178"/>
      <c r="H56" s="92"/>
      <c r="I56" s="140"/>
      <c r="J56" s="92"/>
      <c r="K56" s="14"/>
      <c r="L56" s="14"/>
      <c r="M56" s="14"/>
      <c r="N56" s="14"/>
      <c r="O56" s="14"/>
    </row>
    <row r="57" spans="1:15" ht="12.75">
      <c r="A57" s="137">
        <v>46</v>
      </c>
      <c r="B57" s="55" t="s">
        <v>113</v>
      </c>
      <c r="C57" s="92"/>
      <c r="D57" s="92"/>
      <c r="E57" s="92"/>
      <c r="F57" s="92"/>
      <c r="G57" s="92"/>
      <c r="H57" s="92"/>
      <c r="I57" s="179">
        <f>ROUND(I53*I55,2)</f>
        <v>0.08</v>
      </c>
      <c r="J57" s="92"/>
      <c r="K57" s="14"/>
      <c r="L57" s="35"/>
      <c r="M57" s="35"/>
      <c r="N57" s="35"/>
      <c r="O57" s="14"/>
    </row>
    <row r="58" spans="1:15" ht="12.75">
      <c r="A58" s="137">
        <v>47</v>
      </c>
      <c r="B58" s="53"/>
      <c r="C58" s="92"/>
      <c r="D58" s="92"/>
      <c r="E58" s="92"/>
      <c r="F58" s="92"/>
      <c r="G58" s="92"/>
      <c r="H58" s="92"/>
      <c r="I58" s="177"/>
      <c r="J58" s="92"/>
      <c r="K58" s="14"/>
      <c r="L58" s="14"/>
      <c r="M58" s="14"/>
      <c r="N58" s="303"/>
      <c r="O58" s="14"/>
    </row>
    <row r="59" spans="1:15" ht="13.5" thickBot="1">
      <c r="A59" s="137">
        <v>48</v>
      </c>
      <c r="B59" s="55" t="s">
        <v>114</v>
      </c>
      <c r="C59" s="92"/>
      <c r="D59" s="92"/>
      <c r="E59" s="92"/>
      <c r="F59" s="92"/>
      <c r="G59" s="176"/>
      <c r="H59" s="92"/>
      <c r="I59" s="180">
        <f>I57+I40</f>
        <v>14.08</v>
      </c>
      <c r="J59" s="92"/>
      <c r="K59" s="303"/>
      <c r="L59" s="14"/>
      <c r="M59" s="14"/>
      <c r="N59" s="313"/>
      <c r="O59" s="14"/>
    </row>
    <row r="60" spans="1:15" ht="16.5" thickTop="1">
      <c r="A60" s="137">
        <v>49</v>
      </c>
      <c r="B60" s="55"/>
      <c r="C60" s="92"/>
      <c r="D60" s="92"/>
      <c r="E60" s="92"/>
      <c r="F60" s="92"/>
      <c r="G60" s="178"/>
      <c r="H60" s="92"/>
      <c r="I60" s="140"/>
      <c r="J60" s="92"/>
      <c r="K60" s="303"/>
      <c r="L60" s="314"/>
      <c r="M60" s="14"/>
      <c r="N60" s="28"/>
      <c r="O60" s="14"/>
    </row>
    <row r="61" spans="1:15">
      <c r="A61" s="137">
        <v>50</v>
      </c>
      <c r="B61" s="53" t="s">
        <v>295</v>
      </c>
      <c r="C61" s="92"/>
      <c r="D61" s="92"/>
      <c r="E61" s="92"/>
      <c r="F61" s="92"/>
      <c r="G61" s="92"/>
      <c r="H61" s="92"/>
      <c r="I61" s="140"/>
      <c r="J61" s="92"/>
      <c r="K61" s="303"/>
      <c r="L61" s="303"/>
      <c r="M61" s="14"/>
      <c r="N61" s="28"/>
      <c r="O61" s="14"/>
    </row>
    <row r="62" spans="1:15">
      <c r="A62" s="268"/>
      <c r="B62" s="55"/>
      <c r="C62" s="92"/>
      <c r="D62" s="92"/>
      <c r="E62" s="92"/>
      <c r="F62" s="92"/>
      <c r="G62" s="92"/>
      <c r="H62" s="92"/>
      <c r="I62" s="55"/>
      <c r="J62" s="92"/>
      <c r="K62" s="313"/>
      <c r="L62" s="304"/>
      <c r="M62" s="14"/>
      <c r="N62" s="28"/>
      <c r="O62" s="14"/>
    </row>
    <row r="63" spans="1:15">
      <c r="A63" s="268"/>
      <c r="B63" s="55"/>
      <c r="C63" s="92"/>
      <c r="D63" s="92"/>
      <c r="E63" s="315"/>
      <c r="F63" s="55"/>
      <c r="G63" s="55"/>
      <c r="H63" s="55"/>
      <c r="I63" s="55"/>
      <c r="J63" s="55"/>
      <c r="K63" s="299"/>
      <c r="L63" s="14"/>
      <c r="M63" s="14"/>
      <c r="N63" s="28"/>
      <c r="O63" s="14"/>
    </row>
    <row r="64" spans="1:15">
      <c r="A64" s="53"/>
      <c r="B64" s="268"/>
      <c r="C64" s="268"/>
      <c r="D64" s="268"/>
      <c r="E64" s="315"/>
      <c r="F64" s="53"/>
      <c r="G64" s="53"/>
      <c r="H64" s="53"/>
      <c r="I64" s="53"/>
      <c r="J64" s="53"/>
      <c r="O64" s="14"/>
    </row>
    <row r="65" spans="1:15">
      <c r="A65" s="53"/>
      <c r="B65" s="268"/>
      <c r="C65" s="53"/>
      <c r="D65" s="268"/>
      <c r="E65" s="55"/>
      <c r="F65" s="53"/>
      <c r="G65" s="53"/>
      <c r="H65" s="53"/>
      <c r="I65" s="53"/>
      <c r="J65" s="53"/>
      <c r="K65" s="232"/>
      <c r="O65" s="14"/>
    </row>
    <row r="66" spans="1:15" ht="15">
      <c r="A66" s="53"/>
      <c r="B66" s="53"/>
      <c r="C66" s="268"/>
      <c r="D66" s="268"/>
      <c r="E66" s="268"/>
      <c r="F66" s="92"/>
      <c r="G66" s="308"/>
      <c r="H66" s="53"/>
      <c r="I66" s="53"/>
      <c r="J66" s="104"/>
      <c r="N66" s="22"/>
      <c r="O66" s="14"/>
    </row>
    <row r="67" spans="1:15" ht="12.75">
      <c r="A67" s="256"/>
      <c r="C67" s="256"/>
      <c r="E67" s="256"/>
      <c r="F67" s="298" t="s">
        <v>2</v>
      </c>
      <c r="G67" s="303"/>
      <c r="J67" s="232"/>
      <c r="N67" s="22"/>
    </row>
    <row r="68" spans="1:15" ht="12.75">
      <c r="A68" s="256"/>
      <c r="J68" s="232"/>
      <c r="N68" s="22"/>
    </row>
  </sheetData>
  <mergeCells count="3">
    <mergeCell ref="A1:I1"/>
    <mergeCell ref="A2:I2"/>
    <mergeCell ref="A3:I3"/>
  </mergeCells>
  <phoneticPr fontId="9" type="noConversion"/>
  <printOptions horizontalCentered="1"/>
  <pageMargins left="0.6" right="0.6" top="0.75" bottom="0.5" header="0.25" footer="0.24"/>
  <pageSetup scale="54" orientation="landscape" r:id="rId1"/>
  <headerFooter alignWithMargins="0">
    <oddHeader>&amp;R&amp;"Arial,Bold"&amp;10Exhibit JTC-4 Lead Lag Study</oddHeader>
    <oddFooter>&amp;R&amp;"Arial,Regular"&amp;10Page &amp;P OF &amp;N</oddFooter>
  </headerFooter>
  <rowBreaks count="1" manualBreakCount="1">
    <brk id="4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1:F5597"/>
  <sheetViews>
    <sheetView zoomScaleNormal="100" zoomScaleSheetLayoutView="100" workbookViewId="0"/>
  </sheetViews>
  <sheetFormatPr defaultColWidth="9" defaultRowHeight="12.75"/>
  <cols>
    <col min="1" max="1" width="4.875" style="22" bestFit="1" customWidth="1"/>
    <col min="2" max="2" width="2.75" style="22" customWidth="1"/>
    <col min="3" max="3" width="40" style="22" customWidth="1"/>
    <col min="4" max="4" width="8.5" style="31" customWidth="1"/>
    <col min="5" max="5" width="11.625" style="32" customWidth="1"/>
    <col min="6" max="6" width="6" style="22" customWidth="1"/>
    <col min="7" max="16384" width="9" style="22"/>
  </cols>
  <sheetData>
    <row r="1" spans="1:6" ht="14.25">
      <c r="A1" s="105"/>
      <c r="B1" s="105"/>
      <c r="C1" s="105"/>
      <c r="D1" s="41"/>
      <c r="E1" s="115"/>
      <c r="F1" s="141" t="s">
        <v>196</v>
      </c>
    </row>
    <row r="2" spans="1:6" ht="15">
      <c r="A2" s="119" t="str">
        <f>CONCATENATE(COMPANY,"-",JURISDICTION)</f>
        <v>Atmos Energy Corporation-Kentucky</v>
      </c>
      <c r="B2" s="119"/>
      <c r="C2" s="120"/>
      <c r="D2" s="121"/>
      <c r="E2" s="122"/>
      <c r="F2" s="105"/>
    </row>
    <row r="3" spans="1:6" ht="15">
      <c r="A3" s="120" t="s">
        <v>9</v>
      </c>
      <c r="B3" s="120"/>
      <c r="C3" s="120"/>
      <c r="D3" s="121"/>
      <c r="E3" s="122"/>
      <c r="F3" s="120" t="s">
        <v>2</v>
      </c>
    </row>
    <row r="4" spans="1:6" ht="15">
      <c r="A4" s="372" t="str">
        <f>+'ATO-CWC2'!A4</f>
        <v>For the CWC Study Test Year Ended March 31, 2021</v>
      </c>
      <c r="B4" s="372"/>
      <c r="C4" s="372"/>
      <c r="D4" s="372"/>
      <c r="E4" s="372"/>
      <c r="F4" s="120" t="s">
        <v>2</v>
      </c>
    </row>
    <row r="5" spans="1:6" ht="15">
      <c r="A5" s="123"/>
      <c r="B5" s="123"/>
      <c r="C5" s="123"/>
      <c r="D5" s="124"/>
      <c r="E5" s="125"/>
      <c r="F5" s="123" t="s">
        <v>2</v>
      </c>
    </row>
    <row r="6" spans="1:6" ht="14.25">
      <c r="A6" s="105"/>
      <c r="B6" s="105"/>
      <c r="C6" s="105"/>
      <c r="D6" s="41"/>
      <c r="E6" s="115"/>
      <c r="F6" s="105" t="s">
        <v>2</v>
      </c>
    </row>
    <row r="7" spans="1:6" ht="14.25">
      <c r="A7" s="105" t="s">
        <v>121</v>
      </c>
      <c r="B7" s="105"/>
      <c r="C7" s="105"/>
      <c r="D7" s="126"/>
      <c r="E7" s="127" t="s">
        <v>150</v>
      </c>
      <c r="F7" s="105"/>
    </row>
    <row r="8" spans="1:6" ht="14.25">
      <c r="A8" s="114" t="s">
        <v>123</v>
      </c>
      <c r="B8" s="114"/>
      <c r="C8" s="114" t="s">
        <v>124</v>
      </c>
      <c r="D8" s="128"/>
      <c r="E8" s="129" t="s">
        <v>157</v>
      </c>
      <c r="F8" s="105"/>
    </row>
    <row r="9" spans="1:6" s="14" customFormat="1" ht="14.25">
      <c r="A9" s="113"/>
      <c r="B9" s="113"/>
      <c r="C9" s="130" t="s">
        <v>13</v>
      </c>
      <c r="D9" s="113"/>
      <c r="E9" s="131" t="s">
        <v>10</v>
      </c>
      <c r="F9" s="113"/>
    </row>
    <row r="10" spans="1:6" s="14" customFormat="1" ht="14.25">
      <c r="A10" s="113"/>
      <c r="B10" s="113"/>
      <c r="C10" s="130"/>
      <c r="D10" s="131"/>
      <c r="E10" s="131"/>
      <c r="F10" s="113"/>
    </row>
    <row r="11" spans="1:6" ht="14.25">
      <c r="A11" s="127">
        <v>1</v>
      </c>
      <c r="B11" s="105"/>
      <c r="C11" s="111" t="s">
        <v>15</v>
      </c>
      <c r="D11" s="41"/>
      <c r="E11" s="115">
        <f ca="1">+'WP 5-1'!L392</f>
        <v>25.53</v>
      </c>
      <c r="F11" s="105"/>
    </row>
    <row r="12" spans="1:6" ht="14.25">
      <c r="A12" s="127">
        <f>+A11+1</f>
        <v>2</v>
      </c>
      <c r="B12" s="105"/>
      <c r="C12" s="132"/>
      <c r="D12" s="41"/>
      <c r="E12" s="105"/>
      <c r="F12" s="105"/>
    </row>
    <row r="13" spans="1:6" ht="14.25">
      <c r="A13" s="127">
        <f>+A12+1</f>
        <v>3</v>
      </c>
      <c r="B13" s="105"/>
      <c r="C13" s="132" t="s">
        <v>36</v>
      </c>
      <c r="D13" s="41"/>
      <c r="E13" s="259">
        <f ca="1">+'WP 5-1'!O392</f>
        <v>2.5299999999999998</v>
      </c>
      <c r="F13" s="105"/>
    </row>
    <row r="14" spans="1:6" ht="14.25">
      <c r="A14" s="127">
        <v>4</v>
      </c>
      <c r="B14" s="105"/>
      <c r="C14" s="132"/>
      <c r="D14" s="41"/>
      <c r="E14" s="105"/>
      <c r="F14" s="105"/>
    </row>
    <row r="15" spans="1:6" ht="15" thickBot="1">
      <c r="A15" s="127">
        <v>5</v>
      </c>
      <c r="B15" s="105"/>
      <c r="C15" s="111" t="s">
        <v>37</v>
      </c>
      <c r="D15" s="41"/>
      <c r="E15" s="133">
        <f ca="1">+E11+E13</f>
        <v>28.060000000000002</v>
      </c>
      <c r="F15" s="105"/>
    </row>
    <row r="16" spans="1:6" ht="15" thickTop="1">
      <c r="A16" s="105"/>
      <c r="B16" s="105"/>
      <c r="C16" s="105"/>
      <c r="D16" s="41"/>
      <c r="E16" s="115"/>
      <c r="F16" s="105"/>
    </row>
    <row r="17" spans="1:6" ht="14.25">
      <c r="A17" s="105"/>
      <c r="B17" s="105"/>
      <c r="C17" s="105"/>
      <c r="D17" s="41"/>
      <c r="E17" s="115"/>
      <c r="F17" s="105"/>
    </row>
    <row r="18" spans="1:6" ht="14.25">
      <c r="A18" s="105"/>
      <c r="B18" s="105"/>
      <c r="C18" s="105"/>
      <c r="D18" s="41"/>
      <c r="E18" s="115"/>
      <c r="F18" s="105"/>
    </row>
    <row r="420" ht="16.5" customHeight="1"/>
    <row r="5589" spans="6:6">
      <c r="F5589" s="36"/>
    </row>
    <row r="5590" spans="6:6">
      <c r="F5590" s="14"/>
    </row>
    <row r="5591" spans="6:6">
      <c r="F5591" s="35"/>
    </row>
    <row r="5592" spans="6:6">
      <c r="F5592" s="14"/>
    </row>
    <row r="5593" spans="6:6">
      <c r="F5593" s="35"/>
    </row>
    <row r="5594" spans="6:6">
      <c r="F5594" s="14"/>
    </row>
    <row r="5595" spans="6:6">
      <c r="F5595" s="35"/>
    </row>
    <row r="5596" spans="6:6">
      <c r="F5596" s="14"/>
    </row>
    <row r="5597" spans="6:6">
      <c r="F5597" s="14"/>
    </row>
  </sheetData>
  <mergeCells count="1">
    <mergeCell ref="A4:E4"/>
  </mergeCells>
  <phoneticPr fontId="9" type="noConversion"/>
  <printOptions horizontalCentered="1"/>
  <pageMargins left="0.6" right="0.6" top="0.75" bottom="0.5" header="0.25" footer="0.24"/>
  <pageSetup orientation="landscape" r:id="rId1"/>
  <headerFooter alignWithMargins="0">
    <oddHeader>&amp;R&amp;"Arial,Bold"&amp;10Exhibit JTC-4 Lead Lag Study</oddHeader>
    <oddFooter>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DATA INPUT</vt:lpstr>
      <vt:lpstr>ATO-CWC1A</vt:lpstr>
      <vt:lpstr>ATO-CWC1B</vt:lpstr>
      <vt:lpstr>ATO-CWC2</vt:lpstr>
      <vt:lpstr>WP 2-1</vt:lpstr>
      <vt:lpstr>WP 2-2</vt:lpstr>
      <vt:lpstr>ATO-CWC3</vt:lpstr>
      <vt:lpstr>ATO-CWC4</vt:lpstr>
      <vt:lpstr>ATO-CWC5</vt:lpstr>
      <vt:lpstr>WP 5-1</vt:lpstr>
      <vt:lpstr>WP 5-2</vt:lpstr>
      <vt:lpstr>ATO-CWC6</vt:lpstr>
      <vt:lpstr>ATO-CWC7</vt:lpstr>
      <vt:lpstr>ATO-CWC8</vt:lpstr>
      <vt:lpstr>ATO-CWC9</vt:lpstr>
      <vt:lpstr>ATTR_YEAR</vt:lpstr>
      <vt:lpstr>COMPANY</vt:lpstr>
      <vt:lpstr>COMPOSITE</vt:lpstr>
      <vt:lpstr>FEDERAL</vt:lpstr>
      <vt:lpstr>JURISDICTION</vt:lpstr>
      <vt:lpstr>'ATO-CWC3'!Print_Area</vt:lpstr>
      <vt:lpstr>'ATO-CWC4'!Print_Area</vt:lpstr>
      <vt:lpstr>'ATO-CWC5'!Print_Area</vt:lpstr>
      <vt:lpstr>'ATO-CWC6'!Print_Area</vt:lpstr>
      <vt:lpstr>'ATO-CWC8'!Print_Area</vt:lpstr>
      <vt:lpstr>'ATO-CWC9'!Print_Area</vt:lpstr>
      <vt:lpstr>'DATA INPUT'!Print_Area</vt:lpstr>
      <vt:lpstr>'WP 2-1'!Print_Area</vt:lpstr>
      <vt:lpstr>'WP 5-1'!Print_Area</vt:lpstr>
      <vt:lpstr>'WP 5-2'!Print_Area</vt:lpstr>
      <vt:lpstr>Print_Area</vt:lpstr>
      <vt:lpstr>'ATO-CWC3'!Print_Titles</vt:lpstr>
      <vt:lpstr>'ATO-CWC4'!Print_Titles</vt:lpstr>
      <vt:lpstr>'ATO-CWC5'!Print_Titles</vt:lpstr>
      <vt:lpstr>'WP 2-1'!Print_Titles</vt:lpstr>
      <vt:lpstr>'WP 5-1'!Print_Titles</vt:lpstr>
      <vt:lpstr>'WP 5-2'!Print_Titles</vt:lpstr>
      <vt:lpstr>testyear</vt:lpstr>
      <vt:lpstr>WP_2_1</vt:lpstr>
      <vt:lpstr>'ATO-CWC9'!WP_9_1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Atmos Energy Corporation</dc:creator>
  <cp:lastModifiedBy>Eric J Wilen</cp:lastModifiedBy>
  <cp:lastPrinted>2021-06-29T22:21:57Z</cp:lastPrinted>
  <dcterms:created xsi:type="dcterms:W3CDTF">1999-11-29T17:12:41Z</dcterms:created>
  <dcterms:modified xsi:type="dcterms:W3CDTF">2021-06-29T22:22:32Z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1581413802</vt:i4>
  </property>
  <property fmtid="{D5CDD505-2E9C-101B-9397-08002B2CF9AE}" pid="3" name="_EmailSubject">
    <vt:lpwstr>Tennessee Lead Lag Study.xls</vt:lpwstr>
  </property>
  <property fmtid="{D5CDD505-2E9C-101B-9397-08002B2CF9AE}" pid="4" name="_AuthorEmail">
    <vt:lpwstr>Linda.Cotten@atmosenergy.com</vt:lpwstr>
  </property>
  <property fmtid="{D5CDD505-2E9C-101B-9397-08002B2CF9AE}" pid="5" name="_AuthorEmailDisplayName">
    <vt:lpwstr>Cotten, Linda</vt:lpwstr>
  </property>
  <property fmtid="{D5CDD505-2E9C-101B-9397-08002B2CF9AE}" pid="6" name="_ReviewingToolsShownOnce">
    <vt:lpwstr/>
  </property>
</Properties>
</file>