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B23D2076-B9B6-4193-8180-A2EBC7741B9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raphing" sheetId="3" r:id="rId1"/>
    <sheet name="BLS Data Series" sheetId="1" r:id="rId2"/>
  </sheets>
  <externalReferences>
    <externalReference r:id="rId3"/>
    <externalReference r:id="rId4"/>
    <externalReference r:id="rId5"/>
  </externalReferences>
  <definedNames>
    <definedName name="__WIT1">[1]INPUT!$A$21</definedName>
    <definedName name="__WIT2">[1]INPUT!$A$22</definedName>
    <definedName name="__WIT3">[1]INPUT!$A$23</definedName>
    <definedName name="__WIT5">[1]INPUT!$A$25</definedName>
    <definedName name="__WIT6">[1]INPUT!$A$26</definedName>
    <definedName name="__WIT8">[1]INPUT!$A$28</definedName>
    <definedName name="_Dist_Bin" hidden="1">'[2]WPB-2.3'!#REF!</definedName>
    <definedName name="_Dist_Values" hidden="1">'[2]WPB-2.3'!#REF!</definedName>
    <definedName name="_WIT1">[2]INPUT!$A$21</definedName>
    <definedName name="_WIT2">[2]INPUT!$A$22</definedName>
    <definedName name="_WIT3">[2]INPUT!$A$23</definedName>
    <definedName name="_WIT5">[2]INPUT!$A$25</definedName>
    <definedName name="_WIT6">[2]INPUT!$A$26</definedName>
    <definedName name="_WIT8">[2]INPUT!$A$28</definedName>
    <definedName name="aaaa" hidden="1">'[2]WPB-2.3'!#REF!</definedName>
    <definedName name="Account">[2]ACCTTABLE!$A$12:$A$204</definedName>
    <definedName name="AccountJ">#REF!</definedName>
    <definedName name="ACCTTABLE">[2]ACCTTABLE!$A$12:$Q$204</definedName>
    <definedName name="ACCTTABLEJ">#REF!</definedName>
    <definedName name="ACTUAL">[2]ACCTTABLE!$F$12:$H$204</definedName>
    <definedName name="ACTUALJ">#REF!</definedName>
    <definedName name="ANNUALIZED_INTEREST">[2]SCH_C3.10!$AI$88</definedName>
    <definedName name="B21PAGE4">'[2]WPB-2.3'!#REF!</definedName>
    <definedName name="B22PAGE1">'[2]WPB-2.3'!#REF!</definedName>
    <definedName name="BUDGET">[2]ACCTTABLE!$I$12:$Q$204</definedName>
    <definedName name="BUDGETJ">#REF!</definedName>
    <definedName name="CASE">[2]LOGO!$C$6</definedName>
    <definedName name="CAT">[2]INPUT!$D$7</definedName>
    <definedName name="CFT">[2]INPUT!$D$2</definedName>
    <definedName name="Code">[2]ACCTTABLE!$B$12:$B$204</definedName>
    <definedName name="CodeJ">#REF!</definedName>
    <definedName name="CodeL">[2]LABOR!$B$11:$B$43</definedName>
    <definedName name="CommPlantAlloc">[2]INPUT!$D$15</definedName>
    <definedName name="CommResAlloc">[2]INPUT!$D$16</definedName>
    <definedName name="COMPANY">[2]LOGO!$C$5</definedName>
    <definedName name="COSSALLOC">'[2]COSS ALLOC'!$A$2:$C$6</definedName>
    <definedName name="DATA">[2]LOGO!$C$12</definedName>
    <definedName name="DateCertain">[2]LOGO!$D$17</definedName>
    <definedName name="dddd" hidden="1">'[2]WPB-2.3'!#REF!</definedName>
    <definedName name="ddddd">[2]ACCTTABLE!#REF!</definedName>
    <definedName name="DEPT">[2]LOGO!$D$9</definedName>
    <definedName name="DUKE_ENERGY__CONSOLIDATED">#REF!</definedName>
    <definedName name="E4INCR">[2]SCH_C1!$Q$54</definedName>
    <definedName name="EmployeeDate">[2]INPUT!$D$14</definedName>
    <definedName name="FERC">[2]ACCTTABLE!$C$12:$C$204</definedName>
    <definedName name="FERCJ">#REF!</definedName>
    <definedName name="FIT">[2]INPUT!$D$5</definedName>
    <definedName name="GRCF">[2]SCH_C10!$H$35</definedName>
    <definedName name="IBEW">[2]INPUT!$D$10</definedName>
    <definedName name="jjjjjj">#REF!</definedName>
    <definedName name="KWHTAXREV">[2]ACCTTABLE!#REF!</definedName>
    <definedName name="Labor">[2]LABOR!$A$10:$E$53</definedName>
    <definedName name="lmnop">#REF!</definedName>
    <definedName name="Loading">[2]SCH_C9!$O$2</definedName>
    <definedName name="Loading1">[2]SCH_C9!$S$2</definedName>
    <definedName name="Month1">[2]ACCTTABLE!$F$12:$F$204</definedName>
    <definedName name="Month10">[2]ACCTTABLE!$O$12:$O$204</definedName>
    <definedName name="Month10J">#REF!</definedName>
    <definedName name="Month10L">[2]LABOR!$O$11:$O$43</definedName>
    <definedName name="Month11">[2]ACCTTABLE!$P$12:$P$204</definedName>
    <definedName name="Month11J">#REF!</definedName>
    <definedName name="Month11L">[2]LABOR!$P$11:$P$43</definedName>
    <definedName name="Month12">[2]ACCTTABLE!$Q$12:$Q$204</definedName>
    <definedName name="Month12J">#REF!</definedName>
    <definedName name="Month12L">[2]LABOR!$Q$11:$Q$43</definedName>
    <definedName name="Month1J">#REF!</definedName>
    <definedName name="Month1L">[2]LABOR!$F$11:$F$43</definedName>
    <definedName name="Month2">[2]ACCTTABLE!$G$12:$G$204</definedName>
    <definedName name="Month2J">#REF!</definedName>
    <definedName name="Month2L">[2]LABOR!$G$11:$G$43</definedName>
    <definedName name="Month3">[2]ACCTTABLE!$H$12:$H$204</definedName>
    <definedName name="Month3J">#REF!</definedName>
    <definedName name="Month3L">[2]LABOR!$H$11:$H$43</definedName>
    <definedName name="Month4">[2]ACCTTABLE!$I$12:$I$204</definedName>
    <definedName name="Month4J">#REF!</definedName>
    <definedName name="Month4L">[2]LABOR!$I$11:$I$43</definedName>
    <definedName name="Month5">[2]ACCTTABLE!$J$12:$J$204</definedName>
    <definedName name="Month5J">#REF!</definedName>
    <definedName name="Month5L">[2]LABOR!$J$11:$J$43</definedName>
    <definedName name="Month6">[2]ACCTTABLE!$K$12:$K$204</definedName>
    <definedName name="Month6J">#REF!</definedName>
    <definedName name="Month6L">[2]LABOR!$K$11:$K$43</definedName>
    <definedName name="Month7">[2]ACCTTABLE!$L$12:$L$204</definedName>
    <definedName name="Month7J">#REF!</definedName>
    <definedName name="Month7L">[2]LABOR!$L$11:$L$43</definedName>
    <definedName name="Month8">[2]ACCTTABLE!$M$12:$M$204</definedName>
    <definedName name="Month8J">#REF!</definedName>
    <definedName name="Month8L">[2]LABOR!$M$11:$M$43</definedName>
    <definedName name="Month9">[2]ACCTTABLE!$N$12:$N$204</definedName>
    <definedName name="Month9J">#REF!</definedName>
    <definedName name="Month9l">[2]LABOR!$N$11:$N$43</definedName>
    <definedName name="MUNITAX">[2]INPUT!$D$9</definedName>
    <definedName name="OCC">[2]INPUT!$D$4</definedName>
    <definedName name="OHSIT">[2]INPUT!$D$8</definedName>
    <definedName name="PayTax">[2]SCH_C9!$O$3</definedName>
    <definedName name="PERIOD">[2]LOGO!$C$7</definedName>
    <definedName name="PLANT_IN_SERVICE">'[3]CSP B'!$E$17</definedName>
    <definedName name="PUCO">[2]INPUT!$D$3</definedName>
    <definedName name="RofR">'[2]SCH_D1 DE-Ohio'!$M$22</definedName>
    <definedName name="SCH_A2">'[3]CSP A'!#REF!</definedName>
    <definedName name="Sch_B2.1P2">'[2]SCH_B-2.1'!#REF!</definedName>
    <definedName name="Sch_B2.1P3">'[2]SCH_B-2.1'!#REF!</definedName>
    <definedName name="Sch_B2.3P2">'[2]SCH_B-2.3'!#REF!</definedName>
    <definedName name="Sch_B2.3P3">'[2]SCH_B-2.3'!#REF!</definedName>
    <definedName name="SCH_C3_DEPRC">'[2]SCH C3'!$E$37</definedName>
    <definedName name="SCH_C3_OandM">'[2]SCH C3'!$E$35</definedName>
    <definedName name="SCH_C3_OTHTX">'[2]SCH C3'!$E$42</definedName>
    <definedName name="SCH_C3_REV">'[2]SCH C3'!$E$20</definedName>
    <definedName name="Sch_D5Bp1">#REF!</definedName>
    <definedName name="Sch_D5Bp2">#REF!</definedName>
    <definedName name="Sch_D5Bp3">#REF!</definedName>
    <definedName name="Sch_D5Bp4">#REF!</definedName>
    <definedName name="Sch_D5Bp5">#REF!</definedName>
    <definedName name="TAXCHECK">'[2]SCH C3'!$E$54</definedName>
    <definedName name="TYPE">[2]LOGO!$C$13</definedName>
    <definedName name="TYR">[2]LOGO!$D$10</definedName>
    <definedName name="TYRAMT">[2]ACCTTABLE!$E$12:$E$204</definedName>
    <definedName name="TYRAMTJ">#REF!</definedName>
    <definedName name="TYRDATE">[2]LOGO!$D$11</definedName>
    <definedName name="UNBILLTOTREV">[2]SCH_C2!#REF!</definedName>
    <definedName name="Uncoll">[2]INPUT!$D$1</definedName>
    <definedName name="USWA">[2]INPUT!$D$12</definedName>
    <definedName name="UWUA">[2]INPUT!$D$11</definedName>
    <definedName name="WageIncr">[2]INPUT!$D$13</definedName>
    <definedName name="Waiver">[2]INPUT!$D$17</definedName>
    <definedName name="WCD">'[2]SCH_D1 DE-Ohio'!$M$16</definedName>
    <definedName name="WPB_6.1aP2">'[2]B6 WP'!#REF!</definedName>
    <definedName name="WPC_2a">'[3]CSP C'!#REF!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" i="3" l="1"/>
  <c r="E102" i="3"/>
  <c r="F105" i="3" l="1"/>
  <c r="T13" i="1"/>
  <c r="S13" i="1"/>
  <c r="R13" i="1"/>
  <c r="R14" i="1"/>
  <c r="S15" i="1"/>
  <c r="S14" i="1"/>
  <c r="Q102" i="3"/>
  <c r="Q105" i="3"/>
  <c r="O105" i="3"/>
  <c r="N105" i="3"/>
  <c r="M105" i="3"/>
  <c r="L105" i="3"/>
  <c r="K105" i="3"/>
  <c r="J105" i="3"/>
  <c r="I105" i="3"/>
  <c r="H105" i="3"/>
  <c r="G105" i="3"/>
  <c r="P100" i="3"/>
  <c r="T98" i="3"/>
  <c r="N97" i="3"/>
  <c r="M97" i="3"/>
  <c r="N96" i="3"/>
  <c r="S95" i="3"/>
  <c r="L95" i="3"/>
  <c r="T93" i="3"/>
  <c r="T100" i="3" s="1"/>
  <c r="T102" i="3" s="1"/>
  <c r="P103" i="3" s="1"/>
  <c r="S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S77" i="3"/>
  <c r="S80" i="3" s="1"/>
  <c r="S98" i="3" s="1"/>
  <c r="Q77" i="3"/>
  <c r="Q80" i="3" s="1"/>
  <c r="Q98" i="3" s="1"/>
  <c r="O77" i="3"/>
  <c r="O80" i="3" s="1"/>
  <c r="O98" i="3" s="1"/>
  <c r="N77" i="3"/>
  <c r="N80" i="3" s="1"/>
  <c r="N98" i="3" s="1"/>
  <c r="M77" i="3"/>
  <c r="M80" i="3" s="1"/>
  <c r="M98" i="3" s="1"/>
  <c r="L77" i="3"/>
  <c r="L80" i="3" s="1"/>
  <c r="L98" i="3" s="1"/>
  <c r="K77" i="3"/>
  <c r="K80" i="3" s="1"/>
  <c r="K98" i="3" s="1"/>
  <c r="J77" i="3"/>
  <c r="J80" i="3" s="1"/>
  <c r="J98" i="3" s="1"/>
  <c r="I77" i="3"/>
  <c r="I80" i="3" s="1"/>
  <c r="I98" i="3" s="1"/>
  <c r="H77" i="3"/>
  <c r="H80" i="3" s="1"/>
  <c r="H98" i="3" s="1"/>
  <c r="G77" i="3"/>
  <c r="G80" i="3" s="1"/>
  <c r="G98" i="3" s="1"/>
  <c r="F77" i="3"/>
  <c r="F80" i="3" s="1"/>
  <c r="F98" i="3" s="1"/>
  <c r="E77" i="3"/>
  <c r="E80" i="3" s="1"/>
  <c r="E98" i="3" s="1"/>
  <c r="U76" i="3"/>
  <c r="T76" i="3"/>
  <c r="U75" i="3"/>
  <c r="T75" i="3"/>
  <c r="U74" i="3"/>
  <c r="T74" i="3"/>
  <c r="U72" i="3"/>
  <c r="T72" i="3"/>
  <c r="U71" i="3"/>
  <c r="T71" i="3"/>
  <c r="U68" i="3"/>
  <c r="T68" i="3"/>
  <c r="U66" i="3"/>
  <c r="T66" i="3"/>
  <c r="U65" i="3"/>
  <c r="T65" i="3"/>
  <c r="S62" i="3"/>
  <c r="S97" i="3" s="1"/>
  <c r="Q62" i="3"/>
  <c r="Q97" i="3" s="1"/>
  <c r="O62" i="3"/>
  <c r="O97" i="3" s="1"/>
  <c r="N62" i="3"/>
  <c r="M62" i="3"/>
  <c r="L62" i="3"/>
  <c r="L97" i="3" s="1"/>
  <c r="K62" i="3"/>
  <c r="K97" i="3" s="1"/>
  <c r="J62" i="3"/>
  <c r="J97" i="3" s="1"/>
  <c r="I62" i="3"/>
  <c r="I97" i="3" s="1"/>
  <c r="H62" i="3"/>
  <c r="H97" i="3" s="1"/>
  <c r="G62" i="3"/>
  <c r="G97" i="3" s="1"/>
  <c r="F62" i="3"/>
  <c r="F97" i="3" s="1"/>
  <c r="E62" i="3"/>
  <c r="E97" i="3" s="1"/>
  <c r="T60" i="3"/>
  <c r="U59" i="3"/>
  <c r="U62" i="3" s="1"/>
  <c r="T58" i="3"/>
  <c r="S56" i="3"/>
  <c r="S96" i="3" s="1"/>
  <c r="Q56" i="3"/>
  <c r="Q96" i="3" s="1"/>
  <c r="O56" i="3"/>
  <c r="O96" i="3" s="1"/>
  <c r="N56" i="3"/>
  <c r="M56" i="3"/>
  <c r="M96" i="3" s="1"/>
  <c r="L56" i="3"/>
  <c r="L96" i="3" s="1"/>
  <c r="K56" i="3"/>
  <c r="K96" i="3" s="1"/>
  <c r="J56" i="3"/>
  <c r="J96" i="3" s="1"/>
  <c r="I56" i="3"/>
  <c r="I96" i="3" s="1"/>
  <c r="H56" i="3"/>
  <c r="H96" i="3" s="1"/>
  <c r="G56" i="3"/>
  <c r="G96" i="3" s="1"/>
  <c r="F56" i="3"/>
  <c r="F96" i="3" s="1"/>
  <c r="E56" i="3"/>
  <c r="E96" i="3" s="1"/>
  <c r="U53" i="3"/>
  <c r="U56" i="3" s="1"/>
  <c r="T53" i="3"/>
  <c r="T56" i="3" s="1"/>
  <c r="S51" i="3"/>
  <c r="Q51" i="3"/>
  <c r="Q95" i="3" s="1"/>
  <c r="O51" i="3"/>
  <c r="O95" i="3" s="1"/>
  <c r="N51" i="3"/>
  <c r="N95" i="3" s="1"/>
  <c r="M51" i="3"/>
  <c r="M95" i="3" s="1"/>
  <c r="L51" i="3"/>
  <c r="K51" i="3"/>
  <c r="K95" i="3" s="1"/>
  <c r="J51" i="3"/>
  <c r="J95" i="3" s="1"/>
  <c r="I51" i="3"/>
  <c r="I95" i="3" s="1"/>
  <c r="H51" i="3"/>
  <c r="H95" i="3" s="1"/>
  <c r="G51" i="3"/>
  <c r="G95" i="3" s="1"/>
  <c r="F51" i="3"/>
  <c r="F95" i="3" s="1"/>
  <c r="E51" i="3"/>
  <c r="E95" i="3" s="1"/>
  <c r="U48" i="3"/>
  <c r="U51" i="3" s="1"/>
  <c r="T48" i="3"/>
  <c r="T51" i="3" s="1"/>
  <c r="U43" i="3"/>
  <c r="T43" i="3"/>
  <c r="S43" i="3"/>
  <c r="S44" i="3" s="1"/>
  <c r="Q43" i="3"/>
  <c r="O43" i="3"/>
  <c r="N43" i="3"/>
  <c r="M43" i="3"/>
  <c r="L43" i="3"/>
  <c r="L44" i="3" s="1"/>
  <c r="L94" i="3" s="1"/>
  <c r="K43" i="3"/>
  <c r="J43" i="3"/>
  <c r="I43" i="3"/>
  <c r="I44" i="3" s="1"/>
  <c r="H43" i="3"/>
  <c r="G43" i="3"/>
  <c r="F43" i="3"/>
  <c r="E43" i="3"/>
  <c r="U34" i="3"/>
  <c r="U44" i="3" s="1"/>
  <c r="U94" i="3" s="1"/>
  <c r="S34" i="3"/>
  <c r="Q34" i="3"/>
  <c r="O34" i="3"/>
  <c r="O44" i="3" s="1"/>
  <c r="O94" i="3" s="1"/>
  <c r="N34" i="3"/>
  <c r="N44" i="3" s="1"/>
  <c r="N94" i="3" s="1"/>
  <c r="M34" i="3"/>
  <c r="M44" i="3" s="1"/>
  <c r="M94" i="3" s="1"/>
  <c r="L34" i="3"/>
  <c r="K34" i="3"/>
  <c r="K44" i="3" s="1"/>
  <c r="K94" i="3" s="1"/>
  <c r="J34" i="3"/>
  <c r="J44" i="3" s="1"/>
  <c r="J94" i="3" s="1"/>
  <c r="I34" i="3"/>
  <c r="H34" i="3"/>
  <c r="G34" i="3"/>
  <c r="G44" i="3" s="1"/>
  <c r="G94" i="3" s="1"/>
  <c r="F34" i="3"/>
  <c r="E34" i="3"/>
  <c r="E44" i="3" s="1"/>
  <c r="E94" i="3" s="1"/>
  <c r="U32" i="3"/>
  <c r="T32" i="3"/>
  <c r="T30" i="3"/>
  <c r="T34" i="3" s="1"/>
  <c r="T44" i="3" s="1"/>
  <c r="U27" i="3"/>
  <c r="T27" i="3"/>
  <c r="U22" i="3"/>
  <c r="U93" i="3" s="1"/>
  <c r="T16" i="3"/>
  <c r="S16" i="3"/>
  <c r="Q16" i="3"/>
  <c r="E16" i="3"/>
  <c r="U12" i="3"/>
  <c r="U9" i="3"/>
  <c r="U16" i="3" s="1"/>
  <c r="Q9" i="3"/>
  <c r="O9" i="3"/>
  <c r="O16" i="3" s="1"/>
  <c r="N9" i="3"/>
  <c r="N16" i="3" s="1"/>
  <c r="M9" i="3"/>
  <c r="M16" i="3" s="1"/>
  <c r="L9" i="3"/>
  <c r="L16" i="3" s="1"/>
  <c r="K9" i="3"/>
  <c r="K16" i="3" s="1"/>
  <c r="K84" i="3" s="1"/>
  <c r="K86" i="3" s="1"/>
  <c r="J9" i="3"/>
  <c r="J16" i="3" s="1"/>
  <c r="I9" i="3"/>
  <c r="I16" i="3" s="1"/>
  <c r="H9" i="3"/>
  <c r="H16" i="3" s="1"/>
  <c r="G9" i="3"/>
  <c r="G16" i="3" s="1"/>
  <c r="F9" i="3"/>
  <c r="F16" i="3" s="1"/>
  <c r="J84" i="3" l="1"/>
  <c r="J86" i="3" s="1"/>
  <c r="H44" i="3"/>
  <c r="H94" i="3" s="1"/>
  <c r="H100" i="3" s="1"/>
  <c r="H102" i="3" s="1"/>
  <c r="Q44" i="3"/>
  <c r="Q94" i="3" s="1"/>
  <c r="Q100" i="3" s="1"/>
  <c r="T62" i="3"/>
  <c r="T77" i="3"/>
  <c r="T80" i="3" s="1"/>
  <c r="F44" i="3"/>
  <c r="F94" i="3" s="1"/>
  <c r="F100" i="3" s="1"/>
  <c r="F102" i="3" s="1"/>
  <c r="F106" i="3" s="1"/>
  <c r="L84" i="3"/>
  <c r="L86" i="3" s="1"/>
  <c r="J100" i="3"/>
  <c r="J102" i="3" s="1"/>
  <c r="U77" i="3"/>
  <c r="U97" i="3"/>
  <c r="U96" i="3"/>
  <c r="U95" i="3"/>
  <c r="S84" i="3"/>
  <c r="S86" i="3" s="1"/>
  <c r="S94" i="3"/>
  <c r="S100" i="3" s="1"/>
  <c r="S102" i="3" s="1"/>
  <c r="E84" i="3"/>
  <c r="E86" i="3" s="1"/>
  <c r="I94" i="3"/>
  <c r="I100" i="3" s="1"/>
  <c r="I102" i="3" s="1"/>
  <c r="I84" i="3"/>
  <c r="I86" i="3" s="1"/>
  <c r="M84" i="3"/>
  <c r="M86" i="3" s="1"/>
  <c r="U80" i="3"/>
  <c r="U98" i="3" s="1"/>
  <c r="L100" i="3"/>
  <c r="L102" i="3" s="1"/>
  <c r="T84" i="3"/>
  <c r="T86" i="3" s="1"/>
  <c r="E100" i="3"/>
  <c r="M100" i="3"/>
  <c r="M102" i="3" s="1"/>
  <c r="N84" i="3"/>
  <c r="N86" i="3" s="1"/>
  <c r="G84" i="3"/>
  <c r="G86" i="3" s="1"/>
  <c r="Q84" i="3"/>
  <c r="Q86" i="3" s="1"/>
  <c r="K100" i="3"/>
  <c r="K102" i="3" s="1"/>
  <c r="N100" i="3"/>
  <c r="N102" i="3" s="1"/>
  <c r="F84" i="3"/>
  <c r="F86" i="3" s="1"/>
  <c r="O84" i="3"/>
  <c r="O86" i="3" s="1"/>
  <c r="G100" i="3"/>
  <c r="G102" i="3" s="1"/>
  <c r="O100" i="3"/>
  <c r="O102" i="3" s="1"/>
  <c r="R23" i="1"/>
  <c r="S23" i="1" s="1"/>
  <c r="T23" i="1" s="1"/>
  <c r="T15" i="1"/>
  <c r="T16" i="1"/>
  <c r="T17" i="1"/>
  <c r="T18" i="1"/>
  <c r="T19" i="1"/>
  <c r="T20" i="1"/>
  <c r="T21" i="1"/>
  <c r="T22" i="1"/>
  <c r="T14" i="1"/>
  <c r="U100" i="3" l="1"/>
  <c r="U102" i="3" s="1"/>
  <c r="R103" i="3" s="1"/>
  <c r="J106" i="3"/>
  <c r="I106" i="3"/>
  <c r="H106" i="3"/>
  <c r="G106" i="3"/>
  <c r="P102" i="3"/>
  <c r="H84" i="3"/>
  <c r="H86" i="3" s="1"/>
  <c r="Q106" i="3"/>
  <c r="O106" i="3"/>
  <c r="N106" i="3"/>
  <c r="M106" i="3"/>
  <c r="L106" i="3"/>
  <c r="K106" i="3"/>
  <c r="U84" i="3"/>
  <c r="U86" i="3" s="1"/>
  <c r="S19" i="1"/>
  <c r="S20" i="1"/>
  <c r="S21" i="1"/>
  <c r="S22" i="1"/>
  <c r="S16" i="1"/>
  <c r="S17" i="1"/>
  <c r="S18" i="1"/>
  <c r="R15" i="1"/>
  <c r="R16" i="1"/>
  <c r="R17" i="1"/>
  <c r="R18" i="1"/>
  <c r="R19" i="1"/>
  <c r="R20" i="1"/>
  <c r="R21" i="1"/>
  <c r="R22" i="1"/>
</calcChain>
</file>

<file path=xl/sharedStrings.xml><?xml version="1.0" encoding="utf-8"?>
<sst xmlns="http://schemas.openxmlformats.org/spreadsheetml/2006/main" count="154" uniqueCount="133">
  <si>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</si>
  <si>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</si>
  <si>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</si>
  <si>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</si>
  <si>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</si>
  <si>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</si>
  <si>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</si>
  <si>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</si>
  <si>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</si>
  <si>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</si>
  <si>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</si>
  <si>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</si>
  <si>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</si>
  <si>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</si>
  <si>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2010 to 2021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</si>
  <si>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</si>
  <si>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</si>
  <si>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</si>
  <si>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</si>
  <si>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</si>
  <si>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</si>
  <si>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</si>
  <si>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</si>
  <si>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</si>
  <si>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</si>
  <si>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</si>
  <si>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</si>
  <si>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</si>
  <si>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</si>
  <si>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</si>
  <si>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</si>
  <si>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>Top Picks (Most Requested Statistics) : U.S. Bureau of Labor Statistics (bls.gov)</t>
  </si>
  <si>
    <t>Rate</t>
  </si>
  <si>
    <t>Rate (1+R)</t>
  </si>
  <si>
    <t>Change in Annual</t>
  </si>
  <si>
    <t>Duke Energy Kentucky</t>
  </si>
  <si>
    <t>Historical O&amp;M Expenses (As Reported in the Form 2 and 3-Q)</t>
  </si>
  <si>
    <t>Requested</t>
  </si>
  <si>
    <t>Order</t>
  </si>
  <si>
    <t>2018-00261</t>
  </si>
  <si>
    <t>2010 TY</t>
  </si>
  <si>
    <t>TY 2010</t>
  </si>
  <si>
    <t>2011</t>
  </si>
  <si>
    <t>2012</t>
  </si>
  <si>
    <t>2013</t>
  </si>
  <si>
    <t>2014</t>
  </si>
  <si>
    <t>TY 19/20</t>
  </si>
  <si>
    <t>TY 2022</t>
  </si>
  <si>
    <t>TY 4/19 - 3/20</t>
  </si>
  <si>
    <t>Manufactured Gas Production</t>
  </si>
  <si>
    <t xml:space="preserve">    Total Production Expense</t>
  </si>
  <si>
    <t>Other Gas Supply Expense</t>
  </si>
  <si>
    <t xml:space="preserve">  Purchased Gas Expense</t>
  </si>
  <si>
    <t>Natural Gas Field Line Purchases</t>
  </si>
  <si>
    <t xml:space="preserve">Purchased Gas Costs - Unbilled </t>
  </si>
  <si>
    <t>Gas Purchased Expense</t>
  </si>
  <si>
    <t xml:space="preserve">    Total Other Gas Supply Expense</t>
  </si>
  <si>
    <t>Liquefied Natural Gas Terminaling &amp; Processing</t>
  </si>
  <si>
    <t>Operation Suppervision and Engineering</t>
  </si>
  <si>
    <t xml:space="preserve">Transmission Expense </t>
  </si>
  <si>
    <t xml:space="preserve">    Other Operation and Supervision</t>
  </si>
  <si>
    <t xml:space="preserve">    Other Expense</t>
  </si>
  <si>
    <t xml:space="preserve">    Maintenance of Mains</t>
  </si>
  <si>
    <t>Distribution Expenses</t>
  </si>
  <si>
    <t>Operation</t>
  </si>
  <si>
    <t>Supervision and Engineering</t>
  </si>
  <si>
    <t>Load Dispatching</t>
  </si>
  <si>
    <t>Mains and Services</t>
  </si>
  <si>
    <t>Measuring and Reg. Stations - General</t>
  </si>
  <si>
    <t>Measuring and Reg. Stations - Industrial</t>
  </si>
  <si>
    <t>Meters and House Regulators</t>
  </si>
  <si>
    <t>Customer Installations</t>
  </si>
  <si>
    <t>Other Expenses</t>
  </si>
  <si>
    <t>Rents Interco</t>
  </si>
  <si>
    <t xml:space="preserve">    Total Operation</t>
  </si>
  <si>
    <t>Maintenance</t>
  </si>
  <si>
    <t>Mains</t>
  </si>
  <si>
    <t>Measuring and Regulating Stations - General</t>
  </si>
  <si>
    <t>Measuring and Regulating Stations - Industrial</t>
  </si>
  <si>
    <t>Services</t>
  </si>
  <si>
    <t>Meters</t>
  </si>
  <si>
    <t>Other</t>
  </si>
  <si>
    <t xml:space="preserve">    Total Maintenance</t>
  </si>
  <si>
    <t xml:space="preserve">    Total Distribution Expenses</t>
  </si>
  <si>
    <t>Customer Accounts Expense</t>
  </si>
  <si>
    <t xml:space="preserve">  Supervision &amp; Engineering</t>
  </si>
  <si>
    <t xml:space="preserve">  Meter Reading Expense</t>
  </si>
  <si>
    <t xml:space="preserve">  Customer Records &amp; Collections</t>
  </si>
  <si>
    <t xml:space="preserve">  Uncollectible Accounts</t>
  </si>
  <si>
    <t xml:space="preserve">  Cust Reltns Billg &amp; Coll-Gas</t>
  </si>
  <si>
    <t xml:space="preserve">    Total Customer Accounts Expense</t>
  </si>
  <si>
    <t>Customer Services &amp; Information Expense</t>
  </si>
  <si>
    <t>Customer Assistance</t>
  </si>
  <si>
    <t>Information and Instructional Advertising</t>
  </si>
  <si>
    <t xml:space="preserve">  Misc Cust Serv and Info - Gas</t>
  </si>
  <si>
    <t xml:space="preserve">    Total Customer Services &amp; Info Expense</t>
  </si>
  <si>
    <t>Sales Expense</t>
  </si>
  <si>
    <t xml:space="preserve">  Supervision</t>
  </si>
  <si>
    <t xml:space="preserve">  Demonstration &amp; Selling Expense</t>
  </si>
  <si>
    <t xml:space="preserve">  Advertising Expense</t>
  </si>
  <si>
    <t xml:space="preserve">  Misc. Sales Expense</t>
  </si>
  <si>
    <t xml:space="preserve">    Total Sales Expense</t>
  </si>
  <si>
    <t>Administrative &amp; General Expense</t>
  </si>
  <si>
    <t xml:space="preserve">  Administrative &amp; General Salaries</t>
  </si>
  <si>
    <t xml:space="preserve">  Office Supplies &amp; Expenses</t>
  </si>
  <si>
    <t xml:space="preserve">  (Less) Admin Exepenses Transferred - Credit</t>
  </si>
  <si>
    <t xml:space="preserve">  Outside Services Employed</t>
  </si>
  <si>
    <t xml:space="preserve">  Property Insurance</t>
  </si>
  <si>
    <t xml:space="preserve">  Injuries &amp; Damages</t>
  </si>
  <si>
    <t xml:space="preserve">  Employee Pension &amp; Benefits</t>
  </si>
  <si>
    <t xml:space="preserve">  State Reg. Commission Expense</t>
  </si>
  <si>
    <t xml:space="preserve">  (Less) Duplicate Charges-Credit</t>
  </si>
  <si>
    <t xml:space="preserve">  General Advertising Expenses</t>
  </si>
  <si>
    <t xml:space="preserve">  Misc Advertising Expenses</t>
  </si>
  <si>
    <t xml:space="preserve">  Rents</t>
  </si>
  <si>
    <t xml:space="preserve">  Maintenence of General Plant</t>
  </si>
  <si>
    <t xml:space="preserve">    Total Administrative &amp; General</t>
  </si>
  <si>
    <t>Amortization Expense (Not in FERC Form 2 for O&amp;M total, but present in Sch C-2)</t>
  </si>
  <si>
    <t xml:space="preserve">    Total Operating Expense</t>
  </si>
  <si>
    <t>O&amp;M Excluding Purchased Gas Cost</t>
  </si>
  <si>
    <t>Source:  FERC Form 2, pages 317-325.</t>
  </si>
  <si>
    <t>Transmission Expense</t>
  </si>
  <si>
    <t>Distribution Expense</t>
  </si>
  <si>
    <t>Customer Service &amp; Information Expense</t>
  </si>
  <si>
    <t>Actual O&amp;M</t>
  </si>
  <si>
    <t>Test Year O&amp;M</t>
  </si>
  <si>
    <t>CPI Rate</t>
  </si>
  <si>
    <t>CPI</t>
  </si>
  <si>
    <t>*Note 1</t>
  </si>
  <si>
    <t>Note 1: For charting presentation purposes, TY 2010 O&amp;M total moved to calendar year 2010 column, (E102 moved to F103)</t>
  </si>
  <si>
    <t>*Note 2</t>
  </si>
  <si>
    <t>Note 2: To prevent chart from showing $0 for Actual O&amp;M and CPI adjusted amount for the TY period between calendar years 2019 and 2020, averaged prior and next years.</t>
  </si>
  <si>
    <t xml:space="preserve">    Total O&amp;M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</si>
</sst>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#0.000"/>
    <numFmt numFmtId="165" formatCode="0.000000000"/>
    <numFmt numFmtId="166" formatCode="0.0000000"/>
    <numFmt numFmtId="167" formatCode="0.000000"/>
    <numFmt numFmtId="168" formatCode="0.000"/>
    <numFmt numFmtId="169" formatCode="_(* #,##0_);_(* \(#,##0\);_(* &quot;-&quot;??_);_(@_)"/>
    <numFmt numFmtId="170" formatCode="0.0000_)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ourier"/>
      <family val="3"/>
    </font>
    <font>
      <sz val="12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/>
    <xf numFmtId="0" fontId="1" fillId="2" borderId="0"/>
    <xf numFmtId="43" fontId="1" fillId="2" borderId="0" applyFont="0" applyFill="0" applyBorder="0" applyAlignment="0" applyProtection="0"/>
    <xf numFmtId="0" fontId="16" fillId="2" borderId="0"/>
    <xf numFmtId="0" fontId="19" fillId="2" borderId="0"/>
    <xf numFmtId="0" fontId="16" fillId="2" borderId="0"/>
    <xf numFmtId="9" fontId="1" fillId="2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10" fillId="0" borderId="0" xfId="2"/>
    <xf numFmtId="0" fontId="4" fillId="2" borderId="0" xfId="0" applyFont="1" applyFill="1" applyBorder="1" applyAlignment="1">
      <alignment horizontal="center" wrapText="1"/>
    </xf>
    <xf numFmtId="10" fontId="0" fillId="0" borderId="0" xfId="1" applyNumberFormat="1" applyFon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2" borderId="0" xfId="3" quotePrefix="1" applyFont="1" applyAlignment="1">
      <alignment horizontal="left"/>
    </xf>
    <xf numFmtId="0" fontId="13" fillId="2" borderId="0" xfId="4" applyFont="1"/>
    <xf numFmtId="0" fontId="14" fillId="2" borderId="0" xfId="4" applyFont="1"/>
    <xf numFmtId="0" fontId="12" fillId="2" borderId="2" xfId="3" applyFont="1" applyBorder="1"/>
    <xf numFmtId="0" fontId="12" fillId="2" borderId="2" xfId="3" applyFont="1" applyBorder="1" applyAlignment="1">
      <alignment horizontal="center"/>
    </xf>
    <xf numFmtId="0" fontId="12" fillId="2" borderId="0" xfId="3" applyFont="1" applyAlignment="1">
      <alignment horizontal="left"/>
    </xf>
    <xf numFmtId="0" fontId="15" fillId="2" borderId="0" xfId="4" applyFont="1" applyAlignment="1">
      <alignment horizontal="center"/>
    </xf>
    <xf numFmtId="0" fontId="15" fillId="2" borderId="3" xfId="4" quotePrefix="1" applyFont="1" applyBorder="1" applyAlignment="1">
      <alignment horizontal="center"/>
    </xf>
    <xf numFmtId="5" fontId="13" fillId="2" borderId="0" xfId="5" applyNumberFormat="1" applyFont="1"/>
    <xf numFmtId="0" fontId="17" fillId="2" borderId="0" xfId="6" applyFont="1"/>
    <xf numFmtId="0" fontId="17" fillId="2" borderId="0" xfId="6" applyFont="1" applyAlignment="1">
      <alignment horizontal="left"/>
    </xf>
    <xf numFmtId="169" fontId="13" fillId="2" borderId="4" xfId="5" applyNumberFormat="1" applyFont="1" applyBorder="1"/>
    <xf numFmtId="0" fontId="18" fillId="2" borderId="0" xfId="6" applyFont="1" applyAlignment="1">
      <alignment horizontal="left"/>
    </xf>
    <xf numFmtId="169" fontId="13" fillId="2" borderId="0" xfId="5" applyNumberFormat="1" applyFont="1"/>
    <xf numFmtId="0" fontId="17" fillId="2" borderId="0" xfId="7" applyFont="1" applyAlignment="1">
      <alignment horizontal="center"/>
    </xf>
    <xf numFmtId="170" fontId="17" fillId="2" borderId="0" xfId="6" applyNumberFormat="1" applyFont="1"/>
    <xf numFmtId="5" fontId="13" fillId="2" borderId="4" xfId="5" applyNumberFormat="1" applyFont="1" applyBorder="1"/>
    <xf numFmtId="0" fontId="18" fillId="2" borderId="0" xfId="6" quotePrefix="1" applyFont="1" applyAlignment="1">
      <alignment horizontal="left"/>
    </xf>
    <xf numFmtId="0" fontId="17" fillId="2" borderId="0" xfId="6" quotePrefix="1" applyFont="1" applyAlignment="1">
      <alignment horizontal="left"/>
    </xf>
    <xf numFmtId="0" fontId="17" fillId="2" borderId="0" xfId="6" applyFont="1" applyAlignment="1">
      <alignment horizontal="center"/>
    </xf>
    <xf numFmtId="0" fontId="17" fillId="2" borderId="0" xfId="7" applyFont="1" applyAlignment="1">
      <alignment horizontal="left"/>
    </xf>
    <xf numFmtId="0" fontId="17" fillId="2" borderId="0" xfId="6" quotePrefix="1" applyFont="1" applyAlignment="1">
      <alignment horizontal="center"/>
    </xf>
    <xf numFmtId="3" fontId="17" fillId="2" borderId="0" xfId="6" quotePrefix="1" applyNumberFormat="1" applyFont="1" applyAlignment="1">
      <alignment horizontal="center"/>
    </xf>
    <xf numFmtId="5" fontId="15" fillId="2" borderId="5" xfId="5" applyNumberFormat="1" applyFont="1" applyBorder="1"/>
    <xf numFmtId="0" fontId="13" fillId="2" borderId="6" xfId="4" applyFont="1" applyBorder="1"/>
    <xf numFmtId="165" fontId="1" fillId="2" borderId="0" xfId="4" applyNumberFormat="1"/>
    <xf numFmtId="0" fontId="20" fillId="2" borderId="0" xfId="8" applyFont="1" applyAlignment="1">
      <alignment horizontal="left"/>
    </xf>
    <xf numFmtId="5" fontId="13" fillId="2" borderId="0" xfId="4" applyNumberFormat="1" applyFont="1"/>
    <xf numFmtId="0" fontId="13" fillId="2" borderId="4" xfId="4" applyFont="1" applyBorder="1"/>
    <xf numFmtId="5" fontId="13" fillId="2" borderId="5" xfId="4" applyNumberFormat="1" applyFont="1" applyBorder="1"/>
    <xf numFmtId="0" fontId="15" fillId="2" borderId="0" xfId="4" applyFont="1"/>
    <xf numFmtId="0" fontId="1" fillId="2" borderId="0" xfId="4"/>
    <xf numFmtId="0" fontId="21" fillId="2" borderId="0" xfId="4" applyFont="1"/>
    <xf numFmtId="10" fontId="13" fillId="2" borderId="0" xfId="9" applyNumberFormat="1" applyFont="1"/>
    <xf numFmtId="0" fontId="13" fillId="3" borderId="0" xfId="4" applyFont="1" applyFill="1"/>
    <xf numFmtId="0" fontId="13" fillId="2" borderId="8" xfId="4" applyFont="1" applyBorder="1"/>
    <xf numFmtId="0" fontId="13" fillId="2" borderId="9" xfId="4" applyFont="1" applyBorder="1"/>
    <xf numFmtId="0" fontId="13" fillId="2" borderId="10" xfId="4" applyFont="1" applyBorder="1"/>
    <xf numFmtId="0" fontId="22" fillId="2" borderId="9" xfId="4" applyFont="1" applyBorder="1"/>
    <xf numFmtId="0" fontId="13" fillId="2" borderId="0" xfId="4" applyFont="1" applyBorder="1"/>
    <xf numFmtId="0" fontId="13" fillId="2" borderId="11" xfId="4" applyFont="1" applyBorder="1"/>
    <xf numFmtId="0" fontId="1" fillId="2" borderId="0" xfId="4" applyBorder="1"/>
    <xf numFmtId="0" fontId="13" fillId="2" borderId="7" xfId="4" applyFont="1" applyBorder="1"/>
    <xf numFmtId="0" fontId="23" fillId="2" borderId="0" xfId="4" applyFont="1"/>
    <xf numFmtId="0" fontId="23" fillId="2" borderId="0" xfId="4" applyFont="1" applyBorder="1"/>
    <xf numFmtId="0" fontId="24" fillId="2" borderId="0" xfId="4" quotePrefix="1" applyFont="1" applyBorder="1" applyAlignment="1">
      <alignment horizontal="center"/>
    </xf>
    <xf numFmtId="0" fontId="15" fillId="2" borderId="0" xfId="4" quotePrefix="1" applyFont="1" applyAlignment="1">
      <alignment horizontal="left"/>
    </xf>
    <xf numFmtId="167" fontId="0" fillId="0" borderId="0" xfId="0" applyNumberFormat="1" applyAlignment="1">
      <alignment horizontal="center"/>
    </xf>
    <xf numFmtId="5" fontId="13" fillId="0" borderId="0" xfId="5" applyNumberFormat="1" applyFont="1" applyFill="1"/>
    <xf numFmtId="169" fontId="13" fillId="0" borderId="4" xfId="5" applyNumberFormat="1" applyFont="1" applyFill="1" applyBorder="1"/>
    <xf numFmtId="169" fontId="13" fillId="0" borderId="0" xfId="5" applyNumberFormat="1" applyFont="1" applyFill="1"/>
    <xf numFmtId="5" fontId="13" fillId="0" borderId="4" xfId="5" applyNumberFormat="1" applyFont="1" applyFill="1" applyBorder="1"/>
    <xf numFmtId="0" fontId="13" fillId="0" borderId="0" xfId="4" applyFont="1" applyFill="1"/>
    <xf numFmtId="0" fontId="14" fillId="0" borderId="0" xfId="4" applyFont="1" applyFill="1"/>
    <xf numFmtId="5" fontId="15" fillId="0" borderId="5" xfId="5" applyNumberFormat="1" applyFont="1" applyFill="1" applyBorder="1"/>
    <xf numFmtId="0" fontId="13" fillId="0" borderId="6" xfId="4" applyFont="1" applyFill="1" applyBorder="1"/>
    <xf numFmtId="5" fontId="13" fillId="0" borderId="0" xfId="4" applyNumberFormat="1" applyFont="1" applyFill="1"/>
    <xf numFmtId="0" fontId="13" fillId="0" borderId="4" xfId="4" applyFont="1" applyFill="1" applyBorder="1"/>
    <xf numFmtId="5" fontId="13" fillId="0" borderId="5" xfId="4" applyNumberFormat="1" applyFont="1" applyFill="1" applyBorder="1"/>
    <xf numFmtId="0" fontId="13" fillId="0" borderId="9" xfId="4" applyFont="1" applyFill="1" applyBorder="1"/>
    <xf numFmtId="0" fontId="13" fillId="0" borderId="10" xfId="4" applyFont="1" applyFill="1" applyBorder="1"/>
    <xf numFmtId="166" fontId="1" fillId="2" borderId="0" xfId="4" applyNumberFormat="1"/>
    <xf numFmtId="0" fontId="8" fillId="2" borderId="0" xfId="0" applyFont="1" applyFill="1" applyAlignment="1">
      <alignment horizontal="left" vertical="top" wrapText="1"/>
    </xf>
    <xf numFmtId="0" fontId="0" fillId="0" borderId="0" xfId="0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 wrapText="1"/>
    </xf>
  </cellXfs>
  <cellStyles count="10">
    <cellStyle name="Comma 2" xfId="5" xr:uid="{37D654D4-4E1E-4BDA-88FA-2993B7C42E24}"/>
    <cellStyle name="Hyperlink" xfId="2" builtinId="8"/>
    <cellStyle name="Normal" xfId="0" builtinId="0"/>
    <cellStyle name="Normal 2" xfId="3" xr:uid="{9BF22B31-8FD1-4224-9AB6-D16C48FBE642}"/>
    <cellStyle name="Normal 3" xfId="4" xr:uid="{C2D1ACE1-5946-4F86-BE2C-BBC47BD77E6E}"/>
    <cellStyle name="Normal_KPSC GAS SFRs-Forward Looking" xfId="7" xr:uid="{3390509A-55D4-4165-B6BD-FF746342C922}"/>
    <cellStyle name="Normal_SCH_C2" xfId="8" xr:uid="{6C935140-1F4B-4010-94C1-ED3ED8A3F645}"/>
    <cellStyle name="Normal_SCH_C2.1" xfId="6" xr:uid="{83FCF3B2-AA4B-45AF-9666-CB7CBDB8AE76}"/>
    <cellStyle name="Percent" xfId="1" builtinId="5"/>
    <cellStyle name="Percent 2" xfId="9" xr:uid="{6FFFD078-202C-4100-9B27-A9DD6CB2D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O&amp;M Excluding Gas Cost</a:t>
            </a:r>
          </a:p>
        </c:rich>
      </c:tx>
      <c:layout>
        <c:manualLayout>
          <c:xMode val="edge"/>
          <c:yMode val="edge"/>
          <c:x val="0.30584605366344053"/>
          <c:y val="4.682151931774779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Test Yr O&amp;M</c:v>
          </c:tx>
          <c:spPr>
            <a:solidFill>
              <a:schemeClr val="accent1"/>
            </a:solidFill>
          </c:spPr>
          <c:invertIfNegative val="0"/>
          <c:cat>
            <c:strRef>
              <c:f>Graphing!$E$6:$U$6</c:f>
              <c:strCache>
                <c:ptCount val="17"/>
                <c:pt idx="0">
                  <c:v>2010 TY</c:v>
                </c:pt>
                <c:pt idx="1">
                  <c:v>TY 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TY 19/20</c:v>
                </c:pt>
                <c:pt idx="12">
                  <c:v>2020</c:v>
                </c:pt>
                <c:pt idx="13">
                  <c:v>TY 2022</c:v>
                </c:pt>
                <c:pt idx="14">
                  <c:v>TY 4/19 - 3/20</c:v>
                </c:pt>
                <c:pt idx="15">
                  <c:v>TY 4/19 - 3/20</c:v>
                </c:pt>
                <c:pt idx="16">
                  <c:v>TY 2022</c:v>
                </c:pt>
              </c:strCache>
            </c:strRef>
          </c:cat>
          <c:val>
            <c:numRef>
              <c:f>Graphing!$F$103:$R$103</c:f>
              <c:numCache>
                <c:formatCode>General</c:formatCode>
                <c:ptCount val="13"/>
                <c:pt idx="0">
                  <c:v>20.466536999999999</c:v>
                </c:pt>
                <c:pt idx="10">
                  <c:v>20.865407999999999</c:v>
                </c:pt>
                <c:pt idx="12">
                  <c:v>20.642945999999998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8-4B29-A364-4E1343CE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16768"/>
        <c:axId val="107676416"/>
      </c:barChart>
      <c:lineChart>
        <c:grouping val="standard"/>
        <c:varyColors val="0"/>
        <c:ser>
          <c:idx val="0"/>
          <c:order val="0"/>
          <c:tx>
            <c:v>Actual O&amp;M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EC8-4B29-A364-4E1343CEA1D9}"/>
              </c:ext>
            </c:extLst>
          </c:dPt>
          <c:cat>
            <c:strRef>
              <c:f>Graphing!$F$6:$U$6</c:f>
              <c:strCache>
                <c:ptCount val="16"/>
                <c:pt idx="0">
                  <c:v>TY 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TY 19/20</c:v>
                </c:pt>
                <c:pt idx="11">
                  <c:v>2020</c:v>
                </c:pt>
                <c:pt idx="12">
                  <c:v>TY 2022</c:v>
                </c:pt>
                <c:pt idx="13">
                  <c:v>TY 4/19 - 3/20</c:v>
                </c:pt>
                <c:pt idx="14">
                  <c:v>TY 4/19 - 3/20</c:v>
                </c:pt>
                <c:pt idx="15">
                  <c:v>TY 2022</c:v>
                </c:pt>
              </c:strCache>
            </c:strRef>
          </c:cat>
          <c:val>
            <c:numRef>
              <c:f>Graphing!$F$102:$Q$102</c:f>
              <c:numCache>
                <c:formatCode>General</c:formatCode>
                <c:ptCount val="12"/>
                <c:pt idx="0">
                  <c:v>21.031254000000001</c:v>
                </c:pt>
                <c:pt idx="1">
                  <c:v>21.132531</c:v>
                </c:pt>
                <c:pt idx="2">
                  <c:v>22.408372</c:v>
                </c:pt>
                <c:pt idx="3">
                  <c:v>20.257594999999998</c:v>
                </c:pt>
                <c:pt idx="4">
                  <c:v>21.217144000000001</c:v>
                </c:pt>
                <c:pt idx="5">
                  <c:v>20.707032999999999</c:v>
                </c:pt>
                <c:pt idx="6">
                  <c:v>20.89293</c:v>
                </c:pt>
                <c:pt idx="7">
                  <c:v>22.112674999999999</c:v>
                </c:pt>
                <c:pt idx="8">
                  <c:v>23.220102000000001</c:v>
                </c:pt>
                <c:pt idx="9">
                  <c:v>21.498512999999999</c:v>
                </c:pt>
                <c:pt idx="10">
                  <c:v>21.560751500000002</c:v>
                </c:pt>
                <c:pt idx="11">
                  <c:v>21.622990000000001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8-4B29-A364-4E1343CEA1D9}"/>
            </c:ext>
          </c:extLst>
        </c:ser>
        <c:ser>
          <c:idx val="2"/>
          <c:order val="2"/>
          <c:tx>
            <c:v>CPI</c:v>
          </c:tx>
          <c:spPr>
            <a:ln w="412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Graphing!$F$106:$Q$106</c:f>
              <c:numCache>
                <c:formatCode>General</c:formatCode>
                <c:ptCount val="12"/>
                <c:pt idx="0">
                  <c:v>21.031254000000001</c:v>
                </c:pt>
                <c:pt idx="1">
                  <c:v>21.112569093457644</c:v>
                </c:pt>
                <c:pt idx="2">
                  <c:v>21.549483141844295</c:v>
                </c:pt>
                <c:pt idx="3">
                  <c:v>21.865131250270569</c:v>
                </c:pt>
                <c:pt idx="4">
                  <c:v>22.219824738746006</c:v>
                </c:pt>
                <c:pt idx="5">
                  <c:v>22.246199142096522</c:v>
                </c:pt>
                <c:pt idx="6">
                  <c:v>22.526837811199876</c:v>
                </c:pt>
                <c:pt idx="7">
                  <c:v>23.006739321275269</c:v>
                </c:pt>
                <c:pt idx="8">
                  <c:v>23.568673673088561</c:v>
                </c:pt>
                <c:pt idx="9">
                  <c:v>23.995732517376265</c:v>
                </c:pt>
                <c:pt idx="10">
                  <c:v>23.995732517376265</c:v>
                </c:pt>
                <c:pt idx="11">
                  <c:v>24.291764076691301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C8-4B29-A364-4E1343CE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768"/>
        <c:axId val="107676416"/>
      </c:lineChart>
      <c:catAx>
        <c:axId val="10601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07676416"/>
        <c:crosses val="autoZero"/>
        <c:auto val="1"/>
        <c:lblAlgn val="ctr"/>
        <c:lblOffset val="100"/>
        <c:noMultiLvlLbl val="0"/>
      </c:catAx>
      <c:valAx>
        <c:axId val="107676416"/>
        <c:scaling>
          <c:orientation val="minMax"/>
          <c:max val="30"/>
          <c:min val="0"/>
        </c:scaling>
        <c:delete val="0"/>
        <c:axPos val="l"/>
        <c:majorGridlines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06016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315287</xdr:colOff>
      <xdr:row>108</xdr:row>
      <xdr:rowOff>106794</xdr:rowOff>
    </xdr:from>
    <xdr:to>
      <xdr:col>13</xdr:col>
      <xdr:colOff>768350</xdr:colOff>
      <xdr:row>123</xdr:row>
      <xdr:rowOff>179917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1E3492-42C3-4378-A083-972BD2697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%20Case%20Filings\DE%20Ohio%20D%20Case%202008-709\08-709%20AS%20FILED\SFR%20Model\PUCO%20ELECTRIC%20SFRs-Distribution%20-%203&amp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%20Case%20Filings\DE%20Ohio%20D%20Case%202008-709\SFR%20Model\PUCO%20ELECTRIC%20SFRs-Distribution%20-%203&amp;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\Documents%20and%20Settings\t19577\Application%20Data\Microsoft\Excel\Post%202011%20ESP\ROE%20Comps%20Ohio%20Ut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LABOR"/>
      <sheetName val="Jan-Jun 04 Labor Bdgt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 DE-Ohio"/>
      <sheetName val="SCH_D3B Cons."/>
      <sheetName val="SCH_D4 DE-Ohio"/>
      <sheetName val="SCH_D4 Cons."/>
      <sheetName val="SCH D5 DE-Ohio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 refreshError="1"/>
      <sheetData sheetId="3" refreshError="1"/>
      <sheetData sheetId="4">
        <row r="1">
          <cell r="D1" t="e">
            <v>#REF!</v>
          </cell>
        </row>
        <row r="21">
          <cell r="A21" t="str">
            <v>W. D. WATHEN</v>
          </cell>
        </row>
        <row r="22">
          <cell r="A22" t="str">
            <v>K. G. BUTLER</v>
          </cell>
        </row>
        <row r="23">
          <cell r="A23" t="str">
            <v>S. G. DE MAY</v>
          </cell>
        </row>
        <row r="25">
          <cell r="A25" t="str">
            <v>C. J. COUNCIL</v>
          </cell>
        </row>
        <row r="26">
          <cell r="A26" t="str">
            <v>W. D. WATHEN</v>
          </cell>
        </row>
        <row r="28">
          <cell r="A28" t="str">
            <v>P. A. LAUB</v>
          </cell>
        </row>
      </sheetData>
      <sheetData sheetId="5" refreshError="1"/>
      <sheetData sheetId="6" refreshError="1"/>
      <sheetData sheetId="7" refreshError="1"/>
      <sheetData sheetId="8">
        <row r="12">
          <cell r="A12">
            <v>403000</v>
          </cell>
        </row>
      </sheetData>
      <sheetData sheetId="9">
        <row r="10">
          <cell r="A10" t="str">
            <v>Account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>
        <row r="54">
          <cell r="Q54">
            <v>85604451</v>
          </cell>
        </row>
      </sheetData>
      <sheetData sheetId="36"/>
      <sheetData sheetId="37"/>
      <sheetData sheetId="38">
        <row r="20">
          <cell r="E20" t="e">
            <v>#REF!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88">
          <cell r="AI88">
            <v>-26348297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>
        <row r="2">
          <cell r="O2">
            <v>0.34499999999999997</v>
          </cell>
        </row>
      </sheetData>
      <sheetData sheetId="75" refreshError="1"/>
      <sheetData sheetId="76">
        <row r="35">
          <cell r="H35" t="e">
            <v>#REF!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>
        <row r="16">
          <cell r="M16">
            <v>2.69E-2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LABOR"/>
      <sheetName val="Jan-Jun 04 Labor Bdgt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 DE-Ohio"/>
      <sheetName val="SCH_D3B Cons."/>
      <sheetName val="SCH_D4 DE-Ohio"/>
      <sheetName val="SCH_D4 Cons."/>
      <sheetName val="SCH D5 DE-Ohio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  <row r="6">
          <cell r="C6" t="str">
            <v>CASE NO. 08-709-EL-AIR</v>
          </cell>
        </row>
        <row r="7">
          <cell r="C7" t="str">
            <v>FOR THE TWELVE MONTHS ENDED DECEMBER 31, 2008</v>
          </cell>
        </row>
        <row r="9">
          <cell r="D9" t="str">
            <v>ELECTRIC DEPARTMENT</v>
          </cell>
        </row>
        <row r="10">
          <cell r="D10" t="str">
            <v>12 MONTHS ENDING DECEMBER 31, 2008</v>
          </cell>
        </row>
        <row r="11">
          <cell r="D11" t="str">
            <v>DECEMBER 31, 2008</v>
          </cell>
        </row>
        <row r="12">
          <cell r="C12" t="str">
            <v xml:space="preserve">DATA: 3  MONTHS ACTUAL &amp;  9  MONTHS ESTIMATED  </v>
          </cell>
        </row>
        <row r="13">
          <cell r="C13" t="str">
            <v xml:space="preserve">TYPE OF FILING: "X" ORIGINAL   UPDATED    REVISED  </v>
          </cell>
        </row>
        <row r="17">
          <cell r="D17" t="str">
            <v>MARCH 31, 2008</v>
          </cell>
        </row>
      </sheetData>
      <sheetData sheetId="1">
        <row r="2">
          <cell r="A2" t="str">
            <v>C229</v>
          </cell>
          <cell r="B2">
            <v>0.39322937993660001</v>
          </cell>
          <cell r="C2" t="str">
            <v>WTD Net C &amp; O Plant Ratios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0.86551999999999996</v>
          </cell>
          <cell r="C5" t="str">
            <v>WTD Net G &amp; I Plant Ratios (T&amp;D Only)</v>
          </cell>
        </row>
        <row r="6">
          <cell r="A6" t="str">
            <v>D595</v>
          </cell>
          <cell r="B6">
            <v>0.2923</v>
          </cell>
          <cell r="C6" t="str">
            <v>Distribution Revenue ratio</v>
          </cell>
        </row>
      </sheetData>
      <sheetData sheetId="2" refreshError="1"/>
      <sheetData sheetId="3" refreshError="1"/>
      <sheetData sheetId="4">
        <row r="1">
          <cell r="D1">
            <v>1.6770705E-2</v>
          </cell>
        </row>
        <row r="2">
          <cell r="D2">
            <v>1.25E-3</v>
          </cell>
        </row>
        <row r="3">
          <cell r="D3">
            <v>1.2899999999999999E-3</v>
          </cell>
        </row>
        <row r="4">
          <cell r="D4">
            <v>3.3E-4</v>
          </cell>
        </row>
        <row r="5">
          <cell r="D5">
            <v>0.35</v>
          </cell>
        </row>
        <row r="7">
          <cell r="D7">
            <v>2.0799999999999998E-3</v>
          </cell>
        </row>
        <row r="8">
          <cell r="D8">
            <v>1.67E-2</v>
          </cell>
        </row>
        <row r="9">
          <cell r="D9">
            <v>3.7000000000000002E-3</v>
          </cell>
        </row>
        <row r="10">
          <cell r="D10">
            <v>0</v>
          </cell>
        </row>
        <row r="11">
          <cell r="D11">
            <v>2.5999999999999999E-2</v>
          </cell>
        </row>
        <row r="12">
          <cell r="D12">
            <v>3.5000000000000003E-2</v>
          </cell>
        </row>
        <row r="13">
          <cell r="D13">
            <v>0</v>
          </cell>
        </row>
        <row r="14">
          <cell r="D14">
            <v>39569</v>
          </cell>
        </row>
        <row r="15">
          <cell r="D15">
            <v>0.81710000000000005</v>
          </cell>
        </row>
        <row r="16">
          <cell r="D16">
            <v>0.81710000000000005</v>
          </cell>
        </row>
        <row r="17">
          <cell r="D17" t="str">
            <v>June 25, 2008</v>
          </cell>
        </row>
        <row r="21">
          <cell r="A21" t="str">
            <v>W. D. WATHEN</v>
          </cell>
        </row>
        <row r="22">
          <cell r="A22" t="str">
            <v>K. G. BUTLER</v>
          </cell>
        </row>
        <row r="23">
          <cell r="A23" t="str">
            <v>S. G. DE MAY</v>
          </cell>
        </row>
        <row r="25">
          <cell r="A25" t="str">
            <v>C. J. COUNCIL</v>
          </cell>
        </row>
        <row r="26">
          <cell r="A26" t="str">
            <v>W. D. WATHEN</v>
          </cell>
        </row>
        <row r="28">
          <cell r="A28" t="str">
            <v>P. A. LAUB</v>
          </cell>
        </row>
      </sheetData>
      <sheetData sheetId="5" refreshError="1"/>
      <sheetData sheetId="6" refreshError="1"/>
      <sheetData sheetId="7" refreshError="1"/>
      <sheetData sheetId="8">
        <row r="12">
          <cell r="A12">
            <v>403000</v>
          </cell>
          <cell r="B12" t="str">
            <v>DEPR</v>
          </cell>
          <cell r="C12">
            <v>403</v>
          </cell>
          <cell r="D12" t="str">
            <v>Electric Depreciation Expense</v>
          </cell>
          <cell r="E12">
            <v>40681298</v>
          </cell>
          <cell r="F12">
            <v>3450125</v>
          </cell>
          <cell r="G12">
            <v>3457901</v>
          </cell>
          <cell r="H12">
            <v>3476795</v>
          </cell>
          <cell r="I12">
            <v>3322530</v>
          </cell>
          <cell r="J12">
            <v>3330585</v>
          </cell>
          <cell r="K12">
            <v>3352686</v>
          </cell>
          <cell r="L12">
            <v>3354387</v>
          </cell>
          <cell r="M12">
            <v>3364673</v>
          </cell>
          <cell r="N12">
            <v>3375619</v>
          </cell>
          <cell r="O12">
            <v>3384702</v>
          </cell>
          <cell r="P12">
            <v>3387424</v>
          </cell>
          <cell r="Q12">
            <v>3423871</v>
          </cell>
        </row>
        <row r="13">
          <cell r="A13">
            <v>404201</v>
          </cell>
          <cell r="B13" t="str">
            <v>DEPR</v>
          </cell>
          <cell r="C13">
            <v>404</v>
          </cell>
          <cell r="D13" t="str">
            <v>Amortization Limited Term Electric</v>
          </cell>
          <cell r="E13">
            <v>1220756</v>
          </cell>
          <cell r="F13">
            <v>409292</v>
          </cell>
          <cell r="G13">
            <v>405732</v>
          </cell>
          <cell r="H13">
            <v>405732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407214</v>
          </cell>
          <cell r="B14" t="str">
            <v>AMORT</v>
          </cell>
          <cell r="C14">
            <v>407</v>
          </cell>
          <cell r="D14" t="str">
            <v>Amort Exp-2004 RSP Return on Debt</v>
          </cell>
          <cell r="E14">
            <v>2355416</v>
          </cell>
          <cell r="F14">
            <v>191617</v>
          </cell>
          <cell r="G14">
            <v>183342</v>
          </cell>
          <cell r="H14">
            <v>180596</v>
          </cell>
          <cell r="I14">
            <v>150962</v>
          </cell>
          <cell r="J14">
            <v>149625</v>
          </cell>
          <cell r="K14">
            <v>202744</v>
          </cell>
          <cell r="L14">
            <v>246267</v>
          </cell>
          <cell r="M14">
            <v>260228</v>
          </cell>
          <cell r="N14">
            <v>252033</v>
          </cell>
          <cell r="O14">
            <v>176999</v>
          </cell>
          <cell r="P14">
            <v>157914</v>
          </cell>
          <cell r="Q14">
            <v>203089</v>
          </cell>
        </row>
        <row r="15">
          <cell r="A15">
            <v>407215</v>
          </cell>
          <cell r="B15" t="str">
            <v>AMORT</v>
          </cell>
          <cell r="C15">
            <v>407</v>
          </cell>
          <cell r="D15" t="str">
            <v>Rider DRI Depreciation Expense</v>
          </cell>
          <cell r="E15">
            <v>2247885</v>
          </cell>
          <cell r="F15">
            <v>188447</v>
          </cell>
          <cell r="G15">
            <v>180308</v>
          </cell>
          <cell r="H15">
            <v>177608</v>
          </cell>
          <cell r="I15">
            <v>189058</v>
          </cell>
          <cell r="J15">
            <v>189058</v>
          </cell>
          <cell r="K15">
            <v>189058</v>
          </cell>
          <cell r="L15">
            <v>189058</v>
          </cell>
          <cell r="M15">
            <v>189058</v>
          </cell>
          <cell r="N15">
            <v>189058</v>
          </cell>
          <cell r="O15">
            <v>189058</v>
          </cell>
          <cell r="P15">
            <v>189058</v>
          </cell>
          <cell r="Q15">
            <v>189058</v>
          </cell>
        </row>
        <row r="16">
          <cell r="A16">
            <v>407216</v>
          </cell>
          <cell r="B16" t="str">
            <v>AMORT</v>
          </cell>
          <cell r="C16">
            <v>407</v>
          </cell>
          <cell r="D16" t="str">
            <v>Rider DRI Property Tax</v>
          </cell>
          <cell r="E16">
            <v>2469169</v>
          </cell>
          <cell r="F16">
            <v>206998</v>
          </cell>
          <cell r="G16">
            <v>198058</v>
          </cell>
          <cell r="H16">
            <v>195092</v>
          </cell>
          <cell r="I16">
            <v>207669</v>
          </cell>
          <cell r="J16">
            <v>207669</v>
          </cell>
          <cell r="K16">
            <v>207669</v>
          </cell>
          <cell r="L16">
            <v>207669</v>
          </cell>
          <cell r="M16">
            <v>207669</v>
          </cell>
          <cell r="N16">
            <v>207669</v>
          </cell>
          <cell r="O16">
            <v>207669</v>
          </cell>
          <cell r="P16">
            <v>207669</v>
          </cell>
          <cell r="Q16">
            <v>207669</v>
          </cell>
        </row>
        <row r="17">
          <cell r="A17">
            <v>407315</v>
          </cell>
          <cell r="B17" t="str">
            <v>AMORT</v>
          </cell>
          <cell r="C17">
            <v>407</v>
          </cell>
          <cell r="D17" t="str">
            <v>Reg Asset Amort - Towers</v>
          </cell>
          <cell r="E17">
            <v>-1478124</v>
          </cell>
          <cell r="F17">
            <v>-123177</v>
          </cell>
          <cell r="G17">
            <v>-123177</v>
          </cell>
          <cell r="H17">
            <v>-123177</v>
          </cell>
          <cell r="I17">
            <v>-123177</v>
          </cell>
          <cell r="J17">
            <v>-123177</v>
          </cell>
          <cell r="K17">
            <v>-123177</v>
          </cell>
          <cell r="L17">
            <v>-123177</v>
          </cell>
          <cell r="M17">
            <v>-123177</v>
          </cell>
          <cell r="N17">
            <v>-123177</v>
          </cell>
          <cell r="O17">
            <v>-123177</v>
          </cell>
          <cell r="P17">
            <v>-123177</v>
          </cell>
          <cell r="Q17">
            <v>-123177</v>
          </cell>
        </row>
        <row r="18">
          <cell r="A18">
            <v>407904</v>
          </cell>
          <cell r="B18" t="str">
            <v>AMORT</v>
          </cell>
          <cell r="C18">
            <v>407</v>
          </cell>
          <cell r="D18" t="str">
            <v>RTC Electric Retail Amort</v>
          </cell>
          <cell r="E18">
            <v>100996954</v>
          </cell>
          <cell r="F18">
            <v>8355714</v>
          </cell>
          <cell r="G18">
            <v>8155434</v>
          </cell>
          <cell r="H18">
            <v>7330914</v>
          </cell>
          <cell r="I18">
            <v>7251842</v>
          </cell>
          <cell r="J18">
            <v>6979647</v>
          </cell>
          <cell r="K18">
            <v>8529323</v>
          </cell>
          <cell r="L18">
            <v>10018755</v>
          </cell>
          <cell r="M18">
            <v>10566895</v>
          </cell>
          <cell r="N18">
            <v>9984258</v>
          </cell>
          <cell r="O18">
            <v>7620115</v>
          </cell>
          <cell r="P18">
            <v>7415604</v>
          </cell>
          <cell r="Q18">
            <v>8788453</v>
          </cell>
        </row>
        <row r="19">
          <cell r="A19">
            <v>407907</v>
          </cell>
          <cell r="B19" t="str">
            <v>AMORT</v>
          </cell>
          <cell r="C19">
            <v>407</v>
          </cell>
          <cell r="D19" t="str">
            <v>DSM Amortization</v>
          </cell>
          <cell r="E19">
            <v>10552012</v>
          </cell>
          <cell r="F19">
            <v>831775</v>
          </cell>
          <cell r="G19">
            <v>767163</v>
          </cell>
          <cell r="H19">
            <v>758439</v>
          </cell>
          <cell r="I19">
            <v>910515</v>
          </cell>
          <cell r="J19">
            <v>910515</v>
          </cell>
          <cell r="K19">
            <v>910515</v>
          </cell>
          <cell r="L19">
            <v>910515</v>
          </cell>
          <cell r="M19">
            <v>910515</v>
          </cell>
          <cell r="N19">
            <v>910515</v>
          </cell>
          <cell r="O19">
            <v>910515</v>
          </cell>
          <cell r="P19">
            <v>910515</v>
          </cell>
          <cell r="Q19">
            <v>910515</v>
          </cell>
        </row>
        <row r="20">
          <cell r="A20">
            <v>408030</v>
          </cell>
          <cell r="B20" t="str">
            <v>OTHTX</v>
          </cell>
          <cell r="C20">
            <v>408</v>
          </cell>
          <cell r="D20" t="str">
            <v>Ohio Property Taxes - Distribution</v>
          </cell>
          <cell r="E20">
            <v>56232636</v>
          </cell>
          <cell r="F20">
            <v>4789679</v>
          </cell>
          <cell r="G20">
            <v>4789679</v>
          </cell>
          <cell r="H20">
            <v>4789679</v>
          </cell>
          <cell r="I20">
            <v>4651511</v>
          </cell>
          <cell r="J20">
            <v>4651511</v>
          </cell>
          <cell r="K20">
            <v>4651511</v>
          </cell>
          <cell r="L20">
            <v>4651511</v>
          </cell>
          <cell r="M20">
            <v>4651511</v>
          </cell>
          <cell r="N20">
            <v>4651511</v>
          </cell>
          <cell r="O20">
            <v>4651511</v>
          </cell>
          <cell r="P20">
            <v>4651511</v>
          </cell>
          <cell r="Q20">
            <v>4651511</v>
          </cell>
        </row>
        <row r="21">
          <cell r="A21">
            <v>408070</v>
          </cell>
          <cell r="B21" t="str">
            <v>OTHTX</v>
          </cell>
          <cell r="C21">
            <v>408</v>
          </cell>
          <cell r="D21" t="str">
            <v>Ky Property Tax - Other than Production</v>
          </cell>
          <cell r="E21">
            <v>33156</v>
          </cell>
          <cell r="F21">
            <v>2763</v>
          </cell>
          <cell r="G21">
            <v>2763</v>
          </cell>
          <cell r="H21">
            <v>2763</v>
          </cell>
          <cell r="I21">
            <v>2763</v>
          </cell>
          <cell r="J21">
            <v>2763</v>
          </cell>
          <cell r="K21">
            <v>2763</v>
          </cell>
          <cell r="L21">
            <v>2763</v>
          </cell>
          <cell r="M21">
            <v>2763</v>
          </cell>
          <cell r="N21">
            <v>2763</v>
          </cell>
          <cell r="O21">
            <v>2763</v>
          </cell>
          <cell r="P21">
            <v>2763</v>
          </cell>
          <cell r="Q21">
            <v>2763</v>
          </cell>
        </row>
        <row r="22">
          <cell r="A22">
            <v>408075</v>
          </cell>
          <cell r="B22" t="str">
            <v>OTHTX</v>
          </cell>
          <cell r="C22">
            <v>408</v>
          </cell>
          <cell r="D22" t="str">
            <v>Indiana Property Tax</v>
          </cell>
          <cell r="E22">
            <v>2505</v>
          </cell>
          <cell r="F22">
            <v>328</v>
          </cell>
          <cell r="G22">
            <v>328</v>
          </cell>
          <cell r="H22">
            <v>328</v>
          </cell>
          <cell r="I22">
            <v>169</v>
          </cell>
          <cell r="J22">
            <v>169</v>
          </cell>
          <cell r="K22">
            <v>169</v>
          </cell>
          <cell r="L22">
            <v>169</v>
          </cell>
          <cell r="M22">
            <v>169</v>
          </cell>
          <cell r="N22">
            <v>169</v>
          </cell>
          <cell r="O22">
            <v>169</v>
          </cell>
          <cell r="P22">
            <v>169</v>
          </cell>
          <cell r="Q22">
            <v>169</v>
          </cell>
        </row>
        <row r="23">
          <cell r="A23">
            <v>408095</v>
          </cell>
          <cell r="B23" t="str">
            <v>OTHTX</v>
          </cell>
          <cell r="C23">
            <v>408</v>
          </cell>
          <cell r="D23" t="str">
            <v>Miscellaneous State Property Taxes</v>
          </cell>
          <cell r="E23">
            <v>117249</v>
          </cell>
          <cell r="F23">
            <v>10022</v>
          </cell>
          <cell r="G23">
            <v>10022</v>
          </cell>
          <cell r="H23">
            <v>10022</v>
          </cell>
          <cell r="I23">
            <v>9687</v>
          </cell>
          <cell r="J23">
            <v>9687</v>
          </cell>
          <cell r="K23">
            <v>9687</v>
          </cell>
          <cell r="L23">
            <v>9687</v>
          </cell>
          <cell r="M23">
            <v>9687</v>
          </cell>
          <cell r="N23">
            <v>9687</v>
          </cell>
          <cell r="O23">
            <v>9687</v>
          </cell>
          <cell r="P23">
            <v>9687</v>
          </cell>
          <cell r="Q23">
            <v>9687</v>
          </cell>
        </row>
        <row r="24">
          <cell r="A24">
            <v>408380</v>
          </cell>
          <cell r="B24" t="str">
            <v>OTHTX</v>
          </cell>
          <cell r="C24">
            <v>408</v>
          </cell>
          <cell r="D24" t="str">
            <v>Cincinnati Franchise Tax</v>
          </cell>
          <cell r="E24">
            <v>2094382</v>
          </cell>
          <cell r="F24">
            <v>170131</v>
          </cell>
          <cell r="G24">
            <v>164635</v>
          </cell>
          <cell r="H24">
            <v>163116</v>
          </cell>
          <cell r="I24">
            <v>157590</v>
          </cell>
          <cell r="J24">
            <v>150380</v>
          </cell>
          <cell r="K24">
            <v>186430</v>
          </cell>
          <cell r="L24">
            <v>211150</v>
          </cell>
          <cell r="M24">
            <v>211150</v>
          </cell>
          <cell r="N24">
            <v>185400</v>
          </cell>
          <cell r="O24">
            <v>164800</v>
          </cell>
          <cell r="P24">
            <v>164800</v>
          </cell>
          <cell r="Q24">
            <v>164800</v>
          </cell>
        </row>
        <row r="25">
          <cell r="A25">
            <v>408410</v>
          </cell>
          <cell r="B25" t="str">
            <v>OTHTX</v>
          </cell>
          <cell r="C25">
            <v>408</v>
          </cell>
          <cell r="D25" t="str">
            <v>Social Security Taxes</v>
          </cell>
          <cell r="E25">
            <v>4462501</v>
          </cell>
          <cell r="F25">
            <v>372769</v>
          </cell>
          <cell r="G25">
            <v>392901</v>
          </cell>
          <cell r="H25">
            <v>344894</v>
          </cell>
          <cell r="I25">
            <v>385163</v>
          </cell>
          <cell r="J25">
            <v>387192</v>
          </cell>
          <cell r="K25">
            <v>382150</v>
          </cell>
          <cell r="L25">
            <v>334060</v>
          </cell>
          <cell r="M25">
            <v>401675</v>
          </cell>
          <cell r="N25">
            <v>362226</v>
          </cell>
          <cell r="O25">
            <v>371163</v>
          </cell>
          <cell r="P25">
            <v>365333</v>
          </cell>
          <cell r="Q25">
            <v>362975</v>
          </cell>
        </row>
        <row r="26">
          <cell r="A26">
            <v>408490</v>
          </cell>
          <cell r="B26" t="str">
            <v>OTHTX</v>
          </cell>
          <cell r="C26">
            <v>408</v>
          </cell>
          <cell r="D26" t="str">
            <v>Indiana Highway Use Tax - Electric</v>
          </cell>
          <cell r="E26">
            <v>378</v>
          </cell>
          <cell r="F26">
            <v>378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408510</v>
          </cell>
          <cell r="B27" t="str">
            <v>OTHTX</v>
          </cell>
          <cell r="C27">
            <v>408</v>
          </cell>
          <cell r="D27" t="str">
            <v>Federal Highway Use Tax</v>
          </cell>
          <cell r="E27">
            <v>27000</v>
          </cell>
          <cell r="F27">
            <v>0</v>
          </cell>
          <cell r="G27">
            <v>0</v>
          </cell>
          <cell r="H27">
            <v>0</v>
          </cell>
          <cell r="I27">
            <v>3000</v>
          </cell>
          <cell r="J27">
            <v>0</v>
          </cell>
          <cell r="K27">
            <v>0</v>
          </cell>
          <cell r="L27">
            <v>3000</v>
          </cell>
          <cell r="M27">
            <v>18000</v>
          </cell>
          <cell r="N27">
            <v>0</v>
          </cell>
          <cell r="O27">
            <v>3000</v>
          </cell>
          <cell r="P27">
            <v>0</v>
          </cell>
          <cell r="Q27">
            <v>0</v>
          </cell>
        </row>
        <row r="28">
          <cell r="A28">
            <v>408530</v>
          </cell>
          <cell r="B28" t="str">
            <v>OTHTX</v>
          </cell>
          <cell r="C28">
            <v>408</v>
          </cell>
          <cell r="D28" t="str">
            <v>Ohio Highway Use - Electric</v>
          </cell>
          <cell r="E28">
            <v>-1157</v>
          </cell>
          <cell r="F28">
            <v>-1157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408550</v>
          </cell>
          <cell r="B29" t="str">
            <v>OTHTX</v>
          </cell>
          <cell r="C29">
            <v>408</v>
          </cell>
          <cell r="D29" t="str">
            <v>Kentucky Highway Use - Electric</v>
          </cell>
          <cell r="E29">
            <v>798</v>
          </cell>
          <cell r="F29">
            <v>798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408740</v>
          </cell>
          <cell r="B30" t="str">
            <v>OTHTX</v>
          </cell>
          <cell r="C30">
            <v>408</v>
          </cell>
          <cell r="D30" t="str">
            <v>Sales and Use Expense</v>
          </cell>
          <cell r="E30">
            <v>54000</v>
          </cell>
          <cell r="F30">
            <v>0</v>
          </cell>
          <cell r="G30">
            <v>0</v>
          </cell>
          <cell r="H30">
            <v>0</v>
          </cell>
          <cell r="I30">
            <v>6000</v>
          </cell>
          <cell r="J30">
            <v>6000</v>
          </cell>
          <cell r="K30">
            <v>6000</v>
          </cell>
          <cell r="L30">
            <v>6000</v>
          </cell>
          <cell r="M30">
            <v>6000</v>
          </cell>
          <cell r="N30">
            <v>6000</v>
          </cell>
          <cell r="O30">
            <v>6000</v>
          </cell>
          <cell r="P30">
            <v>6000</v>
          </cell>
          <cell r="Q30">
            <v>6000</v>
          </cell>
        </row>
        <row r="31">
          <cell r="A31">
            <v>408911</v>
          </cell>
          <cell r="B31" t="str">
            <v>OTHTX</v>
          </cell>
          <cell r="C31">
            <v>408</v>
          </cell>
          <cell r="D31" t="str">
            <v>Kwh Tax</v>
          </cell>
          <cell r="E31">
            <v>73128969</v>
          </cell>
          <cell r="F31">
            <v>6832842</v>
          </cell>
          <cell r="G31">
            <v>6400342</v>
          </cell>
          <cell r="H31">
            <v>6216988</v>
          </cell>
          <cell r="I31">
            <v>5358640</v>
          </cell>
          <cell r="J31">
            <v>5106536</v>
          </cell>
          <cell r="K31">
            <v>5823261</v>
          </cell>
          <cell r="L31">
            <v>6781089</v>
          </cell>
          <cell r="M31">
            <v>7009462</v>
          </cell>
          <cell r="N31">
            <v>6609516</v>
          </cell>
          <cell r="O31">
            <v>5338934</v>
          </cell>
          <cell r="P31">
            <v>5300084</v>
          </cell>
          <cell r="Q31">
            <v>6351275</v>
          </cell>
        </row>
        <row r="32">
          <cell r="A32">
            <v>408950</v>
          </cell>
          <cell r="B32" t="str">
            <v>OTHTX</v>
          </cell>
          <cell r="C32">
            <v>408</v>
          </cell>
          <cell r="D32" t="str">
            <v>CAT Expense</v>
          </cell>
          <cell r="E32">
            <v>1010102</v>
          </cell>
          <cell r="F32">
            <v>49839</v>
          </cell>
          <cell r="G32">
            <v>45173</v>
          </cell>
          <cell r="H32">
            <v>68389</v>
          </cell>
          <cell r="I32">
            <v>80029</v>
          </cell>
          <cell r="J32">
            <v>82918</v>
          </cell>
          <cell r="K32">
            <v>99253</v>
          </cell>
          <cell r="L32">
            <v>109568</v>
          </cell>
          <cell r="M32">
            <v>109639</v>
          </cell>
          <cell r="N32">
            <v>90456</v>
          </cell>
          <cell r="O32">
            <v>84888</v>
          </cell>
          <cell r="P32">
            <v>89435</v>
          </cell>
          <cell r="Q32">
            <v>100515</v>
          </cell>
        </row>
        <row r="33">
          <cell r="A33">
            <v>409060</v>
          </cell>
          <cell r="B33" t="str">
            <v>FIT</v>
          </cell>
          <cell r="C33">
            <v>409</v>
          </cell>
          <cell r="D33" t="str">
            <v>Federal Income Taxes - Calculated</v>
          </cell>
          <cell r="E33">
            <v>9846011</v>
          </cell>
          <cell r="F33">
            <v>820500.91666666663</v>
          </cell>
          <cell r="G33">
            <v>820500.91666666663</v>
          </cell>
          <cell r="H33">
            <v>820500.91666666663</v>
          </cell>
          <cell r="I33">
            <v>820500.91666666663</v>
          </cell>
          <cell r="J33">
            <v>820500.91666666663</v>
          </cell>
          <cell r="K33">
            <v>820500.91666666663</v>
          </cell>
          <cell r="L33">
            <v>820500.91666666663</v>
          </cell>
          <cell r="M33">
            <v>820500.91666666663</v>
          </cell>
          <cell r="N33">
            <v>820500.91666666663</v>
          </cell>
          <cell r="O33">
            <v>820500.91666666663</v>
          </cell>
          <cell r="P33">
            <v>820500.91666666663</v>
          </cell>
          <cell r="Q33">
            <v>820500.91666666605</v>
          </cell>
        </row>
        <row r="34">
          <cell r="A34">
            <v>409160</v>
          </cell>
          <cell r="B34" t="str">
            <v>FIT</v>
          </cell>
          <cell r="C34">
            <v>409</v>
          </cell>
          <cell r="D34" t="str">
            <v>State &amp; Municipal Income Tax Expense - Calculated</v>
          </cell>
          <cell r="E34">
            <v>505948</v>
          </cell>
          <cell r="F34">
            <v>42162.333333333336</v>
          </cell>
          <cell r="G34">
            <v>42162.333333333336</v>
          </cell>
          <cell r="H34">
            <v>42162.333333333336</v>
          </cell>
          <cell r="I34">
            <v>42162.333333333336</v>
          </cell>
          <cell r="J34">
            <v>42162.333333333336</v>
          </cell>
          <cell r="K34">
            <v>42162.333333333336</v>
          </cell>
          <cell r="L34">
            <v>42162.333333333336</v>
          </cell>
          <cell r="M34">
            <v>42162.333333333336</v>
          </cell>
          <cell r="N34">
            <v>42162.333333333336</v>
          </cell>
          <cell r="O34">
            <v>42162.333333333336</v>
          </cell>
          <cell r="P34">
            <v>42162.333333333336</v>
          </cell>
          <cell r="Q34">
            <v>42162.333333333372</v>
          </cell>
        </row>
        <row r="35">
          <cell r="A35">
            <v>410060</v>
          </cell>
          <cell r="B35" t="str">
            <v>FIT</v>
          </cell>
          <cell r="C35">
            <v>410</v>
          </cell>
          <cell r="D35" t="str">
            <v>Federal Income Taxes - Electric</v>
          </cell>
          <cell r="E35">
            <v>3808837</v>
          </cell>
          <cell r="F35">
            <v>317403</v>
          </cell>
          <cell r="G35">
            <v>317403</v>
          </cell>
          <cell r="H35">
            <v>317403</v>
          </cell>
          <cell r="I35">
            <v>317403</v>
          </cell>
          <cell r="J35">
            <v>317403</v>
          </cell>
          <cell r="K35">
            <v>317403</v>
          </cell>
          <cell r="L35">
            <v>317403</v>
          </cell>
          <cell r="M35">
            <v>317403</v>
          </cell>
          <cell r="N35">
            <v>317403</v>
          </cell>
          <cell r="O35">
            <v>317403</v>
          </cell>
          <cell r="P35">
            <v>317403</v>
          </cell>
          <cell r="Q35">
            <v>317404</v>
          </cell>
        </row>
        <row r="36">
          <cell r="A36">
            <v>410160</v>
          </cell>
          <cell r="B36" t="str">
            <v>FIT</v>
          </cell>
          <cell r="C36">
            <v>410</v>
          </cell>
          <cell r="D36" t="str">
            <v>State Income Tax - Electric</v>
          </cell>
          <cell r="E36">
            <v>176146</v>
          </cell>
          <cell r="F36">
            <v>14679</v>
          </cell>
          <cell r="G36">
            <v>14679</v>
          </cell>
          <cell r="H36">
            <v>14679</v>
          </cell>
          <cell r="I36">
            <v>14679</v>
          </cell>
          <cell r="J36">
            <v>14679</v>
          </cell>
          <cell r="K36">
            <v>14679</v>
          </cell>
          <cell r="L36">
            <v>14679</v>
          </cell>
          <cell r="M36">
            <v>14679</v>
          </cell>
          <cell r="N36">
            <v>14679</v>
          </cell>
          <cell r="O36">
            <v>14679</v>
          </cell>
          <cell r="P36">
            <v>14679</v>
          </cell>
          <cell r="Q36">
            <v>14677</v>
          </cell>
        </row>
        <row r="37">
          <cell r="A37">
            <v>411065</v>
          </cell>
          <cell r="B37" t="str">
            <v>FIT</v>
          </cell>
          <cell r="C37">
            <v>411</v>
          </cell>
          <cell r="D37" t="str">
            <v>Amortization of ITC - Electric</v>
          </cell>
          <cell r="E37">
            <v>-795900</v>
          </cell>
          <cell r="F37">
            <v>-66325</v>
          </cell>
          <cell r="G37">
            <v>-66325</v>
          </cell>
          <cell r="H37">
            <v>-66325</v>
          </cell>
          <cell r="I37">
            <v>-66325</v>
          </cell>
          <cell r="J37">
            <v>-66325</v>
          </cell>
          <cell r="K37">
            <v>-66325</v>
          </cell>
          <cell r="L37">
            <v>-66325</v>
          </cell>
          <cell r="M37">
            <v>-66325</v>
          </cell>
          <cell r="N37">
            <v>-66325</v>
          </cell>
          <cell r="O37">
            <v>-66325</v>
          </cell>
          <cell r="P37">
            <v>-66325</v>
          </cell>
          <cell r="Q37">
            <v>-66325</v>
          </cell>
        </row>
        <row r="38">
          <cell r="A38">
            <v>426520</v>
          </cell>
          <cell r="B38" t="str">
            <v>AGO</v>
          </cell>
          <cell r="C38">
            <v>426</v>
          </cell>
          <cell r="D38" t="str">
            <v>Sale of A/R Fees - Elec</v>
          </cell>
          <cell r="E38">
            <v>8238600</v>
          </cell>
          <cell r="F38">
            <v>635679</v>
          </cell>
          <cell r="G38">
            <v>569634</v>
          </cell>
          <cell r="H38">
            <v>523848</v>
          </cell>
          <cell r="I38">
            <v>598236</v>
          </cell>
          <cell r="J38">
            <v>594549</v>
          </cell>
          <cell r="K38">
            <v>699152</v>
          </cell>
          <cell r="L38">
            <v>786511</v>
          </cell>
          <cell r="M38">
            <v>778160</v>
          </cell>
          <cell r="N38">
            <v>642192</v>
          </cell>
          <cell r="O38">
            <v>676481</v>
          </cell>
          <cell r="P38">
            <v>801578</v>
          </cell>
          <cell r="Q38">
            <v>932580</v>
          </cell>
        </row>
        <row r="39">
          <cell r="A39">
            <v>440500</v>
          </cell>
          <cell r="B39" t="str">
            <v>REV</v>
          </cell>
          <cell r="C39">
            <v>440</v>
          </cell>
          <cell r="D39" t="str">
            <v>Elec Rev Residential - General</v>
          </cell>
          <cell r="E39">
            <v>37127</v>
          </cell>
          <cell r="F39">
            <v>11613</v>
          </cell>
          <cell r="G39">
            <v>8879</v>
          </cell>
          <cell r="H39">
            <v>16635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440504</v>
          </cell>
          <cell r="B40" t="str">
            <v>REV</v>
          </cell>
          <cell r="C40">
            <v>440</v>
          </cell>
          <cell r="D40" t="str">
            <v>RTC Revenue - Residential</v>
          </cell>
          <cell r="E40">
            <v>44215403</v>
          </cell>
          <cell r="F40">
            <v>4130483</v>
          </cell>
          <cell r="G40">
            <v>3822486</v>
          </cell>
          <cell r="H40">
            <v>3678969</v>
          </cell>
          <cell r="I40">
            <v>2926961</v>
          </cell>
          <cell r="J40">
            <v>2675832</v>
          </cell>
          <cell r="K40">
            <v>3603258</v>
          </cell>
          <cell r="L40">
            <v>4712644</v>
          </cell>
          <cell r="M40">
            <v>4944147</v>
          </cell>
          <cell r="N40">
            <v>4428592</v>
          </cell>
          <cell r="O40">
            <v>2807790</v>
          </cell>
          <cell r="P40">
            <v>2876786</v>
          </cell>
          <cell r="Q40">
            <v>3607455</v>
          </cell>
        </row>
        <row r="41">
          <cell r="A41">
            <v>440505</v>
          </cell>
          <cell r="B41" t="str">
            <v>REV</v>
          </cell>
          <cell r="C41">
            <v>440</v>
          </cell>
          <cell r="D41" t="str">
            <v>ED Ancillary Services-Resident</v>
          </cell>
          <cell r="E41">
            <v>76959</v>
          </cell>
          <cell r="F41">
            <v>27605</v>
          </cell>
          <cell r="G41">
            <v>25255</v>
          </cell>
          <cell r="H41">
            <v>24099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440510</v>
          </cell>
          <cell r="B42" t="str">
            <v>REV</v>
          </cell>
          <cell r="C42">
            <v>440</v>
          </cell>
          <cell r="D42" t="str">
            <v>Elec Rev Residential-Unbilled</v>
          </cell>
          <cell r="E42">
            <v>2541421</v>
          </cell>
          <cell r="F42">
            <v>-522252</v>
          </cell>
          <cell r="G42">
            <v>-882890</v>
          </cell>
          <cell r="H42">
            <v>-1285590</v>
          </cell>
          <cell r="I42">
            <v>-1511267</v>
          </cell>
          <cell r="J42">
            <v>1053469</v>
          </cell>
          <cell r="K42">
            <v>3761077</v>
          </cell>
          <cell r="L42">
            <v>1945495</v>
          </cell>
          <cell r="M42">
            <v>75926</v>
          </cell>
          <cell r="N42">
            <v>-4611052</v>
          </cell>
          <cell r="O42">
            <v>98753</v>
          </cell>
          <cell r="P42">
            <v>2629462</v>
          </cell>
          <cell r="Q42">
            <v>1790290</v>
          </cell>
        </row>
        <row r="43">
          <cell r="A43">
            <v>440513</v>
          </cell>
          <cell r="B43" t="str">
            <v>REV</v>
          </cell>
          <cell r="C43">
            <v>440</v>
          </cell>
          <cell r="D43" t="str">
            <v>Unbil Generation Rev-Resident</v>
          </cell>
          <cell r="E43">
            <v>471238</v>
          </cell>
          <cell r="F43">
            <v>40279</v>
          </cell>
          <cell r="G43">
            <v>184217</v>
          </cell>
          <cell r="H43">
            <v>246742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440514</v>
          </cell>
          <cell r="B44" t="str">
            <v>REV</v>
          </cell>
          <cell r="C44">
            <v>440</v>
          </cell>
          <cell r="D44" t="str">
            <v>Unbilled RTC Rev - Residential</v>
          </cell>
          <cell r="E44">
            <v>-471238</v>
          </cell>
          <cell r="F44">
            <v>-40279</v>
          </cell>
          <cell r="G44">
            <v>-184217</v>
          </cell>
          <cell r="H44">
            <v>-246742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440515</v>
          </cell>
          <cell r="B45" t="str">
            <v>REV</v>
          </cell>
          <cell r="C45">
            <v>440</v>
          </cell>
          <cell r="D45" t="str">
            <v>Unbill ED Ancillary Srvs-Resid</v>
          </cell>
          <cell r="E45">
            <v>-2731</v>
          </cell>
          <cell r="F45">
            <v>-233</v>
          </cell>
          <cell r="G45">
            <v>-1068</v>
          </cell>
          <cell r="H45">
            <v>-1430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440603</v>
          </cell>
          <cell r="B46" t="str">
            <v>REV</v>
          </cell>
          <cell r="C46">
            <v>440</v>
          </cell>
          <cell r="D46" t="str">
            <v>Res DSM</v>
          </cell>
          <cell r="E46">
            <v>14164539</v>
          </cell>
          <cell r="F46">
            <v>1324570</v>
          </cell>
          <cell r="G46">
            <v>1211935</v>
          </cell>
          <cell r="H46">
            <v>1156423</v>
          </cell>
          <cell r="I46">
            <v>864207</v>
          </cell>
          <cell r="J46">
            <v>771114</v>
          </cell>
          <cell r="K46">
            <v>933230</v>
          </cell>
          <cell r="L46">
            <v>1198496</v>
          </cell>
          <cell r="M46">
            <v>1634064</v>
          </cell>
          <cell r="N46">
            <v>1473614</v>
          </cell>
          <cell r="O46">
            <v>1062812</v>
          </cell>
          <cell r="P46">
            <v>1087966</v>
          </cell>
          <cell r="Q46">
            <v>1446108</v>
          </cell>
        </row>
        <row r="47">
          <cell r="A47">
            <v>440610</v>
          </cell>
          <cell r="B47" t="str">
            <v>REV</v>
          </cell>
          <cell r="C47">
            <v>440</v>
          </cell>
          <cell r="D47" t="str">
            <v>Res Distribution</v>
          </cell>
          <cell r="E47">
            <v>176934004</v>
          </cell>
          <cell r="F47">
            <v>17943910</v>
          </cell>
          <cell r="G47">
            <v>16654964</v>
          </cell>
          <cell r="H47">
            <v>16029312</v>
          </cell>
          <cell r="I47">
            <v>12594467</v>
          </cell>
          <cell r="J47">
            <v>11522011</v>
          </cell>
          <cell r="K47">
            <v>13375195</v>
          </cell>
          <cell r="L47">
            <v>16412240</v>
          </cell>
          <cell r="M47">
            <v>17050594</v>
          </cell>
          <cell r="N47">
            <v>15637119</v>
          </cell>
          <cell r="O47">
            <v>12032587</v>
          </cell>
          <cell r="P47">
            <v>12261260</v>
          </cell>
          <cell r="Q47">
            <v>15420345</v>
          </cell>
        </row>
        <row r="48">
          <cell r="A48">
            <v>440611</v>
          </cell>
          <cell r="B48" t="str">
            <v>REV</v>
          </cell>
          <cell r="C48">
            <v>440</v>
          </cell>
          <cell r="D48" t="str">
            <v>Res GRT OET</v>
          </cell>
          <cell r="E48">
            <v>33324667</v>
          </cell>
          <cell r="F48">
            <v>3477751</v>
          </cell>
          <cell r="G48">
            <v>3184392</v>
          </cell>
          <cell r="H48">
            <v>3043540</v>
          </cell>
          <cell r="I48">
            <v>2293645</v>
          </cell>
          <cell r="J48">
            <v>2049997</v>
          </cell>
          <cell r="K48">
            <v>2476782</v>
          </cell>
          <cell r="L48">
            <v>3169947</v>
          </cell>
          <cell r="M48">
            <v>3316565</v>
          </cell>
          <cell r="N48">
            <v>2996218</v>
          </cell>
          <cell r="O48">
            <v>2169496</v>
          </cell>
          <cell r="P48">
            <v>2218758</v>
          </cell>
          <cell r="Q48">
            <v>2927576</v>
          </cell>
        </row>
        <row r="49">
          <cell r="A49">
            <v>440628</v>
          </cell>
          <cell r="B49" t="str">
            <v>REV</v>
          </cell>
          <cell r="C49">
            <v>440</v>
          </cell>
          <cell r="D49" t="str">
            <v>Res Distribution Reliability Invstmt</v>
          </cell>
          <cell r="E49">
            <v>186</v>
          </cell>
          <cell r="F49">
            <v>62</v>
          </cell>
          <cell r="G49">
            <v>61</v>
          </cell>
          <cell r="H49">
            <v>63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440631</v>
          </cell>
          <cell r="B50" t="str">
            <v>REV</v>
          </cell>
          <cell r="C50">
            <v>440</v>
          </cell>
          <cell r="D50" t="str">
            <v>Res Merger Savings Cred Rider</v>
          </cell>
          <cell r="E50">
            <v>31</v>
          </cell>
          <cell r="F50">
            <v>29</v>
          </cell>
          <cell r="G50">
            <v>14</v>
          </cell>
          <cell r="H50">
            <v>-12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440703</v>
          </cell>
          <cell r="B51" t="str">
            <v>REV</v>
          </cell>
          <cell r="C51">
            <v>440</v>
          </cell>
          <cell r="D51" t="str">
            <v>Res Transp DSM</v>
          </cell>
          <cell r="E51">
            <v>385364</v>
          </cell>
          <cell r="F51">
            <v>23007</v>
          </cell>
          <cell r="G51">
            <v>20331</v>
          </cell>
          <cell r="H51">
            <v>19012</v>
          </cell>
          <cell r="I51">
            <v>25380</v>
          </cell>
          <cell r="J51">
            <v>22471</v>
          </cell>
          <cell r="K51">
            <v>27004</v>
          </cell>
          <cell r="L51">
            <v>34703</v>
          </cell>
          <cell r="M51">
            <v>49307</v>
          </cell>
          <cell r="N51">
            <v>47189</v>
          </cell>
          <cell r="O51">
            <v>34307</v>
          </cell>
          <cell r="P51">
            <v>35335</v>
          </cell>
          <cell r="Q51">
            <v>47318</v>
          </cell>
        </row>
        <row r="52">
          <cell r="A52">
            <v>440710</v>
          </cell>
          <cell r="B52" t="str">
            <v>REV</v>
          </cell>
          <cell r="C52">
            <v>440</v>
          </cell>
          <cell r="D52" t="str">
            <v>Res Transp Distribution</v>
          </cell>
          <cell r="E52">
            <v>4718682</v>
          </cell>
          <cell r="F52">
            <v>307150</v>
          </cell>
          <cell r="G52">
            <v>276350</v>
          </cell>
          <cell r="H52">
            <v>260886</v>
          </cell>
          <cell r="I52">
            <v>369871</v>
          </cell>
          <cell r="J52">
            <v>335757</v>
          </cell>
          <cell r="K52">
            <v>387028</v>
          </cell>
          <cell r="L52">
            <v>475228</v>
          </cell>
          <cell r="M52">
            <v>514488</v>
          </cell>
          <cell r="N52">
            <v>500740</v>
          </cell>
          <cell r="O52">
            <v>388398</v>
          </cell>
          <cell r="P52">
            <v>398218</v>
          </cell>
          <cell r="Q52">
            <v>504568</v>
          </cell>
        </row>
        <row r="53">
          <cell r="A53">
            <v>440711</v>
          </cell>
          <cell r="B53" t="str">
            <v>REV</v>
          </cell>
          <cell r="C53">
            <v>440</v>
          </cell>
          <cell r="D53" t="str">
            <v>Res Transp GRT OET</v>
          </cell>
          <cell r="E53">
            <v>885853</v>
          </cell>
          <cell r="F53">
            <v>60423</v>
          </cell>
          <cell r="G53">
            <v>53478</v>
          </cell>
          <cell r="H53">
            <v>50119</v>
          </cell>
          <cell r="I53">
            <v>67260</v>
          </cell>
          <cell r="J53">
            <v>59608</v>
          </cell>
          <cell r="K53">
            <v>71310</v>
          </cell>
          <cell r="L53">
            <v>91308</v>
          </cell>
          <cell r="M53">
            <v>99660</v>
          </cell>
          <cell r="N53">
            <v>95472</v>
          </cell>
          <cell r="O53">
            <v>69832</v>
          </cell>
          <cell r="P53">
            <v>71973</v>
          </cell>
          <cell r="Q53">
            <v>95410</v>
          </cell>
        </row>
        <row r="54">
          <cell r="A54">
            <v>440716</v>
          </cell>
          <cell r="B54" t="str">
            <v>REV</v>
          </cell>
          <cell r="C54">
            <v>440</v>
          </cell>
          <cell r="D54" t="str">
            <v>Res Transp Rate Stabilization</v>
          </cell>
          <cell r="E54">
            <v>-612</v>
          </cell>
          <cell r="F54">
            <v>-625</v>
          </cell>
          <cell r="G54">
            <v>13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440728</v>
          </cell>
          <cell r="B55" t="str">
            <v>REV</v>
          </cell>
          <cell r="C55">
            <v>440</v>
          </cell>
          <cell r="D55" t="str">
            <v>Res Transp Dstributn Reliability Invstmt</v>
          </cell>
          <cell r="E55">
            <v>6</v>
          </cell>
          <cell r="F55">
            <v>2</v>
          </cell>
          <cell r="G55">
            <v>2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440731</v>
          </cell>
          <cell r="B56" t="str">
            <v>REV</v>
          </cell>
          <cell r="C56">
            <v>440</v>
          </cell>
          <cell r="D56" t="str">
            <v>Res Transp Merger Savings Cred Rider</v>
          </cell>
          <cell r="E56">
            <v>2</v>
          </cell>
          <cell r="F56">
            <v>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440800</v>
          </cell>
          <cell r="B57" t="str">
            <v>REV</v>
          </cell>
          <cell r="C57">
            <v>440</v>
          </cell>
          <cell r="D57" t="str">
            <v>Elec Rev Resid-Transportatio</v>
          </cell>
          <cell r="E57">
            <v>-234</v>
          </cell>
          <cell r="F57">
            <v>-69</v>
          </cell>
          <cell r="G57">
            <v>0</v>
          </cell>
          <cell r="H57">
            <v>-165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440803</v>
          </cell>
          <cell r="B58" t="str">
            <v>REV</v>
          </cell>
          <cell r="C58">
            <v>440</v>
          </cell>
          <cell r="D58" t="str">
            <v>Res Transp Generation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440804</v>
          </cell>
          <cell r="B59" t="str">
            <v>REV</v>
          </cell>
          <cell r="C59">
            <v>440</v>
          </cell>
          <cell r="D59" t="str">
            <v>Transp RTC Rev - Residential</v>
          </cell>
          <cell r="E59">
            <v>1195265</v>
          </cell>
          <cell r="F59">
            <v>71779</v>
          </cell>
          <cell r="G59">
            <v>64605</v>
          </cell>
          <cell r="H59">
            <v>61121</v>
          </cell>
          <cell r="I59">
            <v>85958</v>
          </cell>
          <cell r="J59">
            <v>77975</v>
          </cell>
          <cell r="K59">
            <v>104265</v>
          </cell>
          <cell r="L59">
            <v>136457</v>
          </cell>
          <cell r="M59">
            <v>149186</v>
          </cell>
          <cell r="N59">
            <v>141814</v>
          </cell>
          <cell r="O59">
            <v>90633</v>
          </cell>
          <cell r="P59">
            <v>93432</v>
          </cell>
          <cell r="Q59">
            <v>118040</v>
          </cell>
        </row>
        <row r="60">
          <cell r="A60">
            <v>440807</v>
          </cell>
          <cell r="B60" t="str">
            <v>REV</v>
          </cell>
          <cell r="C60">
            <v>440</v>
          </cell>
          <cell r="D60" t="str">
            <v>Shopping Expense - Residential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440810</v>
          </cell>
          <cell r="B61" t="str">
            <v>REV</v>
          </cell>
          <cell r="C61">
            <v>440</v>
          </cell>
          <cell r="D61" t="str">
            <v>Elec Rev Resid-Transp Unbill</v>
          </cell>
          <cell r="E61">
            <v>100248</v>
          </cell>
          <cell r="F61">
            <v>-4262</v>
          </cell>
          <cell r="G61">
            <v>-21014</v>
          </cell>
          <cell r="H61">
            <v>-21481</v>
          </cell>
          <cell r="I61">
            <v>-21305</v>
          </cell>
          <cell r="J61">
            <v>14396</v>
          </cell>
          <cell r="K61">
            <v>63914</v>
          </cell>
          <cell r="L61">
            <v>48796</v>
          </cell>
          <cell r="M61">
            <v>11970</v>
          </cell>
          <cell r="N61">
            <v>-58576</v>
          </cell>
          <cell r="O61">
            <v>-43063</v>
          </cell>
          <cell r="P61">
            <v>54306</v>
          </cell>
          <cell r="Q61">
            <v>76567</v>
          </cell>
        </row>
        <row r="62">
          <cell r="A62">
            <v>440814</v>
          </cell>
          <cell r="B62" t="str">
            <v>REV</v>
          </cell>
          <cell r="C62">
            <v>440</v>
          </cell>
          <cell r="D62" t="str">
            <v>Unbil Trans RTC Rev - Resident</v>
          </cell>
          <cell r="E62">
            <v>-11243</v>
          </cell>
          <cell r="F62">
            <v>-1738</v>
          </cell>
          <cell r="G62">
            <v>-4986</v>
          </cell>
          <cell r="H62">
            <v>-4519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442500</v>
          </cell>
          <cell r="B63" t="str">
            <v>REV</v>
          </cell>
          <cell r="C63">
            <v>442</v>
          </cell>
          <cell r="D63" t="str">
            <v>Elec Rev Commercial - General</v>
          </cell>
          <cell r="E63">
            <v>480636</v>
          </cell>
          <cell r="F63">
            <v>162338</v>
          </cell>
          <cell r="G63">
            <v>150326</v>
          </cell>
          <cell r="H63">
            <v>167972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442504</v>
          </cell>
          <cell r="B64" t="str">
            <v>REV</v>
          </cell>
          <cell r="C64">
            <v>442</v>
          </cell>
          <cell r="D64" t="str">
            <v>RTC Revenue - Commercial</v>
          </cell>
          <cell r="E64">
            <v>39158330</v>
          </cell>
          <cell r="F64">
            <v>3512648</v>
          </cell>
          <cell r="G64">
            <v>3434483</v>
          </cell>
          <cell r="H64">
            <v>3377895</v>
          </cell>
          <cell r="I64">
            <v>2995231</v>
          </cell>
          <cell r="J64">
            <v>2944072</v>
          </cell>
          <cell r="K64">
            <v>3334253</v>
          </cell>
          <cell r="L64">
            <v>3568865</v>
          </cell>
          <cell r="M64">
            <v>3638803</v>
          </cell>
          <cell r="N64">
            <v>3522893</v>
          </cell>
          <cell r="O64">
            <v>2989454</v>
          </cell>
          <cell r="P64">
            <v>2664604</v>
          </cell>
          <cell r="Q64">
            <v>3175129</v>
          </cell>
        </row>
        <row r="65">
          <cell r="A65">
            <v>442505</v>
          </cell>
          <cell r="B65" t="str">
            <v>REV</v>
          </cell>
          <cell r="C65">
            <v>442</v>
          </cell>
          <cell r="D65" t="str">
            <v>ED Ancillary Services - Commer</v>
          </cell>
          <cell r="E65">
            <v>65051</v>
          </cell>
          <cell r="F65">
            <v>21773</v>
          </cell>
          <cell r="G65">
            <v>21735</v>
          </cell>
          <cell r="H65">
            <v>21543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442510</v>
          </cell>
          <cell r="B66" t="str">
            <v>REV</v>
          </cell>
          <cell r="C66">
            <v>442</v>
          </cell>
          <cell r="D66" t="str">
            <v>Elec Rev Commercial - Unbilled</v>
          </cell>
          <cell r="E66">
            <v>-474050</v>
          </cell>
          <cell r="F66">
            <v>-465399</v>
          </cell>
          <cell r="G66">
            <v>87937</v>
          </cell>
          <cell r="H66">
            <v>-132574</v>
          </cell>
          <cell r="I66">
            <v>-337078</v>
          </cell>
          <cell r="J66">
            <v>402050</v>
          </cell>
          <cell r="K66">
            <v>171086</v>
          </cell>
          <cell r="L66">
            <v>455338</v>
          </cell>
          <cell r="M66">
            <v>277398</v>
          </cell>
          <cell r="N66">
            <v>-1046932</v>
          </cell>
          <cell r="O66">
            <v>220720</v>
          </cell>
          <cell r="P66">
            <v>-230477</v>
          </cell>
          <cell r="Q66">
            <v>123881</v>
          </cell>
        </row>
        <row r="67">
          <cell r="A67">
            <v>442513</v>
          </cell>
          <cell r="B67" t="str">
            <v>REV</v>
          </cell>
          <cell r="C67">
            <v>442</v>
          </cell>
          <cell r="D67" t="str">
            <v>Unbill Generation Rev-Commer</v>
          </cell>
          <cell r="E67">
            <v>252918</v>
          </cell>
          <cell r="F67">
            <v>129809</v>
          </cell>
          <cell r="G67">
            <v>72790</v>
          </cell>
          <cell r="H67">
            <v>50319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442514</v>
          </cell>
          <cell r="B68" t="str">
            <v>REV</v>
          </cell>
          <cell r="C68">
            <v>442</v>
          </cell>
          <cell r="D68" t="str">
            <v>Unbilled RTC Rev - Commercial</v>
          </cell>
          <cell r="E68">
            <v>-252918</v>
          </cell>
          <cell r="F68">
            <v>-129809</v>
          </cell>
          <cell r="G68">
            <v>-72790</v>
          </cell>
          <cell r="H68">
            <v>-50319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442515</v>
          </cell>
          <cell r="B69" t="str">
            <v>REV</v>
          </cell>
          <cell r="C69">
            <v>442</v>
          </cell>
          <cell r="D69" t="str">
            <v>Unbill ED Ancillary Srvs-Comme</v>
          </cell>
          <cell r="E69">
            <v>-1339</v>
          </cell>
          <cell r="F69">
            <v>-706</v>
          </cell>
          <cell r="G69">
            <v>-380</v>
          </cell>
          <cell r="H69">
            <v>-253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442550</v>
          </cell>
          <cell r="B70" t="str">
            <v>REV</v>
          </cell>
          <cell r="C70">
            <v>442</v>
          </cell>
          <cell r="D70" t="str">
            <v>Elec Rev Industrial - General</v>
          </cell>
          <cell r="E70">
            <v>81175</v>
          </cell>
          <cell r="F70">
            <v>30138</v>
          </cell>
          <cell r="G70">
            <v>34341</v>
          </cell>
          <cell r="H70">
            <v>16696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442554</v>
          </cell>
          <cell r="B71" t="str">
            <v>REV</v>
          </cell>
          <cell r="C71">
            <v>442</v>
          </cell>
          <cell r="D71" t="str">
            <v>RTC Revenue - Industrial</v>
          </cell>
          <cell r="E71">
            <v>21107914</v>
          </cell>
          <cell r="F71">
            <v>1920059</v>
          </cell>
          <cell r="G71">
            <v>1908294</v>
          </cell>
          <cell r="H71">
            <v>1919293</v>
          </cell>
          <cell r="I71">
            <v>1703098</v>
          </cell>
          <cell r="J71">
            <v>1703374</v>
          </cell>
          <cell r="K71">
            <v>1755302</v>
          </cell>
          <cell r="L71">
            <v>1680403</v>
          </cell>
          <cell r="M71">
            <v>1818556</v>
          </cell>
          <cell r="N71">
            <v>1738852</v>
          </cell>
          <cell r="O71">
            <v>1669701</v>
          </cell>
          <cell r="P71">
            <v>1671179</v>
          </cell>
          <cell r="Q71">
            <v>1619803</v>
          </cell>
        </row>
        <row r="72">
          <cell r="A72">
            <v>442555</v>
          </cell>
          <cell r="B72" t="str">
            <v>REV</v>
          </cell>
          <cell r="C72">
            <v>442</v>
          </cell>
          <cell r="D72" t="str">
            <v>ED Ancillary Services - Indust</v>
          </cell>
          <cell r="E72">
            <v>34118</v>
          </cell>
          <cell r="F72">
            <v>11397</v>
          </cell>
          <cell r="G72">
            <v>11649</v>
          </cell>
          <cell r="H72">
            <v>11072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442560</v>
          </cell>
          <cell r="B73" t="str">
            <v>REV</v>
          </cell>
          <cell r="C73">
            <v>442</v>
          </cell>
          <cell r="D73" t="str">
            <v>Elec Rev Industrial - Unbilled</v>
          </cell>
          <cell r="E73">
            <v>-177738</v>
          </cell>
          <cell r="F73">
            <v>-226910</v>
          </cell>
          <cell r="G73">
            <v>69700</v>
          </cell>
          <cell r="H73">
            <v>8194</v>
          </cell>
          <cell r="I73">
            <v>-37002</v>
          </cell>
          <cell r="J73">
            <v>98416</v>
          </cell>
          <cell r="K73">
            <v>11803</v>
          </cell>
          <cell r="L73">
            <v>19122</v>
          </cell>
          <cell r="M73">
            <v>138320</v>
          </cell>
          <cell r="N73">
            <v>-89988</v>
          </cell>
          <cell r="O73">
            <v>11488</v>
          </cell>
          <cell r="P73">
            <v>32563</v>
          </cell>
          <cell r="Q73">
            <v>-213444</v>
          </cell>
        </row>
        <row r="74">
          <cell r="A74">
            <v>442563</v>
          </cell>
          <cell r="B74" t="str">
            <v>REV</v>
          </cell>
          <cell r="C74">
            <v>442</v>
          </cell>
          <cell r="D74" t="str">
            <v>Unbill Generation Rev-Industr</v>
          </cell>
          <cell r="E74">
            <v>57521</v>
          </cell>
          <cell r="F74">
            <v>95922</v>
          </cell>
          <cell r="G74">
            <v>-24456</v>
          </cell>
          <cell r="H74">
            <v>-13945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442564</v>
          </cell>
          <cell r="B75" t="str">
            <v>REV</v>
          </cell>
          <cell r="C75">
            <v>442</v>
          </cell>
          <cell r="D75" t="str">
            <v>Unbill RTC Revenue- Industrial</v>
          </cell>
          <cell r="E75">
            <v>-57521</v>
          </cell>
          <cell r="F75">
            <v>-95922</v>
          </cell>
          <cell r="G75">
            <v>24456</v>
          </cell>
          <cell r="H75">
            <v>13945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442565</v>
          </cell>
          <cell r="B76" t="str">
            <v>REV</v>
          </cell>
          <cell r="C76">
            <v>442</v>
          </cell>
          <cell r="D76" t="str">
            <v>Unbill ED Ancillary Srvs-Indus</v>
          </cell>
          <cell r="E76">
            <v>-314</v>
          </cell>
          <cell r="F76">
            <v>-469</v>
          </cell>
          <cell r="G76">
            <v>96</v>
          </cell>
          <cell r="H76">
            <v>59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442603</v>
          </cell>
          <cell r="B77" t="str">
            <v>REV</v>
          </cell>
          <cell r="C77">
            <v>442</v>
          </cell>
          <cell r="D77" t="str">
            <v>Com DSM</v>
          </cell>
          <cell r="E77">
            <v>2149350</v>
          </cell>
          <cell r="F77">
            <v>215343</v>
          </cell>
          <cell r="G77">
            <v>201695</v>
          </cell>
          <cell r="H77">
            <v>198635</v>
          </cell>
          <cell r="I77">
            <v>140370</v>
          </cell>
          <cell r="J77">
            <v>138710</v>
          </cell>
          <cell r="K77">
            <v>158765</v>
          </cell>
          <cell r="L77">
            <v>173097</v>
          </cell>
          <cell r="M77">
            <v>208498</v>
          </cell>
          <cell r="N77">
            <v>201909</v>
          </cell>
          <cell r="O77">
            <v>170037</v>
          </cell>
          <cell r="P77">
            <v>162096</v>
          </cell>
          <cell r="Q77">
            <v>180195</v>
          </cell>
        </row>
        <row r="78">
          <cell r="A78">
            <v>442610</v>
          </cell>
          <cell r="B78" t="str">
            <v>REV</v>
          </cell>
          <cell r="C78">
            <v>442</v>
          </cell>
          <cell r="D78" t="str">
            <v>Com Distribution</v>
          </cell>
          <cell r="E78">
            <v>81448117</v>
          </cell>
          <cell r="F78">
            <v>6861707</v>
          </cell>
          <cell r="G78">
            <v>6796114</v>
          </cell>
          <cell r="H78">
            <v>6742926</v>
          </cell>
          <cell r="I78">
            <v>6495306</v>
          </cell>
          <cell r="J78">
            <v>6260492</v>
          </cell>
          <cell r="K78">
            <v>6906037</v>
          </cell>
          <cell r="L78">
            <v>7295864</v>
          </cell>
          <cell r="M78">
            <v>7459233</v>
          </cell>
          <cell r="N78">
            <v>7203242</v>
          </cell>
          <cell r="O78">
            <v>6528496</v>
          </cell>
          <cell r="P78">
            <v>6311118</v>
          </cell>
          <cell r="Q78">
            <v>6587582</v>
          </cell>
        </row>
        <row r="79">
          <cell r="A79">
            <v>442611</v>
          </cell>
          <cell r="B79" t="str">
            <v>REV</v>
          </cell>
          <cell r="C79">
            <v>442</v>
          </cell>
          <cell r="D79" t="str">
            <v>Com GRT OET</v>
          </cell>
          <cell r="E79">
            <v>22394199</v>
          </cell>
          <cell r="F79">
            <v>1993791</v>
          </cell>
          <cell r="G79">
            <v>1866124</v>
          </cell>
          <cell r="H79">
            <v>1837377</v>
          </cell>
          <cell r="I79">
            <v>1694496</v>
          </cell>
          <cell r="J79">
            <v>1668154</v>
          </cell>
          <cell r="K79">
            <v>1905197</v>
          </cell>
          <cell r="L79">
            <v>2057525</v>
          </cell>
          <cell r="M79">
            <v>2096856</v>
          </cell>
          <cell r="N79">
            <v>2040131</v>
          </cell>
          <cell r="O79">
            <v>1726148</v>
          </cell>
          <cell r="P79">
            <v>1653590</v>
          </cell>
          <cell r="Q79">
            <v>1854810</v>
          </cell>
        </row>
        <row r="80">
          <cell r="A80">
            <v>442628</v>
          </cell>
          <cell r="B80" t="str">
            <v>REV</v>
          </cell>
          <cell r="C80">
            <v>442</v>
          </cell>
          <cell r="D80" t="str">
            <v>Com Dstributn Reliability Invstmt</v>
          </cell>
          <cell r="E80">
            <v>4003154</v>
          </cell>
          <cell r="F80">
            <v>358886</v>
          </cell>
          <cell r="G80">
            <v>336712</v>
          </cell>
          <cell r="H80">
            <v>331664</v>
          </cell>
          <cell r="I80">
            <v>300958</v>
          </cell>
          <cell r="J80">
            <v>297401</v>
          </cell>
          <cell r="K80">
            <v>340399</v>
          </cell>
          <cell r="L80">
            <v>371126</v>
          </cell>
          <cell r="M80">
            <v>376446</v>
          </cell>
          <cell r="N80">
            <v>364549</v>
          </cell>
          <cell r="O80">
            <v>307004</v>
          </cell>
          <cell r="P80">
            <v>292666</v>
          </cell>
          <cell r="Q80">
            <v>325343</v>
          </cell>
        </row>
        <row r="81">
          <cell r="A81">
            <v>442631</v>
          </cell>
          <cell r="B81" t="str">
            <v>REV</v>
          </cell>
          <cell r="C81">
            <v>442</v>
          </cell>
          <cell r="D81" t="str">
            <v>Com Merger Savings Cred Rider</v>
          </cell>
          <cell r="E81">
            <v>19</v>
          </cell>
          <cell r="F81">
            <v>-3</v>
          </cell>
          <cell r="G81">
            <v>12</v>
          </cell>
          <cell r="H81">
            <v>10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442653</v>
          </cell>
          <cell r="B82" t="str">
            <v>REV</v>
          </cell>
          <cell r="C82">
            <v>442</v>
          </cell>
          <cell r="D82" t="str">
            <v>Ind DSM</v>
          </cell>
          <cell r="E82">
            <v>1582083</v>
          </cell>
          <cell r="F82">
            <v>79472</v>
          </cell>
          <cell r="G82">
            <v>78771</v>
          </cell>
          <cell r="H82">
            <v>78185</v>
          </cell>
          <cell r="I82">
            <v>133415</v>
          </cell>
          <cell r="J82">
            <v>136268</v>
          </cell>
          <cell r="K82">
            <v>138863</v>
          </cell>
          <cell r="L82">
            <v>136014</v>
          </cell>
          <cell r="M82">
            <v>167347</v>
          </cell>
          <cell r="N82">
            <v>165528</v>
          </cell>
          <cell r="O82">
            <v>157944</v>
          </cell>
          <cell r="P82">
            <v>154848</v>
          </cell>
          <cell r="Q82">
            <v>155428</v>
          </cell>
        </row>
        <row r="83">
          <cell r="A83">
            <v>442660</v>
          </cell>
          <cell r="B83" t="str">
            <v>REV</v>
          </cell>
          <cell r="C83">
            <v>442</v>
          </cell>
          <cell r="D83" t="str">
            <v>Ind Distribution</v>
          </cell>
          <cell r="E83">
            <v>22178534</v>
          </cell>
          <cell r="F83">
            <v>1864563</v>
          </cell>
          <cell r="G83">
            <v>1876755</v>
          </cell>
          <cell r="H83">
            <v>2070134</v>
          </cell>
          <cell r="I83">
            <v>1820247</v>
          </cell>
          <cell r="J83">
            <v>1785304</v>
          </cell>
          <cell r="K83">
            <v>1861743</v>
          </cell>
          <cell r="L83">
            <v>1836227</v>
          </cell>
          <cell r="M83">
            <v>1820918</v>
          </cell>
          <cell r="N83">
            <v>1867591</v>
          </cell>
          <cell r="O83">
            <v>1795143</v>
          </cell>
          <cell r="P83">
            <v>1856148</v>
          </cell>
          <cell r="Q83">
            <v>1723761</v>
          </cell>
        </row>
        <row r="84">
          <cell r="A84">
            <v>442661</v>
          </cell>
          <cell r="B84" t="str">
            <v>REV</v>
          </cell>
          <cell r="C84">
            <v>442</v>
          </cell>
          <cell r="D84" t="str">
            <v>Ind GRT OET</v>
          </cell>
          <cell r="E84">
            <v>8568844</v>
          </cell>
          <cell r="F84">
            <v>777781</v>
          </cell>
          <cell r="G84">
            <v>790991</v>
          </cell>
          <cell r="H84">
            <v>801637</v>
          </cell>
          <cell r="I84">
            <v>673608</v>
          </cell>
          <cell r="J84">
            <v>687852</v>
          </cell>
          <cell r="K84">
            <v>702948</v>
          </cell>
          <cell r="L84">
            <v>703621</v>
          </cell>
          <cell r="M84">
            <v>723813</v>
          </cell>
          <cell r="N84">
            <v>702333</v>
          </cell>
          <cell r="O84">
            <v>661681</v>
          </cell>
          <cell r="P84">
            <v>652946</v>
          </cell>
          <cell r="Q84">
            <v>689633</v>
          </cell>
        </row>
        <row r="85">
          <cell r="A85">
            <v>442667</v>
          </cell>
          <cell r="B85" t="str">
            <v>REV</v>
          </cell>
          <cell r="C85">
            <v>442</v>
          </cell>
          <cell r="D85" t="str">
            <v>Ind Transition Cost Rider</v>
          </cell>
          <cell r="E85">
            <v>11005</v>
          </cell>
          <cell r="F85">
            <v>-4244</v>
          </cell>
          <cell r="G85">
            <v>-68230</v>
          </cell>
          <cell r="H85">
            <v>83479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442678</v>
          </cell>
          <cell r="B86" t="str">
            <v>REV</v>
          </cell>
          <cell r="C86">
            <v>442</v>
          </cell>
          <cell r="D86" t="str">
            <v>Ind Distribution Reliability Invstmt</v>
          </cell>
          <cell r="E86">
            <v>1314192</v>
          </cell>
          <cell r="F86">
            <v>112868</v>
          </cell>
          <cell r="G86">
            <v>112987</v>
          </cell>
          <cell r="H86">
            <v>111822</v>
          </cell>
          <cell r="I86">
            <v>106861</v>
          </cell>
          <cell r="J86">
            <v>109146</v>
          </cell>
          <cell r="K86">
            <v>111225</v>
          </cell>
          <cell r="L86">
            <v>108943</v>
          </cell>
          <cell r="M86">
            <v>112876</v>
          </cell>
          <cell r="N86">
            <v>111649</v>
          </cell>
          <cell r="O86">
            <v>106533</v>
          </cell>
          <cell r="P86">
            <v>104445</v>
          </cell>
          <cell r="Q86">
            <v>104837</v>
          </cell>
        </row>
        <row r="87">
          <cell r="A87">
            <v>442681</v>
          </cell>
          <cell r="B87" t="str">
            <v>REV</v>
          </cell>
          <cell r="C87">
            <v>442</v>
          </cell>
          <cell r="D87" t="str">
            <v>Ind Merger Savings Cred Rider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442703</v>
          </cell>
          <cell r="B88" t="str">
            <v>REV</v>
          </cell>
          <cell r="C88">
            <v>442</v>
          </cell>
          <cell r="D88" t="str">
            <v>Com Transp DSM</v>
          </cell>
          <cell r="E88">
            <v>176823</v>
          </cell>
          <cell r="F88">
            <v>4771</v>
          </cell>
          <cell r="G88">
            <v>4628</v>
          </cell>
          <cell r="H88">
            <v>4505</v>
          </cell>
          <cell r="I88">
            <v>13925</v>
          </cell>
          <cell r="J88">
            <v>13612</v>
          </cell>
          <cell r="K88">
            <v>15846</v>
          </cell>
          <cell r="L88">
            <v>18588</v>
          </cell>
          <cell r="M88">
            <v>22412</v>
          </cell>
          <cell r="N88">
            <v>21875</v>
          </cell>
          <cell r="O88">
            <v>18498</v>
          </cell>
          <cell r="P88">
            <v>17971</v>
          </cell>
          <cell r="Q88">
            <v>20192</v>
          </cell>
        </row>
        <row r="89">
          <cell r="A89">
            <v>442710</v>
          </cell>
          <cell r="B89" t="str">
            <v>REV</v>
          </cell>
          <cell r="C89">
            <v>442</v>
          </cell>
          <cell r="D89" t="str">
            <v>Com Transp Distribution</v>
          </cell>
          <cell r="E89">
            <v>6274508</v>
          </cell>
          <cell r="F89">
            <v>396343</v>
          </cell>
          <cell r="G89">
            <v>419167</v>
          </cell>
          <cell r="H89">
            <v>403389</v>
          </cell>
          <cell r="I89">
            <v>504825</v>
          </cell>
          <cell r="J89">
            <v>483202</v>
          </cell>
          <cell r="K89">
            <v>530957</v>
          </cell>
          <cell r="L89">
            <v>597119</v>
          </cell>
          <cell r="M89">
            <v>603294</v>
          </cell>
          <cell r="N89">
            <v>607193</v>
          </cell>
          <cell r="O89">
            <v>563119</v>
          </cell>
          <cell r="P89">
            <v>565752</v>
          </cell>
          <cell r="Q89">
            <v>600148</v>
          </cell>
        </row>
        <row r="90">
          <cell r="A90">
            <v>442711</v>
          </cell>
          <cell r="B90" t="str">
            <v>REV</v>
          </cell>
          <cell r="C90">
            <v>442</v>
          </cell>
          <cell r="D90" t="str">
            <v>Com Transp GRT OET</v>
          </cell>
          <cell r="E90">
            <v>2043050</v>
          </cell>
          <cell r="F90">
            <v>124124</v>
          </cell>
          <cell r="G90">
            <v>122647</v>
          </cell>
          <cell r="H90">
            <v>114431</v>
          </cell>
          <cell r="I90">
            <v>159746</v>
          </cell>
          <cell r="J90">
            <v>157290</v>
          </cell>
          <cell r="K90">
            <v>180228</v>
          </cell>
          <cell r="L90">
            <v>212931</v>
          </cell>
          <cell r="M90">
            <v>216367</v>
          </cell>
          <cell r="N90">
            <v>210866</v>
          </cell>
          <cell r="O90">
            <v>178595</v>
          </cell>
          <cell r="P90">
            <v>172439</v>
          </cell>
          <cell r="Q90">
            <v>193386</v>
          </cell>
        </row>
        <row r="91">
          <cell r="A91">
            <v>442716</v>
          </cell>
          <cell r="B91" t="str">
            <v>REV</v>
          </cell>
          <cell r="C91">
            <v>442</v>
          </cell>
          <cell r="D91" t="str">
            <v>Com Transp Rate Stabilization</v>
          </cell>
          <cell r="E91">
            <v>49793</v>
          </cell>
          <cell r="F91">
            <v>32730</v>
          </cell>
          <cell r="G91">
            <v>17063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442728</v>
          </cell>
          <cell r="B92" t="str">
            <v>REV</v>
          </cell>
          <cell r="C92">
            <v>442</v>
          </cell>
          <cell r="D92" t="str">
            <v>Com Transp Dstributn Reliability Invstmt</v>
          </cell>
          <cell r="E92">
            <v>332316</v>
          </cell>
          <cell r="F92">
            <v>19619</v>
          </cell>
          <cell r="G92">
            <v>19312</v>
          </cell>
          <cell r="H92">
            <v>18107</v>
          </cell>
          <cell r="I92">
            <v>26081</v>
          </cell>
          <cell r="J92">
            <v>25493</v>
          </cell>
          <cell r="K92">
            <v>29678</v>
          </cell>
          <cell r="L92">
            <v>34813</v>
          </cell>
          <cell r="M92">
            <v>35348</v>
          </cell>
          <cell r="N92">
            <v>34501</v>
          </cell>
          <cell r="O92">
            <v>29175</v>
          </cell>
          <cell r="P92">
            <v>28343</v>
          </cell>
          <cell r="Q92">
            <v>31846</v>
          </cell>
        </row>
        <row r="93">
          <cell r="A93">
            <v>442753</v>
          </cell>
          <cell r="B93" t="str">
            <v>REV</v>
          </cell>
          <cell r="C93">
            <v>442</v>
          </cell>
          <cell r="D93" t="str">
            <v>Ind Transp DSM</v>
          </cell>
          <cell r="E93">
            <v>199502</v>
          </cell>
          <cell r="F93">
            <v>3574</v>
          </cell>
          <cell r="G93">
            <v>3770</v>
          </cell>
          <cell r="H93">
            <v>3502</v>
          </cell>
          <cell r="I93">
            <v>15400</v>
          </cell>
          <cell r="J93">
            <v>15366</v>
          </cell>
          <cell r="K93">
            <v>15906</v>
          </cell>
          <cell r="L93">
            <v>20028</v>
          </cell>
          <cell r="M93">
            <v>24209</v>
          </cell>
          <cell r="N93">
            <v>25536</v>
          </cell>
          <cell r="O93">
            <v>24179</v>
          </cell>
          <cell r="P93">
            <v>24290</v>
          </cell>
          <cell r="Q93">
            <v>23742</v>
          </cell>
        </row>
        <row r="94">
          <cell r="A94">
            <v>442760</v>
          </cell>
          <cell r="B94" t="str">
            <v>REV</v>
          </cell>
          <cell r="C94">
            <v>442</v>
          </cell>
          <cell r="D94" t="str">
            <v>Ind Transp Distribution</v>
          </cell>
          <cell r="E94">
            <v>8802908</v>
          </cell>
          <cell r="F94">
            <v>102601</v>
          </cell>
          <cell r="G94">
            <v>105229</v>
          </cell>
          <cell r="H94">
            <v>101165</v>
          </cell>
          <cell r="I94">
            <v>716036</v>
          </cell>
          <cell r="J94">
            <v>725184</v>
          </cell>
          <cell r="K94">
            <v>764110</v>
          </cell>
          <cell r="L94">
            <v>993428</v>
          </cell>
          <cell r="M94">
            <v>981138</v>
          </cell>
          <cell r="N94">
            <v>1060560</v>
          </cell>
          <cell r="O94">
            <v>1060767</v>
          </cell>
          <cell r="P94">
            <v>1148745</v>
          </cell>
          <cell r="Q94">
            <v>1043945</v>
          </cell>
        </row>
        <row r="95">
          <cell r="A95">
            <v>442761</v>
          </cell>
          <cell r="B95" t="str">
            <v>REV</v>
          </cell>
          <cell r="C95">
            <v>442</v>
          </cell>
          <cell r="D95" t="str">
            <v>Ind Transp GRT OET</v>
          </cell>
          <cell r="E95">
            <v>1259637</v>
          </cell>
          <cell r="F95">
            <v>22932</v>
          </cell>
          <cell r="G95">
            <v>23209</v>
          </cell>
          <cell r="H95">
            <v>22160</v>
          </cell>
          <cell r="I95">
            <v>101822</v>
          </cell>
          <cell r="J95">
            <v>109037</v>
          </cell>
          <cell r="K95">
            <v>113260</v>
          </cell>
          <cell r="L95">
            <v>143702</v>
          </cell>
          <cell r="M95">
            <v>143389</v>
          </cell>
          <cell r="N95">
            <v>150273</v>
          </cell>
          <cell r="O95">
            <v>140840</v>
          </cell>
          <cell r="P95">
            <v>142123</v>
          </cell>
          <cell r="Q95">
            <v>146890</v>
          </cell>
        </row>
        <row r="96">
          <cell r="A96">
            <v>442766</v>
          </cell>
          <cell r="B96" t="str">
            <v>REV</v>
          </cell>
          <cell r="C96">
            <v>442</v>
          </cell>
          <cell r="D96" t="str">
            <v>Ind Transp Rate Stabilization</v>
          </cell>
          <cell r="E96">
            <v>2350</v>
          </cell>
          <cell r="F96">
            <v>2346</v>
          </cell>
          <cell r="G96">
            <v>8</v>
          </cell>
          <cell r="H96">
            <v>-4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442778</v>
          </cell>
          <cell r="B97" t="str">
            <v>REV</v>
          </cell>
          <cell r="C97">
            <v>442</v>
          </cell>
          <cell r="D97" t="str">
            <v>Ind Transp Dstributn Reliability Invstmt</v>
          </cell>
          <cell r="E97">
            <v>328090</v>
          </cell>
          <cell r="F97">
            <v>3596</v>
          </cell>
          <cell r="G97">
            <v>3640</v>
          </cell>
          <cell r="H97">
            <v>3465</v>
          </cell>
          <cell r="I97">
            <v>28854</v>
          </cell>
          <cell r="J97">
            <v>28790</v>
          </cell>
          <cell r="K97">
            <v>29802</v>
          </cell>
          <cell r="L97">
            <v>37525</v>
          </cell>
          <cell r="M97">
            <v>38197</v>
          </cell>
          <cell r="N97">
            <v>40289</v>
          </cell>
          <cell r="O97">
            <v>38149</v>
          </cell>
          <cell r="P97">
            <v>38324</v>
          </cell>
          <cell r="Q97">
            <v>37459</v>
          </cell>
        </row>
        <row r="98">
          <cell r="A98">
            <v>442800</v>
          </cell>
          <cell r="B98" t="str">
            <v>REV</v>
          </cell>
          <cell r="C98">
            <v>442</v>
          </cell>
          <cell r="D98" t="str">
            <v>Elec Rev Commercial-Transp</v>
          </cell>
          <cell r="E98">
            <v>271</v>
          </cell>
          <cell r="F98">
            <v>0</v>
          </cell>
          <cell r="G98">
            <v>0</v>
          </cell>
          <cell r="H98">
            <v>271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442803</v>
          </cell>
          <cell r="B99" t="str">
            <v>REV</v>
          </cell>
          <cell r="C99">
            <v>442</v>
          </cell>
          <cell r="D99" t="str">
            <v>Com Transp Generation</v>
          </cell>
          <cell r="E99">
            <v>-8387</v>
          </cell>
          <cell r="F99">
            <v>0</v>
          </cell>
          <cell r="G99">
            <v>-8387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442804</v>
          </cell>
          <cell r="B100" t="str">
            <v>REV</v>
          </cell>
          <cell r="C100">
            <v>442</v>
          </cell>
          <cell r="D100" t="str">
            <v>Transp RTC Rev - Commercial</v>
          </cell>
          <cell r="E100">
            <v>3463750</v>
          </cell>
          <cell r="F100">
            <v>201236</v>
          </cell>
          <cell r="G100">
            <v>209037</v>
          </cell>
          <cell r="H100">
            <v>198523</v>
          </cell>
          <cell r="I100">
            <v>272227</v>
          </cell>
          <cell r="J100">
            <v>265898</v>
          </cell>
          <cell r="K100">
            <v>309534</v>
          </cell>
          <cell r="L100">
            <v>360865</v>
          </cell>
          <cell r="M100">
            <v>366406</v>
          </cell>
          <cell r="N100">
            <v>357710</v>
          </cell>
          <cell r="O100">
            <v>303683</v>
          </cell>
          <cell r="P100">
            <v>295671</v>
          </cell>
          <cell r="Q100">
            <v>322960</v>
          </cell>
        </row>
        <row r="101">
          <cell r="A101">
            <v>442810</v>
          </cell>
          <cell r="B101" t="str">
            <v>REV</v>
          </cell>
          <cell r="C101">
            <v>442</v>
          </cell>
          <cell r="D101" t="str">
            <v>Ele Rev Commer-Transp Unbilled</v>
          </cell>
          <cell r="E101">
            <v>-81565</v>
          </cell>
          <cell r="F101">
            <v>-43079</v>
          </cell>
          <cell r="G101">
            <v>-28105</v>
          </cell>
          <cell r="H101">
            <v>488</v>
          </cell>
          <cell r="I101">
            <v>4965</v>
          </cell>
          <cell r="J101">
            <v>28655</v>
          </cell>
          <cell r="K101">
            <v>67691</v>
          </cell>
          <cell r="L101">
            <v>37620</v>
          </cell>
          <cell r="M101">
            <v>-2399</v>
          </cell>
          <cell r="N101">
            <v>-45945</v>
          </cell>
          <cell r="O101">
            <v>-29775</v>
          </cell>
          <cell r="P101">
            <v>34714</v>
          </cell>
          <cell r="Q101">
            <v>-106395</v>
          </cell>
        </row>
        <row r="102">
          <cell r="A102">
            <v>442814</v>
          </cell>
          <cell r="B102" t="str">
            <v>REV</v>
          </cell>
          <cell r="C102">
            <v>442</v>
          </cell>
          <cell r="D102" t="str">
            <v>Unbil Trans Rtc Rev-Commercial</v>
          </cell>
          <cell r="E102">
            <v>-15304</v>
          </cell>
          <cell r="F102">
            <v>-15921</v>
          </cell>
          <cell r="G102">
            <v>-895</v>
          </cell>
          <cell r="H102">
            <v>1512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442850</v>
          </cell>
          <cell r="B103" t="str">
            <v>REV</v>
          </cell>
          <cell r="C103">
            <v>442</v>
          </cell>
          <cell r="D103" t="str">
            <v>Elec Rev Indust-Transportation</v>
          </cell>
          <cell r="E103">
            <v>-782</v>
          </cell>
          <cell r="F103">
            <v>-782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442854</v>
          </cell>
          <cell r="B104" t="str">
            <v>REV</v>
          </cell>
          <cell r="C104">
            <v>442</v>
          </cell>
          <cell r="D104" t="str">
            <v>Transp RTC Rev - Industrial</v>
          </cell>
          <cell r="E104">
            <v>2708397</v>
          </cell>
          <cell r="F104">
            <v>44560</v>
          </cell>
          <cell r="G104">
            <v>45231</v>
          </cell>
          <cell r="H104">
            <v>43471</v>
          </cell>
          <cell r="I104">
            <v>230139</v>
          </cell>
          <cell r="J104">
            <v>234968</v>
          </cell>
          <cell r="K104">
            <v>245633</v>
          </cell>
          <cell r="L104">
            <v>310521</v>
          </cell>
          <cell r="M104">
            <v>314208</v>
          </cell>
          <cell r="N104">
            <v>329209</v>
          </cell>
          <cell r="O104">
            <v>299689</v>
          </cell>
          <cell r="P104">
            <v>312361</v>
          </cell>
          <cell r="Q104">
            <v>298407</v>
          </cell>
        </row>
        <row r="105">
          <cell r="A105">
            <v>442860</v>
          </cell>
          <cell r="B105" t="str">
            <v>REV</v>
          </cell>
          <cell r="C105">
            <v>442</v>
          </cell>
          <cell r="D105" t="str">
            <v>Elec Rev Indust-Transp Unbill</v>
          </cell>
          <cell r="E105">
            <v>255411</v>
          </cell>
          <cell r="F105">
            <v>-17071</v>
          </cell>
          <cell r="G105">
            <v>-11467</v>
          </cell>
          <cell r="H105">
            <v>3422</v>
          </cell>
          <cell r="I105">
            <v>77061</v>
          </cell>
          <cell r="J105">
            <v>20938</v>
          </cell>
          <cell r="K105">
            <v>93620</v>
          </cell>
          <cell r="L105">
            <v>99259</v>
          </cell>
          <cell r="M105">
            <v>11793</v>
          </cell>
          <cell r="N105">
            <v>10483</v>
          </cell>
          <cell r="O105">
            <v>1995</v>
          </cell>
          <cell r="P105">
            <v>39908</v>
          </cell>
          <cell r="Q105">
            <v>-74530</v>
          </cell>
        </row>
        <row r="106">
          <cell r="A106">
            <v>442864</v>
          </cell>
          <cell r="B106" t="str">
            <v>REV</v>
          </cell>
          <cell r="C106">
            <v>442</v>
          </cell>
          <cell r="D106" t="str">
            <v>Unbilled Transp RTC Rev-Indust</v>
          </cell>
          <cell r="E106">
            <v>-5884</v>
          </cell>
          <cell r="F106">
            <v>-5929</v>
          </cell>
          <cell r="G106">
            <v>-533</v>
          </cell>
          <cell r="H106">
            <v>578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444500</v>
          </cell>
          <cell r="B107" t="str">
            <v>REV</v>
          </cell>
          <cell r="C107">
            <v>444</v>
          </cell>
          <cell r="D107" t="str">
            <v>Public St And Highway Lighting</v>
          </cell>
          <cell r="E107">
            <v>-1321</v>
          </cell>
          <cell r="F107">
            <v>-1327</v>
          </cell>
          <cell r="G107">
            <v>-8</v>
          </cell>
          <cell r="H107">
            <v>14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444504</v>
          </cell>
          <cell r="B108" t="str">
            <v>REV</v>
          </cell>
          <cell r="C108">
            <v>444</v>
          </cell>
          <cell r="D108" t="str">
            <v>RTC Revenue - Pub St Ltg</v>
          </cell>
          <cell r="E108">
            <v>243728</v>
          </cell>
          <cell r="F108">
            <v>19213</v>
          </cell>
          <cell r="G108">
            <v>19237</v>
          </cell>
          <cell r="H108">
            <v>19219</v>
          </cell>
          <cell r="I108">
            <v>19851</v>
          </cell>
          <cell r="J108">
            <v>18185</v>
          </cell>
          <cell r="K108">
            <v>16323</v>
          </cell>
          <cell r="L108">
            <v>17723</v>
          </cell>
          <cell r="M108">
            <v>19031</v>
          </cell>
          <cell r="N108">
            <v>20821</v>
          </cell>
          <cell r="O108">
            <v>23233</v>
          </cell>
          <cell r="P108">
            <v>24459</v>
          </cell>
          <cell r="Q108">
            <v>26433</v>
          </cell>
        </row>
        <row r="109">
          <cell r="A109">
            <v>444505</v>
          </cell>
          <cell r="B109" t="str">
            <v>REV</v>
          </cell>
          <cell r="C109">
            <v>444</v>
          </cell>
          <cell r="D109" t="str">
            <v>ED Ancillary Svcs-Pub St&amp;Ltg</v>
          </cell>
          <cell r="E109">
            <v>279</v>
          </cell>
          <cell r="F109">
            <v>93</v>
          </cell>
          <cell r="G109">
            <v>93</v>
          </cell>
          <cell r="H109">
            <v>93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444603</v>
          </cell>
          <cell r="B110" t="str">
            <v>REV</v>
          </cell>
          <cell r="C110">
            <v>444</v>
          </cell>
          <cell r="D110" t="str">
            <v>SL DSM</v>
          </cell>
          <cell r="E110">
            <v>25332</v>
          </cell>
          <cell r="F110">
            <v>69</v>
          </cell>
          <cell r="G110">
            <v>63</v>
          </cell>
          <cell r="H110">
            <v>64</v>
          </cell>
          <cell r="I110">
            <v>2375</v>
          </cell>
          <cell r="J110">
            <v>2222</v>
          </cell>
          <cell r="K110">
            <v>2060</v>
          </cell>
          <cell r="L110">
            <v>2179</v>
          </cell>
          <cell r="M110">
            <v>2777</v>
          </cell>
          <cell r="N110">
            <v>2977</v>
          </cell>
          <cell r="O110">
            <v>3316</v>
          </cell>
          <cell r="P110">
            <v>3483</v>
          </cell>
          <cell r="Q110">
            <v>3747</v>
          </cell>
        </row>
        <row r="111">
          <cell r="A111">
            <v>444610</v>
          </cell>
          <cell r="B111" t="str">
            <v>REV</v>
          </cell>
          <cell r="C111">
            <v>444</v>
          </cell>
          <cell r="D111" t="str">
            <v>SL Distribution</v>
          </cell>
          <cell r="E111">
            <v>4266040</v>
          </cell>
          <cell r="F111">
            <v>370382</v>
          </cell>
          <cell r="G111">
            <v>370687</v>
          </cell>
          <cell r="H111">
            <v>368911</v>
          </cell>
          <cell r="I111">
            <v>331472</v>
          </cell>
          <cell r="J111">
            <v>312718</v>
          </cell>
          <cell r="K111">
            <v>290880</v>
          </cell>
          <cell r="L111">
            <v>308624</v>
          </cell>
          <cell r="M111">
            <v>329193</v>
          </cell>
          <cell r="N111">
            <v>347365</v>
          </cell>
          <cell r="O111">
            <v>390228</v>
          </cell>
          <cell r="P111">
            <v>408810</v>
          </cell>
          <cell r="Q111">
            <v>436770</v>
          </cell>
        </row>
        <row r="112">
          <cell r="A112">
            <v>444611</v>
          </cell>
          <cell r="B112" t="str">
            <v>REV</v>
          </cell>
          <cell r="C112">
            <v>444</v>
          </cell>
          <cell r="D112" t="str">
            <v>SL GRT OET</v>
          </cell>
          <cell r="E112">
            <v>404953</v>
          </cell>
          <cell r="F112">
            <v>34923</v>
          </cell>
          <cell r="G112">
            <v>34921</v>
          </cell>
          <cell r="H112">
            <v>34797</v>
          </cell>
          <cell r="I112">
            <v>32013</v>
          </cell>
          <cell r="J112">
            <v>29591</v>
          </cell>
          <cell r="K112">
            <v>27525</v>
          </cell>
          <cell r="L112">
            <v>28883</v>
          </cell>
          <cell r="M112">
            <v>31199</v>
          </cell>
          <cell r="N112">
            <v>33347</v>
          </cell>
          <cell r="O112">
            <v>37046</v>
          </cell>
          <cell r="P112">
            <v>38903</v>
          </cell>
          <cell r="Q112">
            <v>41805</v>
          </cell>
        </row>
        <row r="113">
          <cell r="A113">
            <v>444628</v>
          </cell>
          <cell r="B113" t="str">
            <v>REV</v>
          </cell>
          <cell r="C113">
            <v>444</v>
          </cell>
          <cell r="D113" t="str">
            <v>SL Dstributn Reliability Invstmt</v>
          </cell>
          <cell r="E113">
            <v>238847</v>
          </cell>
          <cell r="F113">
            <v>20652</v>
          </cell>
          <cell r="G113">
            <v>20665</v>
          </cell>
          <cell r="H113">
            <v>20590</v>
          </cell>
          <cell r="I113">
            <v>18629</v>
          </cell>
          <cell r="J113">
            <v>17426</v>
          </cell>
          <cell r="K113">
            <v>16152</v>
          </cell>
          <cell r="L113">
            <v>17088</v>
          </cell>
          <cell r="M113">
            <v>18337</v>
          </cell>
          <cell r="N113">
            <v>19663</v>
          </cell>
          <cell r="O113">
            <v>21896</v>
          </cell>
          <cell r="P113">
            <v>23005</v>
          </cell>
          <cell r="Q113">
            <v>24744</v>
          </cell>
        </row>
        <row r="114">
          <cell r="A114">
            <v>445504</v>
          </cell>
          <cell r="B114" t="str">
            <v>REV</v>
          </cell>
          <cell r="C114">
            <v>445</v>
          </cell>
          <cell r="D114" t="str">
            <v>RTC Revenue - OPA</v>
          </cell>
          <cell r="E114">
            <v>6398173</v>
          </cell>
          <cell r="F114">
            <v>664317</v>
          </cell>
          <cell r="G114">
            <v>653914</v>
          </cell>
          <cell r="H114">
            <v>640922</v>
          </cell>
          <cell r="I114">
            <v>497153</v>
          </cell>
          <cell r="J114">
            <v>479269</v>
          </cell>
          <cell r="K114">
            <v>514215</v>
          </cell>
          <cell r="L114">
            <v>488765</v>
          </cell>
          <cell r="M114">
            <v>485955</v>
          </cell>
          <cell r="N114">
            <v>526694</v>
          </cell>
          <cell r="O114">
            <v>468273</v>
          </cell>
          <cell r="P114">
            <v>458317</v>
          </cell>
          <cell r="Q114">
            <v>520379</v>
          </cell>
        </row>
        <row r="115">
          <cell r="A115">
            <v>445505</v>
          </cell>
          <cell r="B115" t="str">
            <v>REV</v>
          </cell>
          <cell r="C115">
            <v>445</v>
          </cell>
          <cell r="D115" t="str">
            <v>ED Ancillary Services - OPA</v>
          </cell>
          <cell r="E115">
            <v>11552</v>
          </cell>
          <cell r="F115">
            <v>3937</v>
          </cell>
          <cell r="G115">
            <v>3836</v>
          </cell>
          <cell r="H115">
            <v>3779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445510</v>
          </cell>
          <cell r="B116" t="str">
            <v>REV</v>
          </cell>
          <cell r="C116">
            <v>445</v>
          </cell>
          <cell r="D116" t="str">
            <v>Sales Public Authority Other</v>
          </cell>
          <cell r="E116">
            <v>163155</v>
          </cell>
          <cell r="F116">
            <v>56577</v>
          </cell>
          <cell r="G116">
            <v>58652</v>
          </cell>
          <cell r="H116">
            <v>47926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445513</v>
          </cell>
          <cell r="B117" t="str">
            <v>REV</v>
          </cell>
          <cell r="C117">
            <v>445</v>
          </cell>
          <cell r="D117" t="str">
            <v>Unbill Generation Rev-OPA</v>
          </cell>
          <cell r="E117">
            <v>22818</v>
          </cell>
          <cell r="F117">
            <v>16439</v>
          </cell>
          <cell r="G117">
            <v>7648</v>
          </cell>
          <cell r="H117">
            <v>-1269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445514</v>
          </cell>
          <cell r="B118" t="str">
            <v>REV</v>
          </cell>
          <cell r="C118">
            <v>445</v>
          </cell>
          <cell r="D118" t="str">
            <v>Unbilled RTC Revenue - OPA</v>
          </cell>
          <cell r="E118">
            <v>-22818</v>
          </cell>
          <cell r="F118">
            <v>-16439</v>
          </cell>
          <cell r="G118">
            <v>-7648</v>
          </cell>
          <cell r="H118">
            <v>1269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445520</v>
          </cell>
          <cell r="B119" t="str">
            <v>REV</v>
          </cell>
          <cell r="C119">
            <v>445</v>
          </cell>
          <cell r="D119" t="str">
            <v>Sales Public Authority-Unbill</v>
          </cell>
          <cell r="E119">
            <v>-7449</v>
          </cell>
          <cell r="F119">
            <v>-11478</v>
          </cell>
          <cell r="G119">
            <v>34773</v>
          </cell>
          <cell r="H119">
            <v>-34516</v>
          </cell>
          <cell r="I119">
            <v>-53187</v>
          </cell>
          <cell r="J119">
            <v>8561</v>
          </cell>
          <cell r="K119">
            <v>29810</v>
          </cell>
          <cell r="L119">
            <v>-5357</v>
          </cell>
          <cell r="M119">
            <v>54930</v>
          </cell>
          <cell r="N119">
            <v>-33228</v>
          </cell>
          <cell r="O119">
            <v>29793</v>
          </cell>
          <cell r="P119">
            <v>-11074</v>
          </cell>
          <cell r="Q119">
            <v>-16476</v>
          </cell>
        </row>
        <row r="120">
          <cell r="A120">
            <v>445565</v>
          </cell>
          <cell r="B120" t="str">
            <v>REV</v>
          </cell>
          <cell r="C120">
            <v>445</v>
          </cell>
          <cell r="D120" t="str">
            <v>Unbilled ED Ancillary Svc-OPA</v>
          </cell>
          <cell r="E120">
            <v>-130</v>
          </cell>
          <cell r="F120">
            <v>-89</v>
          </cell>
          <cell r="G120">
            <v>-35</v>
          </cell>
          <cell r="H120">
            <v>-6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445603</v>
          </cell>
          <cell r="B121" t="str">
            <v>REV</v>
          </cell>
          <cell r="C121">
            <v>445</v>
          </cell>
          <cell r="D121" t="str">
            <v>OPA DSM</v>
          </cell>
          <cell r="E121">
            <v>446768</v>
          </cell>
          <cell r="F121">
            <v>44839</v>
          </cell>
          <cell r="G121">
            <v>42226</v>
          </cell>
          <cell r="H121">
            <v>42722</v>
          </cell>
          <cell r="I121">
            <v>30080</v>
          </cell>
          <cell r="J121">
            <v>30956</v>
          </cell>
          <cell r="K121">
            <v>33176</v>
          </cell>
          <cell r="L121">
            <v>32348</v>
          </cell>
          <cell r="M121">
            <v>39482</v>
          </cell>
          <cell r="N121">
            <v>40523</v>
          </cell>
          <cell r="O121">
            <v>36574</v>
          </cell>
          <cell r="P121">
            <v>34875</v>
          </cell>
          <cell r="Q121">
            <v>38967</v>
          </cell>
        </row>
        <row r="122">
          <cell r="A122">
            <v>445610</v>
          </cell>
          <cell r="B122" t="str">
            <v>REV</v>
          </cell>
          <cell r="C122">
            <v>445</v>
          </cell>
          <cell r="D122" t="str">
            <v>OPA Distribution</v>
          </cell>
          <cell r="E122">
            <v>10681611</v>
          </cell>
          <cell r="F122">
            <v>1002339</v>
          </cell>
          <cell r="G122">
            <v>979956</v>
          </cell>
          <cell r="H122">
            <v>984262</v>
          </cell>
          <cell r="I122">
            <v>840464</v>
          </cell>
          <cell r="J122">
            <v>800008</v>
          </cell>
          <cell r="K122">
            <v>925711</v>
          </cell>
          <cell r="L122">
            <v>831221</v>
          </cell>
          <cell r="M122">
            <v>834828</v>
          </cell>
          <cell r="N122">
            <v>935048</v>
          </cell>
          <cell r="O122">
            <v>819097</v>
          </cell>
          <cell r="P122">
            <v>830440</v>
          </cell>
          <cell r="Q122">
            <v>898237</v>
          </cell>
        </row>
        <row r="123">
          <cell r="A123">
            <v>445611</v>
          </cell>
          <cell r="B123" t="str">
            <v>REV</v>
          </cell>
          <cell r="C123">
            <v>445</v>
          </cell>
          <cell r="D123" t="str">
            <v>OPA GRT OET</v>
          </cell>
          <cell r="E123">
            <v>3152911</v>
          </cell>
          <cell r="F123">
            <v>315160</v>
          </cell>
          <cell r="G123">
            <v>295836</v>
          </cell>
          <cell r="H123">
            <v>294470</v>
          </cell>
          <cell r="I123">
            <v>238502</v>
          </cell>
          <cell r="J123">
            <v>245068</v>
          </cell>
          <cell r="K123">
            <v>242793</v>
          </cell>
          <cell r="L123">
            <v>256727</v>
          </cell>
          <cell r="M123">
            <v>258327</v>
          </cell>
          <cell r="N123">
            <v>253141</v>
          </cell>
          <cell r="O123">
            <v>238282</v>
          </cell>
          <cell r="P123">
            <v>236967</v>
          </cell>
          <cell r="Q123">
            <v>277638</v>
          </cell>
        </row>
        <row r="124">
          <cell r="A124">
            <v>445617</v>
          </cell>
          <cell r="B124" t="str">
            <v>REV</v>
          </cell>
          <cell r="C124">
            <v>445</v>
          </cell>
          <cell r="D124" t="str">
            <v>OPA Transition Cost Rider</v>
          </cell>
          <cell r="E124">
            <v>24651</v>
          </cell>
          <cell r="F124">
            <v>0</v>
          </cell>
          <cell r="G124">
            <v>0</v>
          </cell>
          <cell r="H124">
            <v>24651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445628</v>
          </cell>
          <cell r="B125" t="str">
            <v>REV</v>
          </cell>
          <cell r="C125">
            <v>445</v>
          </cell>
          <cell r="D125" t="str">
            <v>OPA Dstributn Reliability Invstmt</v>
          </cell>
          <cell r="E125">
            <v>641235</v>
          </cell>
          <cell r="F125">
            <v>64537</v>
          </cell>
          <cell r="G125">
            <v>60944</v>
          </cell>
          <cell r="H125">
            <v>61076</v>
          </cell>
          <cell r="I125">
            <v>47668</v>
          </cell>
          <cell r="J125">
            <v>49056</v>
          </cell>
          <cell r="K125">
            <v>52574</v>
          </cell>
          <cell r="L125">
            <v>51262</v>
          </cell>
          <cell r="M125">
            <v>52689</v>
          </cell>
          <cell r="N125">
            <v>54079</v>
          </cell>
          <cell r="O125">
            <v>48809</v>
          </cell>
          <cell r="P125">
            <v>46540</v>
          </cell>
          <cell r="Q125">
            <v>52001</v>
          </cell>
        </row>
        <row r="126">
          <cell r="A126">
            <v>445631</v>
          </cell>
          <cell r="B126" t="str">
            <v>REV</v>
          </cell>
          <cell r="C126">
            <v>445</v>
          </cell>
          <cell r="D126" t="str">
            <v>OPA Merger Savings Credit Rider</v>
          </cell>
          <cell r="E126">
            <v>-1</v>
          </cell>
          <cell r="F126">
            <v>0</v>
          </cell>
          <cell r="G126">
            <v>0</v>
          </cell>
          <cell r="H126">
            <v>-1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445703</v>
          </cell>
          <cell r="B127" t="str">
            <v>REV</v>
          </cell>
          <cell r="C127">
            <v>445</v>
          </cell>
          <cell r="D127" t="str">
            <v>OPA Transp DSM</v>
          </cell>
          <cell r="E127">
            <v>109121</v>
          </cell>
          <cell r="F127">
            <v>3533</v>
          </cell>
          <cell r="G127">
            <v>3769</v>
          </cell>
          <cell r="H127">
            <v>3320</v>
          </cell>
          <cell r="I127">
            <v>8490</v>
          </cell>
          <cell r="J127">
            <v>8719</v>
          </cell>
          <cell r="K127">
            <v>9045</v>
          </cell>
          <cell r="L127">
            <v>10275</v>
          </cell>
          <cell r="M127">
            <v>12633</v>
          </cell>
          <cell r="N127">
            <v>13145</v>
          </cell>
          <cell r="O127">
            <v>11996</v>
          </cell>
          <cell r="P127">
            <v>11476</v>
          </cell>
          <cell r="Q127">
            <v>12720</v>
          </cell>
        </row>
        <row r="128">
          <cell r="A128">
            <v>445710</v>
          </cell>
          <cell r="B128" t="str">
            <v>REV</v>
          </cell>
          <cell r="C128">
            <v>445</v>
          </cell>
          <cell r="D128" t="str">
            <v>OPA Transp Distribution</v>
          </cell>
          <cell r="E128">
            <v>4655660</v>
          </cell>
          <cell r="F128">
            <v>144616</v>
          </cell>
          <cell r="G128">
            <v>155520</v>
          </cell>
          <cell r="H128">
            <v>126790</v>
          </cell>
          <cell r="I128">
            <v>411950</v>
          </cell>
          <cell r="J128">
            <v>417951</v>
          </cell>
          <cell r="K128">
            <v>415218</v>
          </cell>
          <cell r="L128">
            <v>519906</v>
          </cell>
          <cell r="M128">
            <v>536111</v>
          </cell>
          <cell r="N128">
            <v>492589</v>
          </cell>
          <cell r="O128">
            <v>461873</v>
          </cell>
          <cell r="P128">
            <v>454104</v>
          </cell>
          <cell r="Q128">
            <v>519032</v>
          </cell>
        </row>
        <row r="129">
          <cell r="A129">
            <v>445711</v>
          </cell>
          <cell r="B129" t="str">
            <v>REV</v>
          </cell>
          <cell r="C129">
            <v>445</v>
          </cell>
          <cell r="D129" t="str">
            <v>OPA Transp GRT OET</v>
          </cell>
          <cell r="E129">
            <v>1139147</v>
          </cell>
          <cell r="F129">
            <v>38692</v>
          </cell>
          <cell r="G129">
            <v>41861</v>
          </cell>
          <cell r="H129">
            <v>36897</v>
          </cell>
          <cell r="I129">
            <v>97548</v>
          </cell>
          <cell r="J129">
            <v>99939</v>
          </cell>
          <cell r="K129">
            <v>103218</v>
          </cell>
          <cell r="L129">
            <v>116445</v>
          </cell>
          <cell r="M129">
            <v>123286</v>
          </cell>
          <cell r="N129">
            <v>127735</v>
          </cell>
          <cell r="O129">
            <v>117014</v>
          </cell>
          <cell r="P129">
            <v>112385</v>
          </cell>
          <cell r="Q129">
            <v>124127</v>
          </cell>
        </row>
        <row r="130">
          <cell r="A130">
            <v>445716</v>
          </cell>
          <cell r="B130" t="str">
            <v>REV</v>
          </cell>
          <cell r="C130">
            <v>445</v>
          </cell>
          <cell r="D130" t="str">
            <v>OPA Transp Rate Stabilization</v>
          </cell>
          <cell r="E130">
            <v>3404</v>
          </cell>
          <cell r="F130">
            <v>2269</v>
          </cell>
          <cell r="G130">
            <v>1135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445728</v>
          </cell>
          <cell r="B131" t="str">
            <v>REV</v>
          </cell>
          <cell r="C131">
            <v>445</v>
          </cell>
          <cell r="D131" t="str">
            <v>OPA Trans Dstributn Reliability Invstmt</v>
          </cell>
          <cell r="E131">
            <v>214444</v>
          </cell>
          <cell r="F131">
            <v>6840</v>
          </cell>
          <cell r="G131">
            <v>7385</v>
          </cell>
          <cell r="H131">
            <v>6507</v>
          </cell>
          <cell r="I131">
            <v>18638</v>
          </cell>
          <cell r="J131">
            <v>19040</v>
          </cell>
          <cell r="K131">
            <v>19641</v>
          </cell>
          <cell r="L131">
            <v>22237</v>
          </cell>
          <cell r="M131">
            <v>23062</v>
          </cell>
          <cell r="N131">
            <v>24030</v>
          </cell>
          <cell r="O131">
            <v>22160</v>
          </cell>
          <cell r="P131">
            <v>21318</v>
          </cell>
          <cell r="Q131">
            <v>23586</v>
          </cell>
        </row>
        <row r="132">
          <cell r="A132">
            <v>445731</v>
          </cell>
          <cell r="B132" t="str">
            <v>REV</v>
          </cell>
          <cell r="C132">
            <v>445</v>
          </cell>
          <cell r="D132" t="str">
            <v>OPA Transp Merger Savings Credit Rider</v>
          </cell>
          <cell r="E132">
            <v>-21</v>
          </cell>
          <cell r="F132">
            <v>0</v>
          </cell>
          <cell r="G132">
            <v>0</v>
          </cell>
          <cell r="H132">
            <v>-21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445804</v>
          </cell>
          <cell r="B133" t="str">
            <v>REV</v>
          </cell>
          <cell r="C133">
            <v>445</v>
          </cell>
          <cell r="D133" t="str">
            <v>Transp RTC Rev - OPA</v>
          </cell>
          <cell r="E133">
            <v>2035158</v>
          </cell>
          <cell r="F133">
            <v>83253</v>
          </cell>
          <cell r="G133">
            <v>89711</v>
          </cell>
          <cell r="H133">
            <v>81195</v>
          </cell>
          <cell r="I133">
            <v>174572</v>
          </cell>
          <cell r="J133">
            <v>177592</v>
          </cell>
          <cell r="K133">
            <v>183219</v>
          </cell>
          <cell r="L133">
            <v>206429</v>
          </cell>
          <cell r="M133">
            <v>213764</v>
          </cell>
          <cell r="N133">
            <v>220215</v>
          </cell>
          <cell r="O133">
            <v>201139</v>
          </cell>
          <cell r="P133">
            <v>193291</v>
          </cell>
          <cell r="Q133">
            <v>210778</v>
          </cell>
        </row>
        <row r="134">
          <cell r="A134">
            <v>445810</v>
          </cell>
          <cell r="B134" t="str">
            <v>REV</v>
          </cell>
          <cell r="C134">
            <v>445</v>
          </cell>
          <cell r="D134" t="str">
            <v>Elec Rev OPA-Transp Unbilled</v>
          </cell>
          <cell r="E134">
            <v>50594</v>
          </cell>
          <cell r="F134">
            <v>-19982</v>
          </cell>
          <cell r="G134">
            <v>-5110</v>
          </cell>
          <cell r="H134">
            <v>-723</v>
          </cell>
          <cell r="I134">
            <v>5856</v>
          </cell>
          <cell r="J134">
            <v>7944</v>
          </cell>
          <cell r="K134">
            <v>21752</v>
          </cell>
          <cell r="L134">
            <v>55836</v>
          </cell>
          <cell r="M134">
            <v>18222</v>
          </cell>
          <cell r="N134">
            <v>-43164</v>
          </cell>
          <cell r="O134">
            <v>-21860</v>
          </cell>
          <cell r="P134">
            <v>18867</v>
          </cell>
          <cell r="Q134">
            <v>12956</v>
          </cell>
        </row>
        <row r="135">
          <cell r="A135">
            <v>445814</v>
          </cell>
          <cell r="B135" t="str">
            <v>REV</v>
          </cell>
          <cell r="C135">
            <v>445</v>
          </cell>
          <cell r="D135" t="str">
            <v>Unbilled Trans RTC Rev - OPA</v>
          </cell>
          <cell r="E135">
            <v>-7185</v>
          </cell>
          <cell r="F135">
            <v>-9018</v>
          </cell>
          <cell r="G135">
            <v>4110</v>
          </cell>
          <cell r="H135">
            <v>-2277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448500</v>
          </cell>
          <cell r="B136" t="str">
            <v>REV</v>
          </cell>
          <cell r="C136">
            <v>448</v>
          </cell>
          <cell r="D136" t="str">
            <v>Inter Dept Sales - Elec</v>
          </cell>
          <cell r="E136">
            <v>108037</v>
          </cell>
          <cell r="F136">
            <v>9203</v>
          </cell>
          <cell r="G136">
            <v>7094</v>
          </cell>
          <cell r="H136">
            <v>14343</v>
          </cell>
          <cell r="I136">
            <v>8366</v>
          </cell>
          <cell r="J136">
            <v>8261</v>
          </cell>
          <cell r="K136">
            <v>8324</v>
          </cell>
          <cell r="L136">
            <v>9104</v>
          </cell>
          <cell r="M136">
            <v>8306</v>
          </cell>
          <cell r="N136">
            <v>8812</v>
          </cell>
          <cell r="O136">
            <v>8623</v>
          </cell>
          <cell r="P136">
            <v>8418</v>
          </cell>
          <cell r="Q136">
            <v>9183</v>
          </cell>
        </row>
        <row r="137">
          <cell r="A137">
            <v>451010</v>
          </cell>
          <cell r="B137" t="str">
            <v>REV</v>
          </cell>
          <cell r="C137">
            <v>451</v>
          </cell>
          <cell r="D137" t="str">
            <v>Misc Service Revenues</v>
          </cell>
          <cell r="E137">
            <v>535340</v>
          </cell>
          <cell r="F137">
            <v>43627</v>
          </cell>
          <cell r="G137">
            <v>44159</v>
          </cell>
          <cell r="H137">
            <v>45416</v>
          </cell>
          <cell r="I137">
            <v>44682</v>
          </cell>
          <cell r="J137">
            <v>44682</v>
          </cell>
          <cell r="K137">
            <v>44682</v>
          </cell>
          <cell r="L137">
            <v>44682</v>
          </cell>
          <cell r="M137">
            <v>44682</v>
          </cell>
          <cell r="N137">
            <v>44682</v>
          </cell>
          <cell r="O137">
            <v>44682</v>
          </cell>
          <cell r="P137">
            <v>44682</v>
          </cell>
          <cell r="Q137">
            <v>44682</v>
          </cell>
        </row>
        <row r="138">
          <cell r="A138">
            <v>451020</v>
          </cell>
          <cell r="B138" t="str">
            <v>REV</v>
          </cell>
          <cell r="C138">
            <v>451</v>
          </cell>
          <cell r="D138" t="str">
            <v>Misc Rev Reconnection Charge</v>
          </cell>
          <cell r="E138">
            <v>441882</v>
          </cell>
          <cell r="F138">
            <v>9557</v>
          </cell>
          <cell r="G138">
            <v>39823</v>
          </cell>
          <cell r="H138">
            <v>60546</v>
          </cell>
          <cell r="I138">
            <v>36884</v>
          </cell>
          <cell r="J138">
            <v>36884</v>
          </cell>
          <cell r="K138">
            <v>36884</v>
          </cell>
          <cell r="L138">
            <v>36884</v>
          </cell>
          <cell r="M138">
            <v>36884</v>
          </cell>
          <cell r="N138">
            <v>36884</v>
          </cell>
          <cell r="O138">
            <v>36884</v>
          </cell>
          <cell r="P138">
            <v>36884</v>
          </cell>
          <cell r="Q138">
            <v>36884</v>
          </cell>
        </row>
        <row r="139">
          <cell r="A139">
            <v>451040</v>
          </cell>
          <cell r="B139" t="str">
            <v>REV</v>
          </cell>
          <cell r="C139">
            <v>451</v>
          </cell>
          <cell r="D139" t="str">
            <v>Temporary Facilities</v>
          </cell>
          <cell r="E139">
            <v>26547</v>
          </cell>
          <cell r="F139">
            <v>6630</v>
          </cell>
          <cell r="G139">
            <v>0</v>
          </cell>
          <cell r="H139">
            <v>0</v>
          </cell>
          <cell r="I139">
            <v>2213</v>
          </cell>
          <cell r="J139">
            <v>2213</v>
          </cell>
          <cell r="K139">
            <v>2213</v>
          </cell>
          <cell r="L139">
            <v>2213</v>
          </cell>
          <cell r="M139">
            <v>2213</v>
          </cell>
          <cell r="N139">
            <v>2213</v>
          </cell>
          <cell r="O139">
            <v>2213</v>
          </cell>
          <cell r="P139">
            <v>2213</v>
          </cell>
          <cell r="Q139">
            <v>2213</v>
          </cell>
        </row>
        <row r="140">
          <cell r="A140">
            <v>451050</v>
          </cell>
          <cell r="B140" t="str">
            <v>REV</v>
          </cell>
          <cell r="C140">
            <v>451</v>
          </cell>
          <cell r="D140" t="str">
            <v>Misc Rev Cust Diversion Exp</v>
          </cell>
          <cell r="E140">
            <v>10107</v>
          </cell>
          <cell r="F140">
            <v>953</v>
          </cell>
          <cell r="G140">
            <v>218</v>
          </cell>
          <cell r="H140">
            <v>1349</v>
          </cell>
          <cell r="I140">
            <v>843</v>
          </cell>
          <cell r="J140">
            <v>843</v>
          </cell>
          <cell r="K140">
            <v>843</v>
          </cell>
          <cell r="L140">
            <v>843</v>
          </cell>
          <cell r="M140">
            <v>843</v>
          </cell>
          <cell r="N140">
            <v>843</v>
          </cell>
          <cell r="O140">
            <v>843</v>
          </cell>
          <cell r="P140">
            <v>843</v>
          </cell>
          <cell r="Q140">
            <v>843</v>
          </cell>
        </row>
        <row r="141">
          <cell r="A141">
            <v>451060</v>
          </cell>
          <cell r="B141" t="str">
            <v>REV</v>
          </cell>
          <cell r="C141">
            <v>451</v>
          </cell>
          <cell r="D141" t="str">
            <v>Misc Rev Bad Check Charge</v>
          </cell>
          <cell r="E141">
            <v>184709</v>
          </cell>
          <cell r="F141">
            <v>20230</v>
          </cell>
          <cell r="G141">
            <v>12080</v>
          </cell>
          <cell r="H141">
            <v>13610</v>
          </cell>
          <cell r="I141">
            <v>15421</v>
          </cell>
          <cell r="J141">
            <v>15421</v>
          </cell>
          <cell r="K141">
            <v>15421</v>
          </cell>
          <cell r="L141">
            <v>15421</v>
          </cell>
          <cell r="M141">
            <v>15421</v>
          </cell>
          <cell r="N141">
            <v>15421</v>
          </cell>
          <cell r="O141">
            <v>15421</v>
          </cell>
          <cell r="P141">
            <v>15421</v>
          </cell>
          <cell r="Q141">
            <v>15421</v>
          </cell>
        </row>
        <row r="142">
          <cell r="A142">
            <v>451070</v>
          </cell>
          <cell r="B142" t="str">
            <v>REV</v>
          </cell>
          <cell r="C142">
            <v>451</v>
          </cell>
          <cell r="D142" t="str">
            <v>Misc Rev - Field Coll Charge Elec</v>
          </cell>
          <cell r="E142">
            <v>135114</v>
          </cell>
          <cell r="F142">
            <v>9645</v>
          </cell>
          <cell r="G142">
            <v>11355</v>
          </cell>
          <cell r="H142">
            <v>12630</v>
          </cell>
          <cell r="I142">
            <v>11276</v>
          </cell>
          <cell r="J142">
            <v>11276</v>
          </cell>
          <cell r="K142">
            <v>11276</v>
          </cell>
          <cell r="L142">
            <v>11276</v>
          </cell>
          <cell r="M142">
            <v>11276</v>
          </cell>
          <cell r="N142">
            <v>11276</v>
          </cell>
          <cell r="O142">
            <v>11276</v>
          </cell>
          <cell r="P142">
            <v>11276</v>
          </cell>
          <cell r="Q142">
            <v>11276</v>
          </cell>
        </row>
        <row r="143">
          <cell r="A143">
            <v>454020</v>
          </cell>
          <cell r="B143" t="str">
            <v>REV</v>
          </cell>
          <cell r="C143">
            <v>454</v>
          </cell>
          <cell r="D143" t="str">
            <v>Rent Elec Other Equipment</v>
          </cell>
          <cell r="E143">
            <v>337475</v>
          </cell>
          <cell r="F143">
            <v>29935</v>
          </cell>
          <cell r="G143">
            <v>27186</v>
          </cell>
          <cell r="H143">
            <v>26806</v>
          </cell>
          <cell r="I143">
            <v>28172</v>
          </cell>
          <cell r="J143">
            <v>28172</v>
          </cell>
          <cell r="K143">
            <v>28172</v>
          </cell>
          <cell r="L143">
            <v>28172</v>
          </cell>
          <cell r="M143">
            <v>28172</v>
          </cell>
          <cell r="N143">
            <v>28172</v>
          </cell>
          <cell r="O143">
            <v>28172</v>
          </cell>
          <cell r="P143">
            <v>28172</v>
          </cell>
          <cell r="Q143">
            <v>28172</v>
          </cell>
        </row>
        <row r="144">
          <cell r="A144">
            <v>454080</v>
          </cell>
          <cell r="B144" t="str">
            <v>REV</v>
          </cell>
          <cell r="C144">
            <v>454</v>
          </cell>
          <cell r="D144" t="str">
            <v>Rent Land &amp; Buildings - Assoc Co.</v>
          </cell>
          <cell r="E144">
            <v>168876</v>
          </cell>
          <cell r="F144">
            <v>14073</v>
          </cell>
          <cell r="G144">
            <v>14073</v>
          </cell>
          <cell r="H144">
            <v>14073</v>
          </cell>
          <cell r="I144">
            <v>14073</v>
          </cell>
          <cell r="J144">
            <v>14073</v>
          </cell>
          <cell r="K144">
            <v>14073</v>
          </cell>
          <cell r="L144">
            <v>14073</v>
          </cell>
          <cell r="M144">
            <v>14073</v>
          </cell>
          <cell r="N144">
            <v>14073</v>
          </cell>
          <cell r="O144">
            <v>14073</v>
          </cell>
          <cell r="P144">
            <v>14073</v>
          </cell>
          <cell r="Q144">
            <v>14073</v>
          </cell>
        </row>
        <row r="145">
          <cell r="A145">
            <v>454100</v>
          </cell>
          <cell r="B145" t="str">
            <v>REV</v>
          </cell>
          <cell r="C145">
            <v>454</v>
          </cell>
          <cell r="D145" t="str">
            <v>Pole Contact Rentals</v>
          </cell>
          <cell r="E145">
            <v>522303</v>
          </cell>
          <cell r="F145">
            <v>139661</v>
          </cell>
          <cell r="G145">
            <v>17367</v>
          </cell>
          <cell r="H145">
            <v>-156437</v>
          </cell>
          <cell r="I145">
            <v>57968</v>
          </cell>
          <cell r="J145">
            <v>57968</v>
          </cell>
          <cell r="K145">
            <v>57968</v>
          </cell>
          <cell r="L145">
            <v>57968</v>
          </cell>
          <cell r="M145">
            <v>57968</v>
          </cell>
          <cell r="N145">
            <v>57968</v>
          </cell>
          <cell r="O145">
            <v>57968</v>
          </cell>
          <cell r="P145">
            <v>57968</v>
          </cell>
          <cell r="Q145">
            <v>57968</v>
          </cell>
        </row>
        <row r="146">
          <cell r="A146">
            <v>454105</v>
          </cell>
          <cell r="B146" t="str">
            <v>REV</v>
          </cell>
          <cell r="C146">
            <v>454</v>
          </cell>
          <cell r="D146" t="str">
            <v>Rent Stores Facilities - Affil</v>
          </cell>
          <cell r="E146">
            <v>223764</v>
          </cell>
          <cell r="F146">
            <v>18647</v>
          </cell>
          <cell r="G146">
            <v>18647</v>
          </cell>
          <cell r="H146">
            <v>18647</v>
          </cell>
          <cell r="I146">
            <v>18647</v>
          </cell>
          <cell r="J146">
            <v>18647</v>
          </cell>
          <cell r="K146">
            <v>18647</v>
          </cell>
          <cell r="L146">
            <v>18647</v>
          </cell>
          <cell r="M146">
            <v>18647</v>
          </cell>
          <cell r="N146">
            <v>18647</v>
          </cell>
          <cell r="O146">
            <v>18647</v>
          </cell>
          <cell r="P146">
            <v>18647</v>
          </cell>
          <cell r="Q146">
            <v>18647</v>
          </cell>
        </row>
        <row r="147">
          <cell r="A147">
            <v>454110</v>
          </cell>
          <cell r="B147" t="str">
            <v>REV</v>
          </cell>
          <cell r="C147">
            <v>454</v>
          </cell>
          <cell r="D147" t="str">
            <v>Rent Data Proc Equip - Assoc Co.</v>
          </cell>
          <cell r="E147">
            <v>16092</v>
          </cell>
          <cell r="F147">
            <v>1341</v>
          </cell>
          <cell r="G147">
            <v>1341</v>
          </cell>
          <cell r="H147">
            <v>1341</v>
          </cell>
          <cell r="I147">
            <v>1341</v>
          </cell>
          <cell r="J147">
            <v>1341</v>
          </cell>
          <cell r="K147">
            <v>1341</v>
          </cell>
          <cell r="L147">
            <v>1341</v>
          </cell>
          <cell r="M147">
            <v>1341</v>
          </cell>
          <cell r="N147">
            <v>1341</v>
          </cell>
          <cell r="O147">
            <v>1341</v>
          </cell>
          <cell r="P147">
            <v>1341</v>
          </cell>
          <cell r="Q147">
            <v>1341</v>
          </cell>
        </row>
        <row r="148">
          <cell r="A148">
            <v>454200</v>
          </cell>
          <cell r="B148" t="str">
            <v>REV</v>
          </cell>
          <cell r="C148">
            <v>454</v>
          </cell>
          <cell r="D148" t="str">
            <v>Other Rent-Electric Property</v>
          </cell>
          <cell r="E148">
            <v>179255</v>
          </cell>
          <cell r="F148">
            <v>12556</v>
          </cell>
          <cell r="G148">
            <v>18686</v>
          </cell>
          <cell r="H148">
            <v>13337</v>
          </cell>
          <cell r="I148">
            <v>14964</v>
          </cell>
          <cell r="J148">
            <v>14964</v>
          </cell>
          <cell r="K148">
            <v>14964</v>
          </cell>
          <cell r="L148">
            <v>14964</v>
          </cell>
          <cell r="M148">
            <v>14964</v>
          </cell>
          <cell r="N148">
            <v>14964</v>
          </cell>
          <cell r="O148">
            <v>14964</v>
          </cell>
          <cell r="P148">
            <v>14964</v>
          </cell>
          <cell r="Q148">
            <v>14964</v>
          </cell>
        </row>
        <row r="149">
          <cell r="A149">
            <v>454500</v>
          </cell>
          <cell r="B149" t="str">
            <v>REV</v>
          </cell>
          <cell r="C149">
            <v>454</v>
          </cell>
          <cell r="D149" t="str">
            <v>Rent Land &amp; Building-Affil Co</v>
          </cell>
          <cell r="E149">
            <v>1684554</v>
          </cell>
          <cell r="F149">
            <v>134982</v>
          </cell>
          <cell r="G149">
            <v>178162</v>
          </cell>
          <cell r="H149">
            <v>156572</v>
          </cell>
          <cell r="I149">
            <v>134982</v>
          </cell>
          <cell r="J149">
            <v>134982</v>
          </cell>
          <cell r="K149">
            <v>134982</v>
          </cell>
          <cell r="L149">
            <v>134982</v>
          </cell>
          <cell r="M149">
            <v>134982</v>
          </cell>
          <cell r="N149">
            <v>134982</v>
          </cell>
          <cell r="O149">
            <v>134982</v>
          </cell>
          <cell r="P149">
            <v>134982</v>
          </cell>
          <cell r="Q149">
            <v>134982</v>
          </cell>
        </row>
        <row r="150">
          <cell r="A150">
            <v>456005</v>
          </cell>
          <cell r="B150" t="str">
            <v>REV</v>
          </cell>
          <cell r="C150">
            <v>456</v>
          </cell>
          <cell r="D150" t="str">
            <v>Other Electric Revenues</v>
          </cell>
          <cell r="E150">
            <v>934665</v>
          </cell>
          <cell r="F150">
            <v>0</v>
          </cell>
          <cell r="G150">
            <v>426</v>
          </cell>
          <cell r="H150">
            <v>-213</v>
          </cell>
          <cell r="I150">
            <v>103408</v>
          </cell>
          <cell r="J150">
            <v>103858</v>
          </cell>
          <cell r="K150">
            <v>103358</v>
          </cell>
          <cell r="L150">
            <v>103358</v>
          </cell>
          <cell r="M150">
            <v>103358</v>
          </cell>
          <cell r="N150">
            <v>106902</v>
          </cell>
          <cell r="O150">
            <v>103402</v>
          </cell>
          <cell r="P150">
            <v>103402</v>
          </cell>
          <cell r="Q150">
            <v>103406</v>
          </cell>
        </row>
        <row r="151">
          <cell r="A151">
            <v>456015</v>
          </cell>
          <cell r="B151" t="str">
            <v>REV</v>
          </cell>
          <cell r="C151">
            <v>456</v>
          </cell>
          <cell r="D151" t="str">
            <v>Sale of Materials &amp; Sales-Elec</v>
          </cell>
          <cell r="E151">
            <v>2060</v>
          </cell>
          <cell r="F151">
            <v>476</v>
          </cell>
          <cell r="G151">
            <v>0</v>
          </cell>
          <cell r="H151">
            <v>0</v>
          </cell>
          <cell r="I151">
            <v>176</v>
          </cell>
          <cell r="J151">
            <v>176</v>
          </cell>
          <cell r="K151">
            <v>176</v>
          </cell>
          <cell r="L151">
            <v>176</v>
          </cell>
          <cell r="M151">
            <v>176</v>
          </cell>
          <cell r="N151">
            <v>176</v>
          </cell>
          <cell r="O151">
            <v>176</v>
          </cell>
          <cell r="P151">
            <v>176</v>
          </cell>
          <cell r="Q151">
            <v>176</v>
          </cell>
        </row>
        <row r="152">
          <cell r="A152">
            <v>456075</v>
          </cell>
          <cell r="B152" t="str">
            <v>REV</v>
          </cell>
          <cell r="C152">
            <v>456</v>
          </cell>
          <cell r="D152" t="str">
            <v>Data Processing Service</v>
          </cell>
          <cell r="E152">
            <v>54719</v>
          </cell>
          <cell r="F152">
            <v>6768</v>
          </cell>
          <cell r="G152">
            <v>6664</v>
          </cell>
          <cell r="H152">
            <v>184</v>
          </cell>
          <cell r="I152">
            <v>4567</v>
          </cell>
          <cell r="J152">
            <v>4567</v>
          </cell>
          <cell r="K152">
            <v>4567</v>
          </cell>
          <cell r="L152">
            <v>4567</v>
          </cell>
          <cell r="M152">
            <v>4567</v>
          </cell>
          <cell r="N152">
            <v>4567</v>
          </cell>
          <cell r="O152">
            <v>4567</v>
          </cell>
          <cell r="P152">
            <v>4567</v>
          </cell>
          <cell r="Q152">
            <v>4567</v>
          </cell>
        </row>
        <row r="153">
          <cell r="A153">
            <v>580000</v>
          </cell>
          <cell r="B153" t="str">
            <v>DO</v>
          </cell>
          <cell r="C153">
            <v>580</v>
          </cell>
          <cell r="D153" t="str">
            <v>Operation Supervision &amp; Engineering</v>
          </cell>
          <cell r="E153">
            <v>1749151</v>
          </cell>
          <cell r="F153">
            <v>99485</v>
          </cell>
          <cell r="G153">
            <v>127642</v>
          </cell>
          <cell r="H153">
            <v>109118</v>
          </cell>
          <cell r="I153">
            <v>153255</v>
          </cell>
          <cell r="J153">
            <v>160940</v>
          </cell>
          <cell r="K153">
            <v>160448</v>
          </cell>
          <cell r="L153">
            <v>141807</v>
          </cell>
          <cell r="M153">
            <v>151527</v>
          </cell>
          <cell r="N153">
            <v>163831</v>
          </cell>
          <cell r="O153">
            <v>155899</v>
          </cell>
          <cell r="P153">
            <v>163751</v>
          </cell>
          <cell r="Q153">
            <v>161448</v>
          </cell>
        </row>
        <row r="154">
          <cell r="A154">
            <v>581000</v>
          </cell>
          <cell r="B154" t="str">
            <v>DO</v>
          </cell>
          <cell r="C154">
            <v>581</v>
          </cell>
          <cell r="D154" t="str">
            <v>Load Dispatching</v>
          </cell>
          <cell r="E154">
            <v>1748837</v>
          </cell>
          <cell r="F154">
            <v>121222</v>
          </cell>
          <cell r="G154">
            <v>131643</v>
          </cell>
          <cell r="H154">
            <v>114487</v>
          </cell>
          <cell r="I154">
            <v>153528</v>
          </cell>
          <cell r="J154">
            <v>153528</v>
          </cell>
          <cell r="K154">
            <v>153277</v>
          </cell>
          <cell r="L154">
            <v>153768</v>
          </cell>
          <cell r="M154">
            <v>153277</v>
          </cell>
          <cell r="N154">
            <v>153528</v>
          </cell>
          <cell r="O154">
            <v>153768</v>
          </cell>
          <cell r="P154">
            <v>153043</v>
          </cell>
          <cell r="Q154">
            <v>153768</v>
          </cell>
        </row>
        <row r="155">
          <cell r="A155">
            <v>582000</v>
          </cell>
          <cell r="B155" t="str">
            <v>DO</v>
          </cell>
          <cell r="C155">
            <v>582</v>
          </cell>
          <cell r="D155" t="str">
            <v>Station Expenses</v>
          </cell>
          <cell r="E155">
            <v>1785649</v>
          </cell>
          <cell r="F155">
            <v>119568</v>
          </cell>
          <cell r="G155">
            <v>172663</v>
          </cell>
          <cell r="H155">
            <v>120879</v>
          </cell>
          <cell r="I155">
            <v>135784</v>
          </cell>
          <cell r="J155">
            <v>153675</v>
          </cell>
          <cell r="K155">
            <v>164888</v>
          </cell>
          <cell r="L155">
            <v>154711</v>
          </cell>
          <cell r="M155">
            <v>165229</v>
          </cell>
          <cell r="N155">
            <v>153725</v>
          </cell>
          <cell r="O155">
            <v>148336</v>
          </cell>
          <cell r="P155">
            <v>165268</v>
          </cell>
          <cell r="Q155">
            <v>130923</v>
          </cell>
        </row>
        <row r="156">
          <cell r="A156">
            <v>583000</v>
          </cell>
          <cell r="B156" t="str">
            <v>DO</v>
          </cell>
          <cell r="C156">
            <v>583</v>
          </cell>
          <cell r="D156" t="str">
            <v>Overhead Line Expenses</v>
          </cell>
          <cell r="E156">
            <v>1248397</v>
          </cell>
          <cell r="F156">
            <v>-12828</v>
          </cell>
          <cell r="G156">
            <v>163653</v>
          </cell>
          <cell r="H156">
            <v>240143</v>
          </cell>
          <cell r="I156">
            <v>81362</v>
          </cell>
          <cell r="J156">
            <v>53536</v>
          </cell>
          <cell r="K156">
            <v>56251</v>
          </cell>
          <cell r="L156">
            <v>139164</v>
          </cell>
          <cell r="M156">
            <v>66862</v>
          </cell>
          <cell r="N156">
            <v>132895</v>
          </cell>
          <cell r="O156">
            <v>166307</v>
          </cell>
          <cell r="P156">
            <v>-2818</v>
          </cell>
          <cell r="Q156">
            <v>163870</v>
          </cell>
        </row>
        <row r="157">
          <cell r="A157">
            <v>584000</v>
          </cell>
          <cell r="B157" t="str">
            <v>DO</v>
          </cell>
          <cell r="C157">
            <v>584</v>
          </cell>
          <cell r="D157" t="str">
            <v>Underground Line Expenses</v>
          </cell>
          <cell r="E157">
            <v>607438</v>
          </cell>
          <cell r="F157">
            <v>3217</v>
          </cell>
          <cell r="G157">
            <v>43566</v>
          </cell>
          <cell r="H157">
            <v>74634</v>
          </cell>
          <cell r="I157">
            <v>58340</v>
          </cell>
          <cell r="J157">
            <v>62836</v>
          </cell>
          <cell r="K157">
            <v>58158</v>
          </cell>
          <cell r="L157">
            <v>35330</v>
          </cell>
          <cell r="M157">
            <v>80484</v>
          </cell>
          <cell r="N157">
            <v>48806</v>
          </cell>
          <cell r="O157">
            <v>46375</v>
          </cell>
          <cell r="P157">
            <v>45419</v>
          </cell>
          <cell r="Q157">
            <v>50273</v>
          </cell>
        </row>
        <row r="158">
          <cell r="A158">
            <v>585000</v>
          </cell>
          <cell r="B158" t="str">
            <v>DO</v>
          </cell>
          <cell r="C158">
            <v>585</v>
          </cell>
          <cell r="D158" t="str">
            <v>Street Lighting &amp; Signal System</v>
          </cell>
          <cell r="E158">
            <v>302824</v>
          </cell>
          <cell r="F158">
            <v>15306</v>
          </cell>
          <cell r="G158">
            <v>19704</v>
          </cell>
          <cell r="H158">
            <v>12291</v>
          </cell>
          <cell r="I158">
            <v>18450</v>
          </cell>
          <cell r="J158">
            <v>16369</v>
          </cell>
          <cell r="K158">
            <v>32100</v>
          </cell>
          <cell r="L158">
            <v>42157</v>
          </cell>
          <cell r="M158">
            <v>27777</v>
          </cell>
          <cell r="N158">
            <v>26357</v>
          </cell>
          <cell r="O158">
            <v>39691</v>
          </cell>
          <cell r="P158">
            <v>37983</v>
          </cell>
          <cell r="Q158">
            <v>14639</v>
          </cell>
        </row>
        <row r="159">
          <cell r="A159">
            <v>586000</v>
          </cell>
          <cell r="B159" t="str">
            <v>DO</v>
          </cell>
          <cell r="C159">
            <v>586</v>
          </cell>
          <cell r="D159" t="str">
            <v>Meter Expenses</v>
          </cell>
          <cell r="E159">
            <v>1331360</v>
          </cell>
          <cell r="F159">
            <v>16176</v>
          </cell>
          <cell r="G159">
            <v>54908</v>
          </cell>
          <cell r="H159">
            <v>97457</v>
          </cell>
          <cell r="I159">
            <v>129707</v>
          </cell>
          <cell r="J159">
            <v>129468</v>
          </cell>
          <cell r="K159">
            <v>129899</v>
          </cell>
          <cell r="L159">
            <v>126763</v>
          </cell>
          <cell r="M159">
            <v>130397</v>
          </cell>
          <cell r="N159">
            <v>129311</v>
          </cell>
          <cell r="O159">
            <v>129916</v>
          </cell>
          <cell r="P159">
            <v>129930</v>
          </cell>
          <cell r="Q159">
            <v>127428</v>
          </cell>
        </row>
        <row r="160">
          <cell r="A160">
            <v>587000</v>
          </cell>
          <cell r="B160" t="str">
            <v>DO</v>
          </cell>
          <cell r="C160">
            <v>587</v>
          </cell>
          <cell r="D160" t="str">
            <v>Customer Installations Expense</v>
          </cell>
          <cell r="E160">
            <v>2255765</v>
          </cell>
          <cell r="F160">
            <v>172823</v>
          </cell>
          <cell r="G160">
            <v>251904</v>
          </cell>
          <cell r="H160">
            <v>174309</v>
          </cell>
          <cell r="I160">
            <v>187054</v>
          </cell>
          <cell r="J160">
            <v>185360</v>
          </cell>
          <cell r="K160">
            <v>185109</v>
          </cell>
          <cell r="L160">
            <v>165235</v>
          </cell>
          <cell r="M160">
            <v>190059</v>
          </cell>
          <cell r="N160">
            <v>181318</v>
          </cell>
          <cell r="O160">
            <v>193344</v>
          </cell>
          <cell r="P160">
            <v>188568</v>
          </cell>
          <cell r="Q160">
            <v>180682</v>
          </cell>
        </row>
        <row r="161">
          <cell r="A161">
            <v>588000</v>
          </cell>
          <cell r="B161" t="str">
            <v>DO</v>
          </cell>
          <cell r="C161">
            <v>588</v>
          </cell>
          <cell r="D161" t="str">
            <v>Miscellaneous Distribution Exp</v>
          </cell>
          <cell r="E161">
            <v>4834197</v>
          </cell>
          <cell r="F161">
            <v>258853</v>
          </cell>
          <cell r="G161">
            <v>425988</v>
          </cell>
          <cell r="H161">
            <v>444168</v>
          </cell>
          <cell r="I161">
            <v>357359</v>
          </cell>
          <cell r="J161">
            <v>392256</v>
          </cell>
          <cell r="K161">
            <v>410946</v>
          </cell>
          <cell r="L161">
            <v>366187</v>
          </cell>
          <cell r="M161">
            <v>422115</v>
          </cell>
          <cell r="N161">
            <v>350197</v>
          </cell>
          <cell r="O161">
            <v>441919</v>
          </cell>
          <cell r="P161">
            <v>456905</v>
          </cell>
          <cell r="Q161">
            <v>507304</v>
          </cell>
        </row>
        <row r="162">
          <cell r="A162">
            <v>590000</v>
          </cell>
          <cell r="B162" t="str">
            <v>DM</v>
          </cell>
          <cell r="C162">
            <v>590</v>
          </cell>
          <cell r="D162" t="str">
            <v>Maintenance Superv &amp; Engineering</v>
          </cell>
          <cell r="E162">
            <v>1773399</v>
          </cell>
          <cell r="F162">
            <v>139716</v>
          </cell>
          <cell r="G162">
            <v>150455</v>
          </cell>
          <cell r="H162">
            <v>128658</v>
          </cell>
          <cell r="I162">
            <v>158720</v>
          </cell>
          <cell r="J162">
            <v>148029</v>
          </cell>
          <cell r="K162">
            <v>147199</v>
          </cell>
          <cell r="L162">
            <v>137229</v>
          </cell>
          <cell r="M162">
            <v>143045</v>
          </cell>
          <cell r="N162">
            <v>149426</v>
          </cell>
          <cell r="O162">
            <v>160436</v>
          </cell>
          <cell r="P162">
            <v>158654</v>
          </cell>
          <cell r="Q162">
            <v>151832</v>
          </cell>
        </row>
        <row r="163">
          <cell r="A163">
            <v>591000</v>
          </cell>
          <cell r="B163" t="str">
            <v>DM</v>
          </cell>
          <cell r="C163">
            <v>591</v>
          </cell>
          <cell r="D163" t="str">
            <v>Maintenance of Structures</v>
          </cell>
          <cell r="E163">
            <v>442242</v>
          </cell>
          <cell r="F163">
            <v>15968</v>
          </cell>
          <cell r="G163">
            <v>39854</v>
          </cell>
          <cell r="H163">
            <v>36196</v>
          </cell>
          <cell r="I163">
            <v>26138</v>
          </cell>
          <cell r="J163">
            <v>25558</v>
          </cell>
          <cell r="K163">
            <v>49681</v>
          </cell>
          <cell r="L163">
            <v>48954</v>
          </cell>
          <cell r="M163">
            <v>48299</v>
          </cell>
          <cell r="N163">
            <v>49998</v>
          </cell>
          <cell r="O163">
            <v>51375</v>
          </cell>
          <cell r="P163">
            <v>24898</v>
          </cell>
          <cell r="Q163">
            <v>25323</v>
          </cell>
        </row>
        <row r="164">
          <cell r="A164">
            <v>592000</v>
          </cell>
          <cell r="B164" t="str">
            <v>DM</v>
          </cell>
          <cell r="C164">
            <v>592</v>
          </cell>
          <cell r="D164" t="str">
            <v>Maintenance of Station Equipme</v>
          </cell>
          <cell r="E164">
            <v>2474567</v>
          </cell>
          <cell r="F164">
            <v>151239</v>
          </cell>
          <cell r="G164">
            <v>244684</v>
          </cell>
          <cell r="H164">
            <v>151177</v>
          </cell>
          <cell r="I164">
            <v>222869</v>
          </cell>
          <cell r="J164">
            <v>330386</v>
          </cell>
          <cell r="K164">
            <v>180568</v>
          </cell>
          <cell r="L164">
            <v>190112</v>
          </cell>
          <cell r="M164">
            <v>144474</v>
          </cell>
          <cell r="N164">
            <v>199743</v>
          </cell>
          <cell r="O164">
            <v>233745</v>
          </cell>
          <cell r="P164">
            <v>189524</v>
          </cell>
          <cell r="Q164">
            <v>236046</v>
          </cell>
        </row>
        <row r="165">
          <cell r="A165">
            <v>593000</v>
          </cell>
          <cell r="B165" t="str">
            <v>DM</v>
          </cell>
          <cell r="C165">
            <v>593</v>
          </cell>
          <cell r="D165" t="str">
            <v>Maintenance of Overhead Lines</v>
          </cell>
          <cell r="E165">
            <v>21709094</v>
          </cell>
          <cell r="F165">
            <v>1350842</v>
          </cell>
          <cell r="G165">
            <v>1429027</v>
          </cell>
          <cell r="H165">
            <v>2379799</v>
          </cell>
          <cell r="I165">
            <v>1753653</v>
          </cell>
          <cell r="J165">
            <v>1780390</v>
          </cell>
          <cell r="K165">
            <v>1935836</v>
          </cell>
          <cell r="L165">
            <v>1651779</v>
          </cell>
          <cell r="M165">
            <v>2001151</v>
          </cell>
          <cell r="N165">
            <v>1872189</v>
          </cell>
          <cell r="O165">
            <v>2147360</v>
          </cell>
          <cell r="P165">
            <v>1737746</v>
          </cell>
          <cell r="Q165">
            <v>1669322</v>
          </cell>
        </row>
        <row r="166">
          <cell r="A166">
            <v>594000</v>
          </cell>
          <cell r="B166" t="str">
            <v>DM</v>
          </cell>
          <cell r="C166">
            <v>594</v>
          </cell>
          <cell r="D166" t="str">
            <v>Maintenance of Underground Lines</v>
          </cell>
          <cell r="E166">
            <v>3188432</v>
          </cell>
          <cell r="F166">
            <v>156191</v>
          </cell>
          <cell r="G166">
            <v>413687</v>
          </cell>
          <cell r="H166">
            <v>313873</v>
          </cell>
          <cell r="I166">
            <v>191852</v>
          </cell>
          <cell r="J166">
            <v>209203</v>
          </cell>
          <cell r="K166">
            <v>336631</v>
          </cell>
          <cell r="L166">
            <v>213747</v>
          </cell>
          <cell r="M166">
            <v>337978</v>
          </cell>
          <cell r="N166">
            <v>280147</v>
          </cell>
          <cell r="O166">
            <v>325020</v>
          </cell>
          <cell r="P166">
            <v>255231</v>
          </cell>
          <cell r="Q166">
            <v>154872</v>
          </cell>
        </row>
        <row r="167">
          <cell r="A167">
            <v>595000</v>
          </cell>
          <cell r="B167" t="str">
            <v>DM</v>
          </cell>
          <cell r="C167">
            <v>595</v>
          </cell>
          <cell r="D167" t="str">
            <v>Maintenance of Line Transformers</v>
          </cell>
          <cell r="E167">
            <v>819933</v>
          </cell>
          <cell r="F167">
            <v>38863</v>
          </cell>
          <cell r="G167">
            <v>79127</v>
          </cell>
          <cell r="H167">
            <v>20296</v>
          </cell>
          <cell r="I167">
            <v>77070</v>
          </cell>
          <cell r="J167">
            <v>78320</v>
          </cell>
          <cell r="K167">
            <v>80532</v>
          </cell>
          <cell r="L167">
            <v>64000</v>
          </cell>
          <cell r="M167">
            <v>91758</v>
          </cell>
          <cell r="N167">
            <v>73263</v>
          </cell>
          <cell r="O167">
            <v>76711</v>
          </cell>
          <cell r="P167">
            <v>70221</v>
          </cell>
          <cell r="Q167">
            <v>69772</v>
          </cell>
        </row>
        <row r="168">
          <cell r="A168">
            <v>596000</v>
          </cell>
          <cell r="B168" t="str">
            <v>DM</v>
          </cell>
          <cell r="C168">
            <v>596</v>
          </cell>
          <cell r="D168" t="str">
            <v>Maint of Street Lighting &amp; Signals</v>
          </cell>
          <cell r="E168">
            <v>423755</v>
          </cell>
          <cell r="F168">
            <v>36555</v>
          </cell>
          <cell r="G168">
            <v>38032</v>
          </cell>
          <cell r="H168">
            <v>29667</v>
          </cell>
          <cell r="I168">
            <v>33543</v>
          </cell>
          <cell r="J168">
            <v>35729</v>
          </cell>
          <cell r="K168">
            <v>40450</v>
          </cell>
          <cell r="L168">
            <v>26925</v>
          </cell>
          <cell r="M168">
            <v>47398</v>
          </cell>
          <cell r="N168">
            <v>33582</v>
          </cell>
          <cell r="O168">
            <v>41436</v>
          </cell>
          <cell r="P168">
            <v>33054</v>
          </cell>
          <cell r="Q168">
            <v>27384</v>
          </cell>
        </row>
        <row r="169">
          <cell r="A169">
            <v>597000</v>
          </cell>
          <cell r="B169" t="str">
            <v>DM</v>
          </cell>
          <cell r="C169">
            <v>597</v>
          </cell>
          <cell r="D169" t="str">
            <v>Maintenance of Meters</v>
          </cell>
          <cell r="E169">
            <v>772984</v>
          </cell>
          <cell r="F169">
            <v>37024</v>
          </cell>
          <cell r="G169">
            <v>66441</v>
          </cell>
          <cell r="H169">
            <v>51814</v>
          </cell>
          <cell r="I169">
            <v>68278</v>
          </cell>
          <cell r="J169">
            <v>68399</v>
          </cell>
          <cell r="K169">
            <v>70018</v>
          </cell>
          <cell r="L169">
            <v>66933</v>
          </cell>
          <cell r="M169">
            <v>70018</v>
          </cell>
          <cell r="N169">
            <v>68399</v>
          </cell>
          <cell r="O169">
            <v>66933</v>
          </cell>
          <cell r="P169">
            <v>71794</v>
          </cell>
          <cell r="Q169">
            <v>66933</v>
          </cell>
        </row>
        <row r="170">
          <cell r="A170">
            <v>598000</v>
          </cell>
          <cell r="B170" t="str">
            <v>DM</v>
          </cell>
          <cell r="C170">
            <v>598</v>
          </cell>
          <cell r="D170" t="str">
            <v>Maint of Misc Distribution Plant</v>
          </cell>
          <cell r="E170">
            <v>511424</v>
          </cell>
          <cell r="F170">
            <v>1442</v>
          </cell>
          <cell r="G170">
            <v>5321</v>
          </cell>
          <cell r="H170">
            <v>3516</v>
          </cell>
          <cell r="I170">
            <v>41620</v>
          </cell>
          <cell r="J170">
            <v>53256</v>
          </cell>
          <cell r="K170">
            <v>109708</v>
          </cell>
          <cell r="L170">
            <v>47446</v>
          </cell>
          <cell r="M170">
            <v>61935</v>
          </cell>
          <cell r="N170">
            <v>38416</v>
          </cell>
          <cell r="O170">
            <v>52233</v>
          </cell>
          <cell r="P170">
            <v>55597</v>
          </cell>
          <cell r="Q170">
            <v>40934</v>
          </cell>
        </row>
        <row r="171">
          <cell r="A171">
            <v>901000</v>
          </cell>
          <cell r="B171" t="str">
            <v>AGO</v>
          </cell>
          <cell r="C171">
            <v>901</v>
          </cell>
          <cell r="D171" t="str">
            <v>Billing &amp; Collections Supevision -Electric</v>
          </cell>
          <cell r="E171">
            <v>63437</v>
          </cell>
          <cell r="F171">
            <v>8893</v>
          </cell>
          <cell r="G171">
            <v>6950</v>
          </cell>
          <cell r="H171">
            <v>7364</v>
          </cell>
          <cell r="I171">
            <v>4619</v>
          </cell>
          <cell r="J171">
            <v>4539</v>
          </cell>
          <cell r="K171">
            <v>4441</v>
          </cell>
          <cell r="L171">
            <v>4299</v>
          </cell>
          <cell r="M171">
            <v>4246</v>
          </cell>
          <cell r="N171">
            <v>4460</v>
          </cell>
          <cell r="O171">
            <v>4642</v>
          </cell>
          <cell r="P171">
            <v>4507</v>
          </cell>
          <cell r="Q171">
            <v>4477</v>
          </cell>
        </row>
        <row r="172">
          <cell r="A172">
            <v>902000</v>
          </cell>
          <cell r="B172" t="str">
            <v>AGO</v>
          </cell>
          <cell r="C172">
            <v>902</v>
          </cell>
          <cell r="D172" t="str">
            <v>Billing &amp; Collections Meter Reading - Elec</v>
          </cell>
          <cell r="E172">
            <v>5394428</v>
          </cell>
          <cell r="F172">
            <v>445435</v>
          </cell>
          <cell r="G172">
            <v>265029</v>
          </cell>
          <cell r="H172">
            <v>459477</v>
          </cell>
          <cell r="I172">
            <v>513467</v>
          </cell>
          <cell r="J172">
            <v>465605</v>
          </cell>
          <cell r="K172">
            <v>453284</v>
          </cell>
          <cell r="L172">
            <v>471394</v>
          </cell>
          <cell r="M172">
            <v>426785</v>
          </cell>
          <cell r="N172">
            <v>455722</v>
          </cell>
          <cell r="O172">
            <v>514851</v>
          </cell>
          <cell r="P172">
            <v>461741</v>
          </cell>
          <cell r="Q172">
            <v>461638</v>
          </cell>
        </row>
        <row r="173">
          <cell r="A173">
            <v>903000</v>
          </cell>
          <cell r="B173" t="str">
            <v>AGO</v>
          </cell>
          <cell r="C173">
            <v>903</v>
          </cell>
          <cell r="D173" t="str">
            <v>Marketing Operations - Electric</v>
          </cell>
          <cell r="E173">
            <v>16360035</v>
          </cell>
          <cell r="F173">
            <v>1177407</v>
          </cell>
          <cell r="G173">
            <v>1353491</v>
          </cell>
          <cell r="H173">
            <v>1437882</v>
          </cell>
          <cell r="I173">
            <v>1409586</v>
          </cell>
          <cell r="J173">
            <v>1388114</v>
          </cell>
          <cell r="K173">
            <v>1386127</v>
          </cell>
          <cell r="L173">
            <v>1302224</v>
          </cell>
          <cell r="M173">
            <v>1314356</v>
          </cell>
          <cell r="N173">
            <v>1360651</v>
          </cell>
          <cell r="O173">
            <v>1411102</v>
          </cell>
          <cell r="P173">
            <v>1412365</v>
          </cell>
          <cell r="Q173">
            <v>1406730</v>
          </cell>
        </row>
        <row r="174">
          <cell r="A174">
            <v>904000</v>
          </cell>
          <cell r="B174" t="str">
            <v>AGO</v>
          </cell>
          <cell r="C174">
            <v>904</v>
          </cell>
          <cell r="D174" t="str">
            <v>Cust Acctg Uncol Acts Prv -Elec</v>
          </cell>
          <cell r="E174">
            <v>142372</v>
          </cell>
          <cell r="F174">
            <v>129</v>
          </cell>
          <cell r="G174">
            <v>15151</v>
          </cell>
          <cell r="H174">
            <v>127092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904002</v>
          </cell>
          <cell r="B175" t="str">
            <v>AGO</v>
          </cell>
          <cell r="C175">
            <v>904</v>
          </cell>
          <cell r="D175" t="str">
            <v>Loss on Sale of A/R Elec</v>
          </cell>
          <cell r="E175">
            <v>19789802</v>
          </cell>
          <cell r="F175">
            <v>2284283</v>
          </cell>
          <cell r="G175">
            <v>1923647</v>
          </cell>
          <cell r="H175">
            <v>1749316</v>
          </cell>
          <cell r="I175">
            <v>1271252</v>
          </cell>
          <cell r="J175">
            <v>1263416</v>
          </cell>
          <cell r="K175">
            <v>1485697</v>
          </cell>
          <cell r="L175">
            <v>1671337</v>
          </cell>
          <cell r="M175">
            <v>1653590</v>
          </cell>
          <cell r="N175">
            <v>1364659</v>
          </cell>
          <cell r="O175">
            <v>1437521</v>
          </cell>
          <cell r="P175">
            <v>1703353</v>
          </cell>
          <cell r="Q175">
            <v>1981731</v>
          </cell>
        </row>
        <row r="176">
          <cell r="A176">
            <v>905000</v>
          </cell>
          <cell r="B176" t="str">
            <v>AGO</v>
          </cell>
          <cell r="C176">
            <v>905</v>
          </cell>
          <cell r="D176" t="str">
            <v>Cust Relations Billing &amp; Coll -Elec</v>
          </cell>
          <cell r="E176">
            <v>46</v>
          </cell>
          <cell r="F176">
            <v>30</v>
          </cell>
          <cell r="G176">
            <v>0</v>
          </cell>
          <cell r="H176">
            <v>16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908000</v>
          </cell>
          <cell r="B177" t="str">
            <v>AGO</v>
          </cell>
          <cell r="C177">
            <v>908</v>
          </cell>
          <cell r="D177" t="str">
            <v>Corporate Planning - Electric</v>
          </cell>
          <cell r="E177">
            <v>2377965</v>
          </cell>
          <cell r="F177">
            <v>33785</v>
          </cell>
          <cell r="G177">
            <v>122149</v>
          </cell>
          <cell r="H177">
            <v>164267</v>
          </cell>
          <cell r="I177">
            <v>215391</v>
          </cell>
          <cell r="J177">
            <v>242987</v>
          </cell>
          <cell r="K177">
            <v>251594</v>
          </cell>
          <cell r="L177">
            <v>178459</v>
          </cell>
          <cell r="M177">
            <v>268420</v>
          </cell>
          <cell r="N177">
            <v>193824</v>
          </cell>
          <cell r="O177">
            <v>449926</v>
          </cell>
          <cell r="P177">
            <v>165838</v>
          </cell>
          <cell r="Q177">
            <v>91325</v>
          </cell>
        </row>
        <row r="178">
          <cell r="A178">
            <v>909000</v>
          </cell>
          <cell r="B178" t="str">
            <v>AGO</v>
          </cell>
          <cell r="C178">
            <v>909</v>
          </cell>
          <cell r="D178" t="str">
            <v>Info. &amp; Instructional Advertising Exp.</v>
          </cell>
          <cell r="E178">
            <v>3393</v>
          </cell>
          <cell r="F178">
            <v>3393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910000</v>
          </cell>
          <cell r="B179" t="str">
            <v>AGO</v>
          </cell>
          <cell r="C179">
            <v>910</v>
          </cell>
          <cell r="D179" t="str">
            <v>Misc Cust Serv and Info - Elec</v>
          </cell>
          <cell r="E179">
            <v>4436687</v>
          </cell>
          <cell r="F179">
            <v>275957</v>
          </cell>
          <cell r="G179">
            <v>281822</v>
          </cell>
          <cell r="H179">
            <v>100720</v>
          </cell>
          <cell r="I179">
            <v>433076</v>
          </cell>
          <cell r="J179">
            <v>421331</v>
          </cell>
          <cell r="K179">
            <v>379546</v>
          </cell>
          <cell r="L179">
            <v>412777</v>
          </cell>
          <cell r="M179">
            <v>371857</v>
          </cell>
          <cell r="N179">
            <v>428911</v>
          </cell>
          <cell r="O179">
            <v>449112</v>
          </cell>
          <cell r="P179">
            <v>477565</v>
          </cell>
          <cell r="Q179">
            <v>404013</v>
          </cell>
        </row>
        <row r="180">
          <cell r="A180">
            <v>911000</v>
          </cell>
          <cell r="B180" t="str">
            <v>AGO</v>
          </cell>
          <cell r="C180">
            <v>911</v>
          </cell>
          <cell r="D180" t="str">
            <v>Marketing Operations - Electric</v>
          </cell>
          <cell r="E180">
            <v>849</v>
          </cell>
          <cell r="F180">
            <v>47</v>
          </cell>
          <cell r="G180">
            <v>847</v>
          </cell>
          <cell r="H180">
            <v>-45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912000</v>
          </cell>
          <cell r="B181" t="str">
            <v>AGO</v>
          </cell>
          <cell r="C181">
            <v>912</v>
          </cell>
          <cell r="D181" t="str">
            <v>Energy Marketing - Electric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913000</v>
          </cell>
          <cell r="B182" t="str">
            <v>AGO</v>
          </cell>
          <cell r="C182">
            <v>913</v>
          </cell>
          <cell r="D182" t="str">
            <v>Advertising Expenses - Electric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916000</v>
          </cell>
          <cell r="B183" t="str">
            <v>AGO</v>
          </cell>
          <cell r="C183">
            <v>916</v>
          </cell>
          <cell r="D183" t="str">
            <v>Miscellaneous Sales Exps - Electric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920000</v>
          </cell>
          <cell r="B184" t="str">
            <v>AGO</v>
          </cell>
          <cell r="C184">
            <v>920</v>
          </cell>
          <cell r="D184" t="str">
            <v>Admin &amp; General Labor - Electric</v>
          </cell>
          <cell r="E184">
            <v>23411831</v>
          </cell>
          <cell r="F184">
            <v>1820562</v>
          </cell>
          <cell r="G184">
            <v>2019634</v>
          </cell>
          <cell r="H184">
            <v>2224103</v>
          </cell>
          <cell r="I184">
            <v>1896993</v>
          </cell>
          <cell r="J184">
            <v>1868078</v>
          </cell>
          <cell r="K184">
            <v>1873992</v>
          </cell>
          <cell r="L184">
            <v>1903808</v>
          </cell>
          <cell r="M184">
            <v>1891796</v>
          </cell>
          <cell r="N184">
            <v>1879804</v>
          </cell>
          <cell r="O184">
            <v>1902452</v>
          </cell>
          <cell r="P184">
            <v>1875611</v>
          </cell>
          <cell r="Q184">
            <v>2254998</v>
          </cell>
        </row>
        <row r="185">
          <cell r="A185">
            <v>921000</v>
          </cell>
          <cell r="B185" t="str">
            <v>AGO</v>
          </cell>
          <cell r="C185">
            <v>921</v>
          </cell>
          <cell r="D185" t="str">
            <v>A &amp; G Office Supp &amp; Exp -Elec</v>
          </cell>
          <cell r="E185">
            <v>9770238</v>
          </cell>
          <cell r="F185">
            <v>1032072</v>
          </cell>
          <cell r="G185">
            <v>852930</v>
          </cell>
          <cell r="H185">
            <v>1060026</v>
          </cell>
          <cell r="I185">
            <v>687538</v>
          </cell>
          <cell r="J185">
            <v>653808</v>
          </cell>
          <cell r="K185">
            <v>1061457</v>
          </cell>
          <cell r="L185">
            <v>728926</v>
          </cell>
          <cell r="M185">
            <v>633196</v>
          </cell>
          <cell r="N185">
            <v>894352</v>
          </cell>
          <cell r="O185">
            <v>666156</v>
          </cell>
          <cell r="P185">
            <v>618141</v>
          </cell>
          <cell r="Q185">
            <v>881636</v>
          </cell>
        </row>
        <row r="186">
          <cell r="A186">
            <v>921100</v>
          </cell>
          <cell r="B186" t="str">
            <v>AGO</v>
          </cell>
          <cell r="C186">
            <v>921</v>
          </cell>
          <cell r="D186" t="str">
            <v>A &amp; G Operation Expenses</v>
          </cell>
          <cell r="E186">
            <v>1280473</v>
          </cell>
          <cell r="F186">
            <v>-15687</v>
          </cell>
          <cell r="G186">
            <v>124089</v>
          </cell>
          <cell r="H186">
            <v>92776</v>
          </cell>
          <cell r="I186">
            <v>118148</v>
          </cell>
          <cell r="J186">
            <v>117396</v>
          </cell>
          <cell r="K186">
            <v>123303</v>
          </cell>
          <cell r="L186">
            <v>118421</v>
          </cell>
          <cell r="M186">
            <v>118713</v>
          </cell>
          <cell r="N186">
            <v>122637</v>
          </cell>
          <cell r="O186">
            <v>118068</v>
          </cell>
          <cell r="P186">
            <v>120826</v>
          </cell>
          <cell r="Q186">
            <v>121783</v>
          </cell>
        </row>
        <row r="187">
          <cell r="A187">
            <v>921110</v>
          </cell>
          <cell r="B187" t="str">
            <v>AGO</v>
          </cell>
          <cell r="C187">
            <v>921</v>
          </cell>
          <cell r="D187" t="str">
            <v>Relocation Expenses</v>
          </cell>
          <cell r="E187">
            <v>89577</v>
          </cell>
          <cell r="F187">
            <v>0</v>
          </cell>
          <cell r="G187">
            <v>0</v>
          </cell>
          <cell r="H187">
            <v>0</v>
          </cell>
          <cell r="I187">
            <v>9953</v>
          </cell>
          <cell r="J187">
            <v>9953</v>
          </cell>
          <cell r="K187">
            <v>9953</v>
          </cell>
          <cell r="L187">
            <v>9953</v>
          </cell>
          <cell r="M187">
            <v>9953</v>
          </cell>
          <cell r="N187">
            <v>9953</v>
          </cell>
          <cell r="O187">
            <v>9953</v>
          </cell>
          <cell r="P187">
            <v>9953</v>
          </cell>
          <cell r="Q187">
            <v>9953</v>
          </cell>
        </row>
        <row r="188">
          <cell r="A188">
            <v>922000</v>
          </cell>
          <cell r="B188" t="str">
            <v>AGO</v>
          </cell>
          <cell r="C188">
            <v>922</v>
          </cell>
          <cell r="D188" t="str">
            <v>Duplicate Charges Credit - Electric</v>
          </cell>
          <cell r="E188">
            <v>-215178</v>
          </cell>
          <cell r="F188">
            <v>3</v>
          </cell>
          <cell r="G188">
            <v>3</v>
          </cell>
          <cell r="H188">
            <v>-215184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923000</v>
          </cell>
          <cell r="B189" t="str">
            <v>AGO</v>
          </cell>
          <cell r="C189">
            <v>923</v>
          </cell>
          <cell r="D189" t="str">
            <v>Special Services - Electric</v>
          </cell>
          <cell r="E189">
            <v>16195668</v>
          </cell>
          <cell r="F189">
            <v>593910</v>
          </cell>
          <cell r="G189">
            <v>824120</v>
          </cell>
          <cell r="H189">
            <v>1800469</v>
          </cell>
          <cell r="I189">
            <v>1320900</v>
          </cell>
          <cell r="J189">
            <v>1299351</v>
          </cell>
          <cell r="K189">
            <v>1625245</v>
          </cell>
          <cell r="L189">
            <v>1316138</v>
          </cell>
          <cell r="M189">
            <v>1430902</v>
          </cell>
          <cell r="N189">
            <v>1592715</v>
          </cell>
          <cell r="O189">
            <v>1292584</v>
          </cell>
          <cell r="P189">
            <v>1304152</v>
          </cell>
          <cell r="Q189">
            <v>1795182</v>
          </cell>
        </row>
        <row r="190">
          <cell r="A190">
            <v>924000</v>
          </cell>
          <cell r="B190" t="str">
            <v>AGO</v>
          </cell>
          <cell r="C190">
            <v>924</v>
          </cell>
          <cell r="D190" t="str">
            <v>Property Insurance - Pub Liability</v>
          </cell>
          <cell r="E190">
            <v>691335</v>
          </cell>
          <cell r="F190">
            <v>33390</v>
          </cell>
          <cell r="G190">
            <v>69330</v>
          </cell>
          <cell r="H190">
            <v>51360</v>
          </cell>
          <cell r="I190">
            <v>59695</v>
          </cell>
          <cell r="J190">
            <v>59695</v>
          </cell>
          <cell r="K190">
            <v>59695</v>
          </cell>
          <cell r="L190">
            <v>59695</v>
          </cell>
          <cell r="M190">
            <v>59695</v>
          </cell>
          <cell r="N190">
            <v>59695</v>
          </cell>
          <cell r="O190">
            <v>59695</v>
          </cell>
          <cell r="P190">
            <v>59695</v>
          </cell>
          <cell r="Q190">
            <v>59695</v>
          </cell>
        </row>
        <row r="191">
          <cell r="A191">
            <v>924503</v>
          </cell>
          <cell r="B191" t="str">
            <v>AGO</v>
          </cell>
          <cell r="C191">
            <v>924</v>
          </cell>
          <cell r="D191" t="str">
            <v>Property Insurance - Dena I/C</v>
          </cell>
          <cell r="E191">
            <v>51118</v>
          </cell>
          <cell r="F191">
            <v>519639</v>
          </cell>
          <cell r="G191">
            <v>-482094</v>
          </cell>
          <cell r="H191">
            <v>13573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925000</v>
          </cell>
          <cell r="B192" t="str">
            <v>AGO</v>
          </cell>
          <cell r="C192">
            <v>925</v>
          </cell>
          <cell r="D192" t="str">
            <v>Injuries &amp; Damages - Electric</v>
          </cell>
          <cell r="E192">
            <v>1436245</v>
          </cell>
          <cell r="F192">
            <v>159260</v>
          </cell>
          <cell r="G192">
            <v>35402</v>
          </cell>
          <cell r="H192">
            <v>99452</v>
          </cell>
          <cell r="I192">
            <v>126903</v>
          </cell>
          <cell r="J192">
            <v>126903</v>
          </cell>
          <cell r="K192">
            <v>126903</v>
          </cell>
          <cell r="L192">
            <v>126903</v>
          </cell>
          <cell r="M192">
            <v>126903</v>
          </cell>
          <cell r="N192">
            <v>126903</v>
          </cell>
          <cell r="O192">
            <v>126903</v>
          </cell>
          <cell r="P192">
            <v>126903</v>
          </cell>
          <cell r="Q192">
            <v>126907</v>
          </cell>
        </row>
        <row r="193">
          <cell r="A193">
            <v>925503</v>
          </cell>
          <cell r="B193" t="str">
            <v>AGO</v>
          </cell>
          <cell r="C193">
            <v>925</v>
          </cell>
          <cell r="D193" t="str">
            <v>I/C I&amp;D Insurance Amortization - Duke</v>
          </cell>
          <cell r="E193">
            <v>269739</v>
          </cell>
          <cell r="F193">
            <v>199410</v>
          </cell>
          <cell r="G193">
            <v>-19584</v>
          </cell>
          <cell r="H193">
            <v>89913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925990</v>
          </cell>
          <cell r="B194" t="str">
            <v>AGO</v>
          </cell>
          <cell r="C194">
            <v>925</v>
          </cell>
          <cell r="D194" t="str">
            <v>Genl Frng Benfts Frm PSI-Joint</v>
          </cell>
          <cell r="E194">
            <v>684</v>
          </cell>
          <cell r="F194">
            <v>63</v>
          </cell>
          <cell r="G194">
            <v>416</v>
          </cell>
          <cell r="H194">
            <v>205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926000</v>
          </cell>
          <cell r="B195" t="str">
            <v>AGO</v>
          </cell>
          <cell r="C195">
            <v>926</v>
          </cell>
          <cell r="D195" t="str">
            <v>Fringe Benefits - Electric</v>
          </cell>
          <cell r="E195">
            <v>5749227</v>
          </cell>
          <cell r="F195">
            <v>191633</v>
          </cell>
          <cell r="G195">
            <v>348936</v>
          </cell>
          <cell r="H195">
            <v>546242</v>
          </cell>
          <cell r="I195">
            <v>516623</v>
          </cell>
          <cell r="J195">
            <v>515619</v>
          </cell>
          <cell r="K195">
            <v>516275</v>
          </cell>
          <cell r="L195">
            <v>521517</v>
          </cell>
          <cell r="M195">
            <v>523543</v>
          </cell>
          <cell r="N195">
            <v>517759</v>
          </cell>
          <cell r="O195">
            <v>517453</v>
          </cell>
          <cell r="P195">
            <v>516108</v>
          </cell>
          <cell r="Q195">
            <v>517519</v>
          </cell>
        </row>
        <row r="196">
          <cell r="A196">
            <v>926110</v>
          </cell>
          <cell r="B196" t="str">
            <v>AGO</v>
          </cell>
          <cell r="C196">
            <v>926</v>
          </cell>
          <cell r="D196" t="str">
            <v>Employee Fringe Benefits Loadings</v>
          </cell>
          <cell r="E196">
            <v>16236774</v>
          </cell>
          <cell r="F196">
            <v>1026229</v>
          </cell>
          <cell r="G196">
            <v>1446009</v>
          </cell>
          <cell r="H196">
            <v>1243100</v>
          </cell>
          <cell r="I196">
            <v>1453869</v>
          </cell>
          <cell r="J196">
            <v>1469592</v>
          </cell>
          <cell r="K196">
            <v>1439977</v>
          </cell>
          <cell r="L196">
            <v>1199129</v>
          </cell>
          <cell r="M196">
            <v>1522947</v>
          </cell>
          <cell r="N196">
            <v>1342678</v>
          </cell>
          <cell r="O196">
            <v>1386183</v>
          </cell>
          <cell r="P196">
            <v>1360829</v>
          </cell>
          <cell r="Q196">
            <v>1346232</v>
          </cell>
        </row>
        <row r="197">
          <cell r="A197">
            <v>928000</v>
          </cell>
          <cell r="B197" t="str">
            <v>AGO</v>
          </cell>
          <cell r="C197">
            <v>928</v>
          </cell>
          <cell r="D197" t="str">
            <v>State Reg Comm Proceeding -Electric</v>
          </cell>
          <cell r="E197">
            <v>1345404</v>
          </cell>
          <cell r="F197">
            <v>100291</v>
          </cell>
          <cell r="G197">
            <v>100291</v>
          </cell>
          <cell r="H197">
            <v>100291</v>
          </cell>
          <cell r="I197">
            <v>116059</v>
          </cell>
          <cell r="J197">
            <v>116059</v>
          </cell>
          <cell r="K197">
            <v>116059</v>
          </cell>
          <cell r="L197">
            <v>116059</v>
          </cell>
          <cell r="M197">
            <v>116059</v>
          </cell>
          <cell r="N197">
            <v>116059</v>
          </cell>
          <cell r="O197">
            <v>116059</v>
          </cell>
          <cell r="P197">
            <v>116059</v>
          </cell>
          <cell r="Q197">
            <v>116059</v>
          </cell>
        </row>
        <row r="198">
          <cell r="A198">
            <v>928020</v>
          </cell>
          <cell r="B198" t="str">
            <v>AGO</v>
          </cell>
          <cell r="C198">
            <v>928</v>
          </cell>
          <cell r="D198" t="str">
            <v>Fed Energy Reg Com Proceed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929010</v>
          </cell>
          <cell r="B199" t="str">
            <v>AGO</v>
          </cell>
          <cell r="C199">
            <v>929</v>
          </cell>
          <cell r="D199" t="str">
            <v>Service Used Own Dept Cr - Electric</v>
          </cell>
          <cell r="E199">
            <v>-804054</v>
          </cell>
          <cell r="F199">
            <v>-104640</v>
          </cell>
          <cell r="G199">
            <v>-88608</v>
          </cell>
          <cell r="H199">
            <v>-133261</v>
          </cell>
          <cell r="I199">
            <v>-46072</v>
          </cell>
          <cell r="J199">
            <v>-48476</v>
          </cell>
          <cell r="K199">
            <v>-48075</v>
          </cell>
          <cell r="L199">
            <v>-53283</v>
          </cell>
          <cell r="M199">
            <v>-52482</v>
          </cell>
          <cell r="N199">
            <v>-53283</v>
          </cell>
          <cell r="O199">
            <v>-50078</v>
          </cell>
          <cell r="P199">
            <v>-53684</v>
          </cell>
          <cell r="Q199">
            <v>-72112</v>
          </cell>
        </row>
        <row r="200">
          <cell r="A200">
            <v>929030</v>
          </cell>
          <cell r="B200" t="str">
            <v>AGO</v>
          </cell>
          <cell r="C200">
            <v>929</v>
          </cell>
          <cell r="D200" t="str">
            <v>Jobbing Overheads - Electric</v>
          </cell>
          <cell r="E200">
            <v>-1146</v>
          </cell>
          <cell r="F200">
            <v>-501</v>
          </cell>
          <cell r="G200">
            <v>-86</v>
          </cell>
          <cell r="H200">
            <v>-559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930000</v>
          </cell>
          <cell r="B201" t="str">
            <v>AGO</v>
          </cell>
          <cell r="C201">
            <v>930</v>
          </cell>
          <cell r="D201" t="str">
            <v>General &amp; Misc Media - Electric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930202</v>
          </cell>
          <cell r="B202" t="str">
            <v>AGO</v>
          </cell>
          <cell r="C202">
            <v>930</v>
          </cell>
          <cell r="D202" t="str">
            <v>General Misc - Electric</v>
          </cell>
          <cell r="E202">
            <v>2124080</v>
          </cell>
          <cell r="F202">
            <v>344784</v>
          </cell>
          <cell r="G202">
            <v>111380</v>
          </cell>
          <cell r="H202">
            <v>297040</v>
          </cell>
          <cell r="I202">
            <v>176617</v>
          </cell>
          <cell r="J202">
            <v>205884</v>
          </cell>
          <cell r="K202">
            <v>174066</v>
          </cell>
          <cell r="L202">
            <v>161246</v>
          </cell>
          <cell r="M202">
            <v>126440</v>
          </cell>
          <cell r="N202">
            <v>122182</v>
          </cell>
          <cell r="O202">
            <v>160032</v>
          </cell>
          <cell r="P202">
            <v>122177</v>
          </cell>
          <cell r="Q202">
            <v>122232</v>
          </cell>
        </row>
        <row r="203">
          <cell r="A203">
            <v>931000</v>
          </cell>
          <cell r="B203" t="str">
            <v>AGO</v>
          </cell>
          <cell r="C203">
            <v>931</v>
          </cell>
          <cell r="D203" t="str">
            <v>Rents - Electric</v>
          </cell>
          <cell r="E203">
            <v>8719709</v>
          </cell>
          <cell r="F203">
            <v>734547</v>
          </cell>
          <cell r="G203">
            <v>712479</v>
          </cell>
          <cell r="H203">
            <v>766192</v>
          </cell>
          <cell r="I203">
            <v>729938</v>
          </cell>
          <cell r="J203">
            <v>721177</v>
          </cell>
          <cell r="K203">
            <v>721293</v>
          </cell>
          <cell r="L203">
            <v>723222</v>
          </cell>
          <cell r="M203">
            <v>721277</v>
          </cell>
          <cell r="N203">
            <v>721209</v>
          </cell>
          <cell r="O203">
            <v>726005</v>
          </cell>
          <cell r="P203">
            <v>721164</v>
          </cell>
          <cell r="Q203">
            <v>721206</v>
          </cell>
        </row>
        <row r="204">
          <cell r="A204">
            <v>935000</v>
          </cell>
          <cell r="B204" t="str">
            <v>AGM</v>
          </cell>
          <cell r="C204">
            <v>935</v>
          </cell>
          <cell r="D204" t="str">
            <v>Maint of General Plant - Elect</v>
          </cell>
          <cell r="E204">
            <v>1843106</v>
          </cell>
          <cell r="F204">
            <v>184906</v>
          </cell>
          <cell r="G204">
            <v>238264</v>
          </cell>
          <cell r="H204">
            <v>248923</v>
          </cell>
          <cell r="I204">
            <v>117787</v>
          </cell>
          <cell r="J204">
            <v>118209</v>
          </cell>
          <cell r="K204">
            <v>222660</v>
          </cell>
          <cell r="L204">
            <v>118333</v>
          </cell>
          <cell r="M204">
            <v>117293</v>
          </cell>
          <cell r="N204">
            <v>117552</v>
          </cell>
          <cell r="O204">
            <v>123445</v>
          </cell>
          <cell r="P204">
            <v>118440</v>
          </cell>
          <cell r="Q204">
            <v>117294</v>
          </cell>
        </row>
      </sheetData>
      <sheetData sheetId="9">
        <row r="10">
          <cell r="A10" t="str">
            <v>Account</v>
          </cell>
          <cell r="B10" t="str">
            <v>Code</v>
          </cell>
          <cell r="C10" t="str">
            <v>FERC</v>
          </cell>
          <cell r="D10" t="str">
            <v>Description</v>
          </cell>
          <cell r="E10" t="str">
            <v>Total</v>
          </cell>
        </row>
        <row r="11">
          <cell r="A11">
            <v>580000</v>
          </cell>
          <cell r="B11" t="str">
            <v>DO</v>
          </cell>
          <cell r="C11">
            <v>580</v>
          </cell>
          <cell r="D11" t="str">
            <v>Ops Supv/Engr - Distr Sys</v>
          </cell>
          <cell r="E11">
            <v>1211179</v>
          </cell>
          <cell r="F11">
            <v>85049</v>
          </cell>
          <cell r="G11">
            <v>110920</v>
          </cell>
          <cell r="H11">
            <v>90601</v>
          </cell>
          <cell r="I11">
            <v>103693</v>
          </cell>
          <cell r="J11">
            <v>110412</v>
          </cell>
          <cell r="K11">
            <v>101708</v>
          </cell>
          <cell r="L11">
            <v>91309</v>
          </cell>
          <cell r="M11">
            <v>99334</v>
          </cell>
          <cell r="N11">
            <v>104479</v>
          </cell>
          <cell r="O11">
            <v>101941</v>
          </cell>
          <cell r="P11">
            <v>112675</v>
          </cell>
          <cell r="Q11">
            <v>99058</v>
          </cell>
        </row>
        <row r="12">
          <cell r="A12">
            <v>581000</v>
          </cell>
          <cell r="B12" t="str">
            <v>DO</v>
          </cell>
          <cell r="C12">
            <v>581</v>
          </cell>
          <cell r="D12" t="str">
            <v>Load Dispatch-Dist of Elec</v>
          </cell>
          <cell r="E12">
            <v>1550335</v>
          </cell>
          <cell r="F12">
            <v>109967</v>
          </cell>
          <cell r="G12">
            <v>122337</v>
          </cell>
          <cell r="H12">
            <v>97972</v>
          </cell>
          <cell r="I12">
            <v>135561</v>
          </cell>
          <cell r="J12">
            <v>135561</v>
          </cell>
          <cell r="K12">
            <v>135590</v>
          </cell>
          <cell r="L12">
            <v>135520</v>
          </cell>
          <cell r="M12">
            <v>135590</v>
          </cell>
          <cell r="N12">
            <v>135561</v>
          </cell>
          <cell r="O12">
            <v>135520</v>
          </cell>
          <cell r="P12">
            <v>135636</v>
          </cell>
          <cell r="Q12">
            <v>135520</v>
          </cell>
        </row>
        <row r="13">
          <cell r="A13">
            <v>582000</v>
          </cell>
          <cell r="B13" t="str">
            <v>DO</v>
          </cell>
          <cell r="C13">
            <v>582</v>
          </cell>
          <cell r="D13" t="str">
            <v>Station Exp-Distribution Sys</v>
          </cell>
          <cell r="E13">
            <v>1425753</v>
          </cell>
          <cell r="F13">
            <v>102017</v>
          </cell>
          <cell r="G13">
            <v>152263</v>
          </cell>
          <cell r="H13">
            <v>103645</v>
          </cell>
          <cell r="I13">
            <v>115980</v>
          </cell>
          <cell r="J13">
            <v>116078</v>
          </cell>
          <cell r="K13">
            <v>126867</v>
          </cell>
          <cell r="L13">
            <v>116569</v>
          </cell>
          <cell r="M13">
            <v>126909</v>
          </cell>
          <cell r="N13">
            <v>116010</v>
          </cell>
          <cell r="O13">
            <v>110969</v>
          </cell>
          <cell r="P13">
            <v>127457</v>
          </cell>
          <cell r="Q13">
            <v>110989</v>
          </cell>
        </row>
        <row r="14">
          <cell r="A14">
            <v>583000</v>
          </cell>
          <cell r="B14" t="str">
            <v>DO</v>
          </cell>
          <cell r="C14">
            <v>583</v>
          </cell>
          <cell r="D14" t="str">
            <v>Ovhd Line Exp-Distribution Sys</v>
          </cell>
          <cell r="E14">
            <v>1895856</v>
          </cell>
          <cell r="F14">
            <v>211367</v>
          </cell>
          <cell r="G14">
            <v>353315</v>
          </cell>
          <cell r="H14">
            <v>203393</v>
          </cell>
          <cell r="I14">
            <v>133539</v>
          </cell>
          <cell r="J14">
            <v>144243</v>
          </cell>
          <cell r="K14">
            <v>141555</v>
          </cell>
          <cell r="L14">
            <v>89304</v>
          </cell>
          <cell r="M14">
            <v>177222</v>
          </cell>
          <cell r="N14">
            <v>108107</v>
          </cell>
          <cell r="O14">
            <v>112033</v>
          </cell>
          <cell r="P14">
            <v>110199</v>
          </cell>
          <cell r="Q14">
            <v>111579</v>
          </cell>
        </row>
        <row r="15">
          <cell r="A15">
            <v>584000</v>
          </cell>
          <cell r="B15" t="str">
            <v>DO</v>
          </cell>
          <cell r="C15">
            <v>584</v>
          </cell>
          <cell r="D15" t="str">
            <v>UG Line Exp - Distribution Sys</v>
          </cell>
          <cell r="E15">
            <v>406772</v>
          </cell>
          <cell r="F15">
            <v>16418</v>
          </cell>
          <cell r="G15">
            <v>31247</v>
          </cell>
          <cell r="H15">
            <v>18053</v>
          </cell>
          <cell r="I15">
            <v>42425</v>
          </cell>
          <cell r="J15">
            <v>46887</v>
          </cell>
          <cell r="K15">
            <v>41910</v>
          </cell>
          <cell r="L15">
            <v>19360</v>
          </cell>
          <cell r="M15">
            <v>63915</v>
          </cell>
          <cell r="N15">
            <v>32723</v>
          </cell>
          <cell r="O15">
            <v>30104</v>
          </cell>
          <cell r="P15">
            <v>29566</v>
          </cell>
          <cell r="Q15">
            <v>34164</v>
          </cell>
        </row>
        <row r="16">
          <cell r="A16">
            <v>585000</v>
          </cell>
          <cell r="B16" t="str">
            <v>DO</v>
          </cell>
          <cell r="C16">
            <v>585</v>
          </cell>
          <cell r="D16" t="str">
            <v>Street Lighting/Signal System</v>
          </cell>
          <cell r="E16">
            <v>95043</v>
          </cell>
          <cell r="F16">
            <v>7520</v>
          </cell>
          <cell r="G16">
            <v>15157</v>
          </cell>
          <cell r="H16">
            <v>7977</v>
          </cell>
          <cell r="I16">
            <v>8129</v>
          </cell>
          <cell r="J16">
            <v>8532</v>
          </cell>
          <cell r="K16">
            <v>8622</v>
          </cell>
          <cell r="L16">
            <v>3817</v>
          </cell>
          <cell r="M16">
            <v>11498</v>
          </cell>
          <cell r="N16">
            <v>6368</v>
          </cell>
          <cell r="O16">
            <v>5997</v>
          </cell>
          <cell r="P16">
            <v>5611</v>
          </cell>
          <cell r="Q16">
            <v>5815</v>
          </cell>
        </row>
        <row r="17">
          <cell r="A17">
            <v>586000</v>
          </cell>
          <cell r="B17" t="str">
            <v>DO</v>
          </cell>
          <cell r="C17">
            <v>586</v>
          </cell>
          <cell r="D17" t="str">
            <v>Meter Expenses</v>
          </cell>
          <cell r="E17">
            <v>961014</v>
          </cell>
          <cell r="F17">
            <v>31251</v>
          </cell>
          <cell r="G17">
            <v>75950</v>
          </cell>
          <cell r="H17">
            <v>80383</v>
          </cell>
          <cell r="I17">
            <v>87082</v>
          </cell>
          <cell r="J17">
            <v>86811</v>
          </cell>
          <cell r="K17">
            <v>86466</v>
          </cell>
          <cell r="L17">
            <v>82714</v>
          </cell>
          <cell r="M17">
            <v>87208</v>
          </cell>
          <cell r="N17">
            <v>86056</v>
          </cell>
          <cell r="O17">
            <v>86232</v>
          </cell>
          <cell r="P17">
            <v>86040</v>
          </cell>
          <cell r="Q17">
            <v>84821</v>
          </cell>
        </row>
        <row r="18">
          <cell r="A18">
            <v>587000</v>
          </cell>
          <cell r="B18" t="str">
            <v>DO</v>
          </cell>
          <cell r="C18">
            <v>587</v>
          </cell>
          <cell r="D18" t="str">
            <v>Customer Installations Expense</v>
          </cell>
          <cell r="E18">
            <v>1815426</v>
          </cell>
          <cell r="F18">
            <v>135376</v>
          </cell>
          <cell r="G18">
            <v>213736</v>
          </cell>
          <cell r="H18">
            <v>133813</v>
          </cell>
          <cell r="I18">
            <v>151218</v>
          </cell>
          <cell r="J18">
            <v>149337</v>
          </cell>
          <cell r="K18">
            <v>148958</v>
          </cell>
          <cell r="L18">
            <v>129834</v>
          </cell>
          <cell r="M18">
            <v>153529</v>
          </cell>
          <cell r="N18">
            <v>145039</v>
          </cell>
          <cell r="O18">
            <v>157090</v>
          </cell>
          <cell r="P18">
            <v>152885</v>
          </cell>
          <cell r="Q18">
            <v>144611</v>
          </cell>
        </row>
        <row r="19">
          <cell r="A19">
            <v>588000</v>
          </cell>
          <cell r="B19" t="str">
            <v>DO</v>
          </cell>
          <cell r="C19">
            <v>588</v>
          </cell>
          <cell r="D19" t="str">
            <v>Miscellaneous Distribution Exp</v>
          </cell>
          <cell r="E19">
            <v>1851850</v>
          </cell>
          <cell r="F19">
            <v>117848</v>
          </cell>
          <cell r="G19">
            <v>249715</v>
          </cell>
          <cell r="H19">
            <v>167062</v>
          </cell>
          <cell r="I19">
            <v>154903</v>
          </cell>
          <cell r="J19">
            <v>154137</v>
          </cell>
          <cell r="K19">
            <v>171365</v>
          </cell>
          <cell r="L19">
            <v>106792</v>
          </cell>
          <cell r="M19">
            <v>192293</v>
          </cell>
          <cell r="N19">
            <v>135233</v>
          </cell>
          <cell r="O19">
            <v>137698</v>
          </cell>
          <cell r="P19">
            <v>132770</v>
          </cell>
          <cell r="Q19">
            <v>132034</v>
          </cell>
        </row>
        <row r="20">
          <cell r="A20">
            <v>590000</v>
          </cell>
          <cell r="B20" t="str">
            <v>DM</v>
          </cell>
          <cell r="C20">
            <v>590</v>
          </cell>
          <cell r="D20" t="str">
            <v>Maint Supv/Engr-Dist Sys</v>
          </cell>
          <cell r="E20">
            <v>1566326</v>
          </cell>
          <cell r="F20">
            <v>121307</v>
          </cell>
          <cell r="G20">
            <v>132978</v>
          </cell>
          <cell r="H20">
            <v>111068</v>
          </cell>
          <cell r="I20">
            <v>141771</v>
          </cell>
          <cell r="J20">
            <v>131631</v>
          </cell>
          <cell r="K20">
            <v>130454</v>
          </cell>
          <cell r="L20">
            <v>120392</v>
          </cell>
          <cell r="M20">
            <v>125442</v>
          </cell>
          <cell r="N20">
            <v>132055</v>
          </cell>
          <cell r="O20">
            <v>143037</v>
          </cell>
          <cell r="P20">
            <v>141545</v>
          </cell>
          <cell r="Q20">
            <v>134646</v>
          </cell>
        </row>
        <row r="21">
          <cell r="A21">
            <v>591000</v>
          </cell>
          <cell r="B21" t="str">
            <v>DM</v>
          </cell>
          <cell r="C21">
            <v>591</v>
          </cell>
          <cell r="D21" t="str">
            <v>Maintenance of Structures</v>
          </cell>
          <cell r="E21">
            <v>221183</v>
          </cell>
          <cell r="F21">
            <v>5331</v>
          </cell>
          <cell r="G21">
            <v>27012</v>
          </cell>
          <cell r="H21">
            <v>25110</v>
          </cell>
          <cell r="I21">
            <v>19278</v>
          </cell>
          <cell r="J21">
            <v>18698</v>
          </cell>
          <cell r="K21">
            <v>18087</v>
          </cell>
          <cell r="L21">
            <v>16818</v>
          </cell>
          <cell r="M21">
            <v>16705</v>
          </cell>
          <cell r="N21">
            <v>18133</v>
          </cell>
          <cell r="O21">
            <v>19239</v>
          </cell>
          <cell r="P21">
            <v>18580</v>
          </cell>
          <cell r="Q21">
            <v>18192</v>
          </cell>
        </row>
        <row r="22">
          <cell r="A22">
            <v>592000</v>
          </cell>
          <cell r="B22" t="str">
            <v>DM</v>
          </cell>
          <cell r="C22">
            <v>592</v>
          </cell>
          <cell r="D22" t="str">
            <v>Maint Of Station Equipment</v>
          </cell>
          <cell r="E22">
            <v>1634832</v>
          </cell>
          <cell r="F22">
            <v>99200</v>
          </cell>
          <cell r="G22">
            <v>180559</v>
          </cell>
          <cell r="H22">
            <v>84581</v>
          </cell>
          <cell r="I22">
            <v>153570</v>
          </cell>
          <cell r="J22">
            <v>156447</v>
          </cell>
          <cell r="K22">
            <v>130551</v>
          </cell>
          <cell r="L22">
            <v>131725</v>
          </cell>
          <cell r="M22">
            <v>100160</v>
          </cell>
          <cell r="N22">
            <v>138706</v>
          </cell>
          <cell r="O22">
            <v>157338</v>
          </cell>
          <cell r="P22">
            <v>136762</v>
          </cell>
          <cell r="Q22">
            <v>165233</v>
          </cell>
        </row>
        <row r="23">
          <cell r="A23">
            <v>593000</v>
          </cell>
          <cell r="B23" t="str">
            <v>DM</v>
          </cell>
          <cell r="C23">
            <v>593</v>
          </cell>
          <cell r="D23" t="str">
            <v>Maintenance Of Overhead Lines</v>
          </cell>
          <cell r="E23">
            <v>4411917</v>
          </cell>
          <cell r="F23">
            <v>299589</v>
          </cell>
          <cell r="G23">
            <v>485147</v>
          </cell>
          <cell r="H23">
            <v>298743</v>
          </cell>
          <cell r="I23">
            <v>404823</v>
          </cell>
          <cell r="J23">
            <v>438337</v>
          </cell>
          <cell r="K23">
            <v>441416</v>
          </cell>
          <cell r="L23">
            <v>220314</v>
          </cell>
          <cell r="M23">
            <v>588098</v>
          </cell>
          <cell r="N23">
            <v>308228</v>
          </cell>
          <cell r="O23">
            <v>309697</v>
          </cell>
          <cell r="P23">
            <v>308027</v>
          </cell>
          <cell r="Q23">
            <v>309498</v>
          </cell>
        </row>
        <row r="24">
          <cell r="A24">
            <v>594000</v>
          </cell>
          <cell r="B24" t="str">
            <v>DM</v>
          </cell>
          <cell r="C24">
            <v>594</v>
          </cell>
          <cell r="D24" t="str">
            <v>Maint Of Underground Line</v>
          </cell>
          <cell r="E24">
            <v>1553701</v>
          </cell>
          <cell r="F24">
            <v>55668</v>
          </cell>
          <cell r="G24">
            <v>201452</v>
          </cell>
          <cell r="H24">
            <v>153338</v>
          </cell>
          <cell r="I24">
            <v>144408</v>
          </cell>
          <cell r="J24">
            <v>155799</v>
          </cell>
          <cell r="K24">
            <v>138148</v>
          </cell>
          <cell r="L24">
            <v>81536</v>
          </cell>
          <cell r="M24">
            <v>191643</v>
          </cell>
          <cell r="N24">
            <v>115092</v>
          </cell>
          <cell r="O24">
            <v>110248</v>
          </cell>
          <cell r="P24">
            <v>100495</v>
          </cell>
          <cell r="Q24">
            <v>105874</v>
          </cell>
        </row>
        <row r="25">
          <cell r="A25">
            <v>595000</v>
          </cell>
          <cell r="B25" t="str">
            <v>DM</v>
          </cell>
          <cell r="C25">
            <v>595</v>
          </cell>
          <cell r="D25" t="str">
            <v>Maint Of Line Transformers</v>
          </cell>
          <cell r="E25">
            <v>565406</v>
          </cell>
          <cell r="F25">
            <v>28869</v>
          </cell>
          <cell r="G25">
            <v>63065</v>
          </cell>
          <cell r="H25">
            <v>39760</v>
          </cell>
          <cell r="I25">
            <v>51843</v>
          </cell>
          <cell r="J25">
            <v>53704</v>
          </cell>
          <cell r="K25">
            <v>51924</v>
          </cell>
          <cell r="L25">
            <v>36437</v>
          </cell>
          <cell r="M25">
            <v>63414</v>
          </cell>
          <cell r="N25">
            <v>43947</v>
          </cell>
          <cell r="O25">
            <v>45499</v>
          </cell>
          <cell r="P25">
            <v>42311</v>
          </cell>
          <cell r="Q25">
            <v>44633</v>
          </cell>
        </row>
        <row r="26">
          <cell r="A26">
            <v>596000</v>
          </cell>
          <cell r="B26" t="str">
            <v>DM</v>
          </cell>
          <cell r="C26">
            <v>596</v>
          </cell>
          <cell r="D26" t="str">
            <v>Maint Of Street Lights/Signals</v>
          </cell>
          <cell r="E26">
            <v>258202</v>
          </cell>
          <cell r="F26">
            <v>20659</v>
          </cell>
          <cell r="G26">
            <v>29861</v>
          </cell>
          <cell r="H26">
            <v>17335</v>
          </cell>
          <cell r="I26">
            <v>24047</v>
          </cell>
          <cell r="J26">
            <v>25981</v>
          </cell>
          <cell r="K26">
            <v>24088</v>
          </cell>
          <cell r="L26">
            <v>10441</v>
          </cell>
          <cell r="M26">
            <v>33778</v>
          </cell>
          <cell r="N26">
            <v>19641</v>
          </cell>
          <cell r="O26">
            <v>17893</v>
          </cell>
          <cell r="P26">
            <v>17323</v>
          </cell>
          <cell r="Q26">
            <v>17155</v>
          </cell>
        </row>
        <row r="27">
          <cell r="A27">
            <v>597000</v>
          </cell>
          <cell r="B27" t="str">
            <v>DM</v>
          </cell>
          <cell r="C27">
            <v>597</v>
          </cell>
          <cell r="D27" t="str">
            <v>Maintenance Of Meters</v>
          </cell>
          <cell r="E27">
            <v>550632</v>
          </cell>
          <cell r="F27">
            <v>22224</v>
          </cell>
          <cell r="G27">
            <v>49450</v>
          </cell>
          <cell r="H27">
            <v>35666</v>
          </cell>
          <cell r="I27">
            <v>49000</v>
          </cell>
          <cell r="J27">
            <v>49075</v>
          </cell>
          <cell r="K27">
            <v>50301</v>
          </cell>
          <cell r="L27">
            <v>47965</v>
          </cell>
          <cell r="M27">
            <v>50301</v>
          </cell>
          <cell r="N27">
            <v>49075</v>
          </cell>
          <cell r="O27">
            <v>47965</v>
          </cell>
          <cell r="P27">
            <v>51645</v>
          </cell>
          <cell r="Q27">
            <v>47965</v>
          </cell>
        </row>
        <row r="28">
          <cell r="A28">
            <v>598000</v>
          </cell>
          <cell r="B28" t="str">
            <v>DM</v>
          </cell>
          <cell r="C28">
            <v>598</v>
          </cell>
          <cell r="D28" t="str">
            <v>Maint Misc Distribution Plant</v>
          </cell>
          <cell r="E28">
            <v>95016</v>
          </cell>
          <cell r="F28">
            <v>183</v>
          </cell>
          <cell r="G28">
            <v>4309</v>
          </cell>
          <cell r="H28">
            <v>2098</v>
          </cell>
          <cell r="I28">
            <v>10930</v>
          </cell>
          <cell r="J28">
            <v>14706</v>
          </cell>
          <cell r="K28">
            <v>8719</v>
          </cell>
          <cell r="L28">
            <v>3969</v>
          </cell>
          <cell r="M28">
            <v>15826</v>
          </cell>
          <cell r="N28">
            <v>10259</v>
          </cell>
          <cell r="O28">
            <v>8052</v>
          </cell>
          <cell r="P28">
            <v>8178</v>
          </cell>
          <cell r="Q28">
            <v>7787</v>
          </cell>
        </row>
        <row r="29">
          <cell r="A29">
            <v>901000</v>
          </cell>
          <cell r="B29" t="str">
            <v>AGO</v>
          </cell>
          <cell r="C29">
            <v>901</v>
          </cell>
          <cell r="D29" t="str">
            <v>Supv Cust Bill / Collect</v>
          </cell>
          <cell r="E29">
            <v>35866</v>
          </cell>
          <cell r="F29">
            <v>6201</v>
          </cell>
          <cell r="G29">
            <v>6201</v>
          </cell>
          <cell r="H29">
            <v>5915</v>
          </cell>
          <cell r="I29">
            <v>2099</v>
          </cell>
          <cell r="J29">
            <v>2019</v>
          </cell>
          <cell r="K29">
            <v>1921</v>
          </cell>
          <cell r="L29">
            <v>1779</v>
          </cell>
          <cell r="M29">
            <v>1726</v>
          </cell>
          <cell r="N29">
            <v>1939</v>
          </cell>
          <cell r="O29">
            <v>2122</v>
          </cell>
          <cell r="P29">
            <v>1987</v>
          </cell>
          <cell r="Q29">
            <v>1957</v>
          </cell>
        </row>
        <row r="30">
          <cell r="A30">
            <v>902000</v>
          </cell>
          <cell r="B30" t="str">
            <v>AGO</v>
          </cell>
          <cell r="C30">
            <v>902</v>
          </cell>
          <cell r="D30" t="str">
            <v>Meter Reading</v>
          </cell>
          <cell r="E30">
            <v>4313037</v>
          </cell>
          <cell r="F30">
            <v>276408</v>
          </cell>
          <cell r="G30">
            <v>484248</v>
          </cell>
          <cell r="H30">
            <v>320635</v>
          </cell>
          <cell r="I30">
            <v>378374</v>
          </cell>
          <cell r="J30">
            <v>368350</v>
          </cell>
          <cell r="K30">
            <v>356030</v>
          </cell>
          <cell r="L30">
            <v>336302</v>
          </cell>
          <cell r="M30">
            <v>329530</v>
          </cell>
          <cell r="N30">
            <v>358467</v>
          </cell>
          <cell r="O30">
            <v>379759</v>
          </cell>
          <cell r="P30">
            <v>364486</v>
          </cell>
          <cell r="Q30">
            <v>360448</v>
          </cell>
        </row>
        <row r="31">
          <cell r="A31">
            <v>903000</v>
          </cell>
          <cell r="B31" t="str">
            <v>AGO</v>
          </cell>
          <cell r="C31">
            <v>903</v>
          </cell>
          <cell r="D31" t="str">
            <v>Cust Rec/Coll - Mrkt Ops</v>
          </cell>
          <cell r="E31">
            <v>9756530</v>
          </cell>
          <cell r="F31">
            <v>625206</v>
          </cell>
          <cell r="G31">
            <v>1033108</v>
          </cell>
          <cell r="H31">
            <v>799646</v>
          </cell>
          <cell r="I31">
            <v>858631</v>
          </cell>
          <cell r="J31">
            <v>833762</v>
          </cell>
          <cell r="K31">
            <v>808993</v>
          </cell>
          <cell r="L31">
            <v>745045</v>
          </cell>
          <cell r="M31">
            <v>755454</v>
          </cell>
          <cell r="N31">
            <v>804553</v>
          </cell>
          <cell r="O31">
            <v>854665</v>
          </cell>
          <cell r="P31">
            <v>818135</v>
          </cell>
          <cell r="Q31">
            <v>819332</v>
          </cell>
        </row>
        <row r="32">
          <cell r="A32">
            <v>908000</v>
          </cell>
          <cell r="B32" t="str">
            <v>AGO</v>
          </cell>
          <cell r="C32">
            <v>908</v>
          </cell>
          <cell r="D32" t="str">
            <v>Corporate Planning Cust Asst</v>
          </cell>
          <cell r="E32">
            <v>1173759</v>
          </cell>
          <cell r="F32">
            <v>53235</v>
          </cell>
          <cell r="G32">
            <v>98560</v>
          </cell>
          <cell r="H32">
            <v>65314</v>
          </cell>
          <cell r="I32">
            <v>98564</v>
          </cell>
          <cell r="J32">
            <v>119317</v>
          </cell>
          <cell r="K32">
            <v>120112</v>
          </cell>
          <cell r="L32">
            <v>44929</v>
          </cell>
          <cell r="M32">
            <v>180990</v>
          </cell>
          <cell r="N32">
            <v>96788</v>
          </cell>
          <cell r="O32">
            <v>102257</v>
          </cell>
          <cell r="P32">
            <v>109993</v>
          </cell>
          <cell r="Q32">
            <v>83700</v>
          </cell>
        </row>
        <row r="33">
          <cell r="A33">
            <v>910000</v>
          </cell>
          <cell r="B33" t="str">
            <v>AGO</v>
          </cell>
          <cell r="C33">
            <v>910</v>
          </cell>
          <cell r="D33" t="str">
            <v>Misc Cust Serv And Info</v>
          </cell>
          <cell r="E33">
            <v>1530225</v>
          </cell>
          <cell r="F33">
            <v>109187</v>
          </cell>
          <cell r="G33">
            <v>114706</v>
          </cell>
          <cell r="H33">
            <v>108104</v>
          </cell>
          <cell r="I33">
            <v>139870</v>
          </cell>
          <cell r="J33">
            <v>136430</v>
          </cell>
          <cell r="K33">
            <v>132041</v>
          </cell>
          <cell r="L33">
            <v>125240</v>
          </cell>
          <cell r="M33">
            <v>122812</v>
          </cell>
          <cell r="N33">
            <v>132877</v>
          </cell>
          <cell r="O33">
            <v>140265</v>
          </cell>
          <cell r="P33">
            <v>135027</v>
          </cell>
          <cell r="Q33">
            <v>133666</v>
          </cell>
        </row>
        <row r="34">
          <cell r="A34">
            <v>911000</v>
          </cell>
          <cell r="B34" t="str">
            <v>AGO</v>
          </cell>
          <cell r="C34">
            <v>911</v>
          </cell>
          <cell r="D34" t="str">
            <v xml:space="preserve"> Marketing Operations - Electric</v>
          </cell>
          <cell r="E34">
            <v>602</v>
          </cell>
          <cell r="F34">
            <v>0</v>
          </cell>
          <cell r="G34">
            <v>602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920000</v>
          </cell>
          <cell r="B35" t="str">
            <v>AGO</v>
          </cell>
          <cell r="C35">
            <v>920</v>
          </cell>
          <cell r="D35" t="str">
            <v>A/G Labor</v>
          </cell>
          <cell r="E35">
            <v>18333866</v>
          </cell>
          <cell r="F35">
            <v>1274396</v>
          </cell>
          <cell r="G35">
            <v>1437995</v>
          </cell>
          <cell r="H35">
            <v>1349605</v>
          </cell>
          <cell r="I35">
            <v>1587132</v>
          </cell>
          <cell r="J35">
            <v>1575232</v>
          </cell>
          <cell r="K35">
            <v>1578247</v>
          </cell>
          <cell r="L35">
            <v>1592852</v>
          </cell>
          <cell r="M35">
            <v>1597625</v>
          </cell>
          <cell r="N35">
            <v>1585319</v>
          </cell>
          <cell r="O35">
            <v>1591015</v>
          </cell>
          <cell r="P35">
            <v>1581870</v>
          </cell>
          <cell r="Q35">
            <v>1582578</v>
          </cell>
        </row>
        <row r="36">
          <cell r="A36">
            <v>921000</v>
          </cell>
          <cell r="B36" t="str">
            <v>AGO</v>
          </cell>
          <cell r="C36">
            <v>921</v>
          </cell>
          <cell r="D36" t="str">
            <v>A/G Office Supplies and Exp</v>
          </cell>
          <cell r="E36">
            <v>71915</v>
          </cell>
          <cell r="F36">
            <v>11520</v>
          </cell>
          <cell r="G36">
            <v>12304</v>
          </cell>
          <cell r="H36">
            <v>13077</v>
          </cell>
          <cell r="I36">
            <v>3685</v>
          </cell>
          <cell r="J36">
            <v>3825</v>
          </cell>
          <cell r="K36">
            <v>3850</v>
          </cell>
          <cell r="L36">
            <v>3965</v>
          </cell>
          <cell r="M36">
            <v>3964</v>
          </cell>
          <cell r="N36">
            <v>3965</v>
          </cell>
          <cell r="O36">
            <v>3965</v>
          </cell>
          <cell r="P36">
            <v>3786</v>
          </cell>
          <cell r="Q36">
            <v>4009</v>
          </cell>
        </row>
        <row r="37">
          <cell r="A37">
            <v>921100</v>
          </cell>
          <cell r="B37" t="str">
            <v>AGO</v>
          </cell>
          <cell r="C37">
            <v>921</v>
          </cell>
          <cell r="D37" t="str">
            <v>Relocation Expenses</v>
          </cell>
          <cell r="E37">
            <v>19</v>
          </cell>
          <cell r="F37">
            <v>6</v>
          </cell>
          <cell r="G37">
            <v>7</v>
          </cell>
          <cell r="H37">
            <v>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923000</v>
          </cell>
          <cell r="B38" t="str">
            <v>AGO</v>
          </cell>
          <cell r="C38">
            <v>923</v>
          </cell>
          <cell r="D38" t="str">
            <v xml:space="preserve"> Special Services - Electric</v>
          </cell>
          <cell r="E38">
            <v>-25452</v>
          </cell>
          <cell r="F38">
            <v>367</v>
          </cell>
          <cell r="G38">
            <v>-25908</v>
          </cell>
          <cell r="H38">
            <v>89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925000</v>
          </cell>
          <cell r="B39" t="str">
            <v>AGO</v>
          </cell>
          <cell r="C39">
            <v>925</v>
          </cell>
          <cell r="D39" t="str">
            <v>Injuries And Damages</v>
          </cell>
          <cell r="E39">
            <v>2298</v>
          </cell>
          <cell r="F39">
            <v>587</v>
          </cell>
          <cell r="G39">
            <v>583</v>
          </cell>
          <cell r="H39">
            <v>605</v>
          </cell>
          <cell r="I39">
            <v>58</v>
          </cell>
          <cell r="J39">
            <v>58</v>
          </cell>
          <cell r="K39">
            <v>58</v>
          </cell>
          <cell r="L39">
            <v>58</v>
          </cell>
          <cell r="M39">
            <v>58</v>
          </cell>
          <cell r="N39">
            <v>58</v>
          </cell>
          <cell r="O39">
            <v>58</v>
          </cell>
          <cell r="P39">
            <v>58</v>
          </cell>
          <cell r="Q39">
            <v>59</v>
          </cell>
        </row>
        <row r="40">
          <cell r="A40">
            <v>926000</v>
          </cell>
          <cell r="B40" t="str">
            <v>AGO</v>
          </cell>
          <cell r="C40">
            <v>926</v>
          </cell>
          <cell r="D40" t="str">
            <v>Employee Pension / Benefits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926110</v>
          </cell>
          <cell r="B41" t="str">
            <v>AGO</v>
          </cell>
          <cell r="C41">
            <v>926</v>
          </cell>
          <cell r="D41" t="str">
            <v>Employee Fringe Benefits Load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930202</v>
          </cell>
          <cell r="B42" t="str">
            <v>AGO</v>
          </cell>
          <cell r="C42">
            <v>930</v>
          </cell>
          <cell r="D42" t="str">
            <v>A/G Misc General Expense</v>
          </cell>
          <cell r="E42">
            <v>210493</v>
          </cell>
          <cell r="F42">
            <v>10201</v>
          </cell>
          <cell r="G42">
            <v>6328</v>
          </cell>
          <cell r="H42">
            <v>179</v>
          </cell>
          <cell r="I42">
            <v>21057</v>
          </cell>
          <cell r="J42">
            <v>21057</v>
          </cell>
          <cell r="K42">
            <v>21057</v>
          </cell>
          <cell r="L42">
            <v>21057</v>
          </cell>
          <cell r="M42">
            <v>25315</v>
          </cell>
          <cell r="N42">
            <v>21057</v>
          </cell>
          <cell r="O42">
            <v>21057</v>
          </cell>
          <cell r="P42">
            <v>21057</v>
          </cell>
          <cell r="Q42">
            <v>21071</v>
          </cell>
        </row>
        <row r="43">
          <cell r="A43">
            <v>935000</v>
          </cell>
          <cell r="B43" t="str">
            <v>AGM</v>
          </cell>
          <cell r="C43">
            <v>935</v>
          </cell>
          <cell r="D43" t="str">
            <v>Maint of General Plant</v>
          </cell>
          <cell r="E43">
            <v>506353</v>
          </cell>
          <cell r="F43">
            <v>96446</v>
          </cell>
          <cell r="G43">
            <v>160957</v>
          </cell>
          <cell r="H43">
            <v>117001</v>
          </cell>
          <cell r="I43">
            <v>14408</v>
          </cell>
          <cell r="J43">
            <v>14710</v>
          </cell>
          <cell r="K43">
            <v>14933</v>
          </cell>
          <cell r="L43">
            <v>14606</v>
          </cell>
          <cell r="M43">
            <v>14646</v>
          </cell>
          <cell r="N43">
            <v>14642</v>
          </cell>
          <cell r="O43">
            <v>14606</v>
          </cell>
          <cell r="P43">
            <v>14726</v>
          </cell>
          <cell r="Q43">
            <v>14672</v>
          </cell>
        </row>
        <row r="45">
          <cell r="D45" t="str">
            <v>Total O&amp;M Labor Expense</v>
          </cell>
          <cell r="E45">
            <v>57979954</v>
          </cell>
        </row>
        <row r="47">
          <cell r="B47" t="str">
            <v>REV</v>
          </cell>
          <cell r="C47" t="str">
            <v>PPN</v>
          </cell>
          <cell r="D47" t="str">
            <v>Revenues</v>
          </cell>
          <cell r="E47">
            <v>0</v>
          </cell>
        </row>
        <row r="48">
          <cell r="D48" t="str">
            <v>OperatingExpenses</v>
          </cell>
        </row>
        <row r="49">
          <cell r="B49" t="str">
            <v>Fuel</v>
          </cell>
          <cell r="D49" t="str">
            <v>Fuel Expense</v>
          </cell>
          <cell r="E49">
            <v>0</v>
          </cell>
        </row>
        <row r="50">
          <cell r="B50" t="str">
            <v>PP</v>
          </cell>
          <cell r="D50" t="str">
            <v>Purchased Power</v>
          </cell>
          <cell r="E50">
            <v>0</v>
          </cell>
        </row>
        <row r="51">
          <cell r="D51" t="str">
            <v>Operation</v>
          </cell>
        </row>
        <row r="52">
          <cell r="B52" t="str">
            <v>PO</v>
          </cell>
          <cell r="D52" t="str">
            <v>Production</v>
          </cell>
          <cell r="E52">
            <v>0</v>
          </cell>
        </row>
        <row r="53">
          <cell r="B53" t="str">
            <v>TO</v>
          </cell>
          <cell r="D53" t="str">
            <v>Transmission</v>
          </cell>
          <cell r="E53">
            <v>0</v>
          </cell>
        </row>
      </sheetData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>
        <row r="54">
          <cell r="Q54">
            <v>85604451</v>
          </cell>
        </row>
      </sheetData>
      <sheetData sheetId="36"/>
      <sheetData sheetId="37" refreshError="1"/>
      <sheetData sheetId="38">
        <row r="20">
          <cell r="E20">
            <v>-110449199</v>
          </cell>
        </row>
        <row r="35">
          <cell r="E35">
            <v>-43132008</v>
          </cell>
        </row>
        <row r="37">
          <cell r="E37">
            <v>7979420</v>
          </cell>
        </row>
        <row r="42">
          <cell r="E42">
            <v>-74570337</v>
          </cell>
        </row>
        <row r="54">
          <cell r="E54">
            <v>-882023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88">
          <cell r="AI88">
            <v>-26348297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2">
          <cell r="O2">
            <v>0.34499999999999997</v>
          </cell>
          <cell r="S2">
            <v>0.42</v>
          </cell>
        </row>
        <row r="3">
          <cell r="O3">
            <v>7.4999999999999997E-2</v>
          </cell>
        </row>
      </sheetData>
      <sheetData sheetId="75" refreshError="1"/>
      <sheetData sheetId="76">
        <row r="35">
          <cell r="H35">
            <v>1.5784602999999999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>
        <row r="16">
          <cell r="M16">
            <v>2.69E-2</v>
          </cell>
        </row>
        <row r="22">
          <cell r="M22">
            <v>9.0999999999999998E-2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 A"/>
      <sheetName val="CSP B"/>
      <sheetName val="CSP C"/>
      <sheetName val="DEO A"/>
      <sheetName val="DEO B"/>
      <sheetName val="DeO C"/>
    </sheetNames>
    <sheetDataSet>
      <sheetData sheetId="0"/>
      <sheetData sheetId="1">
        <row r="17">
          <cell r="E17">
            <v>5236920641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bls.gov/cgi-bin/surveymost?b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E19B-3E3C-4693-AAA8-C01FEB7BF428}">
  <sheetPr>
    <pageSetUpPr fitToPage="1"/>
  </sheetPr>
  <dimension ref="A1:V130"/>
  <sheetViews>
    <sheetView tabSelected="1" zoomScale="90" zoomScaleNormal="90" workbookViewId="0">
      <selection activeCell="S2" sqref="S2"/>
    </sheetView>
  </sheetViews>
  <sheetFormatPr defaultColWidth="9.140625" defaultRowHeight="15.75" x14ac:dyDescent="0.25"/>
  <cols>
    <col min="1" max="1" width="9.85546875" style="11" bestFit="1" customWidth="1"/>
    <col min="2" max="2" width="1.7109375" style="11" customWidth="1"/>
    <col min="3" max="3" width="46.42578125" style="11" customWidth="1"/>
    <col min="4" max="4" width="1.7109375" style="11" customWidth="1"/>
    <col min="5" max="11" width="16.7109375" style="11" customWidth="1"/>
    <col min="12" max="12" width="14.7109375" style="11" customWidth="1"/>
    <col min="13" max="20" width="17.85546875" style="11" customWidth="1"/>
    <col min="21" max="21" width="16.85546875" style="11" customWidth="1"/>
    <col min="22" max="16384" width="9.140625" style="11"/>
  </cols>
  <sheetData>
    <row r="1" spans="1:21" x14ac:dyDescent="0.25">
      <c r="A1" s="10" t="s">
        <v>35</v>
      </c>
    </row>
    <row r="2" spans="1:21" x14ac:dyDescent="0.25">
      <c r="A2" s="10" t="s">
        <v>36</v>
      </c>
    </row>
    <row r="3" spans="1:21" ht="16.5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37</v>
      </c>
      <c r="T3" s="14" t="s">
        <v>38</v>
      </c>
      <c r="U3" s="13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S4" s="16" t="s">
        <v>39</v>
      </c>
      <c r="T4" s="16" t="s">
        <v>39</v>
      </c>
    </row>
    <row r="5" spans="1:21" x14ac:dyDescent="0.25">
      <c r="E5" s="17" t="s">
        <v>40</v>
      </c>
      <c r="F5" s="17">
        <v>2010</v>
      </c>
      <c r="G5" s="17" t="s">
        <v>42</v>
      </c>
      <c r="H5" s="17" t="s">
        <v>43</v>
      </c>
      <c r="I5" s="17" t="s">
        <v>44</v>
      </c>
      <c r="J5" s="17" t="s">
        <v>45</v>
      </c>
      <c r="K5" s="17">
        <v>2015</v>
      </c>
      <c r="L5" s="17">
        <v>2016</v>
      </c>
      <c r="M5" s="17">
        <v>2017</v>
      </c>
      <c r="N5" s="17">
        <v>2018</v>
      </c>
      <c r="O5" s="17">
        <v>2019</v>
      </c>
      <c r="P5" s="17" t="s">
        <v>46</v>
      </c>
      <c r="Q5" s="17">
        <v>2020</v>
      </c>
      <c r="R5" s="17" t="s">
        <v>47</v>
      </c>
      <c r="S5" s="17" t="s">
        <v>48</v>
      </c>
      <c r="T5" s="17" t="s">
        <v>48</v>
      </c>
      <c r="U5" s="17" t="s">
        <v>47</v>
      </c>
    </row>
    <row r="6" spans="1:21" s="53" customFormat="1" x14ac:dyDescent="0.25">
      <c r="A6" s="54"/>
      <c r="B6" s="54"/>
      <c r="C6" s="54"/>
      <c r="D6" s="54"/>
      <c r="E6" s="55" t="s">
        <v>40</v>
      </c>
      <c r="F6" s="55" t="s">
        <v>41</v>
      </c>
      <c r="G6" s="55" t="s">
        <v>42</v>
      </c>
      <c r="H6" s="55" t="s">
        <v>43</v>
      </c>
      <c r="I6" s="55" t="s">
        <v>44</v>
      </c>
      <c r="J6" s="55" t="s">
        <v>45</v>
      </c>
      <c r="K6" s="55">
        <v>2015</v>
      </c>
      <c r="L6" s="55">
        <v>2016</v>
      </c>
      <c r="M6" s="55">
        <v>2017</v>
      </c>
      <c r="N6" s="55">
        <v>2018</v>
      </c>
      <c r="O6" s="55">
        <v>2019</v>
      </c>
      <c r="P6" s="55" t="s">
        <v>46</v>
      </c>
      <c r="Q6" s="55">
        <v>2020</v>
      </c>
      <c r="R6" s="55" t="s">
        <v>47</v>
      </c>
      <c r="S6" s="55" t="s">
        <v>48</v>
      </c>
      <c r="T6" s="55" t="s">
        <v>48</v>
      </c>
      <c r="U6" s="55" t="s">
        <v>47</v>
      </c>
    </row>
    <row r="8" spans="1:21" x14ac:dyDescent="0.25">
      <c r="C8" s="11" t="s">
        <v>49</v>
      </c>
      <c r="E8" s="18"/>
      <c r="F8" s="18">
        <v>247622</v>
      </c>
      <c r="G8" s="18">
        <v>302892</v>
      </c>
      <c r="H8" s="18">
        <v>208033</v>
      </c>
      <c r="I8" s="18">
        <v>344868</v>
      </c>
      <c r="J8" s="18">
        <v>719564</v>
      </c>
      <c r="K8" s="18">
        <v>963293</v>
      </c>
      <c r="L8" s="18">
        <v>1064480</v>
      </c>
      <c r="M8" s="18">
        <v>793792</v>
      </c>
      <c r="N8" s="18">
        <v>1630180</v>
      </c>
      <c r="O8" s="18">
        <v>546524</v>
      </c>
      <c r="P8" s="18"/>
      <c r="Q8" s="18">
        <v>38137</v>
      </c>
      <c r="R8" s="18"/>
      <c r="S8" s="58"/>
      <c r="T8" s="58"/>
      <c r="U8" s="58"/>
    </row>
    <row r="9" spans="1:21" x14ac:dyDescent="0.25">
      <c r="A9" s="19"/>
      <c r="B9" s="19"/>
      <c r="C9" s="20" t="s">
        <v>50</v>
      </c>
      <c r="E9" s="21"/>
      <c r="F9" s="21">
        <f t="shared" ref="F9:Q9" si="0">+F8</f>
        <v>247622</v>
      </c>
      <c r="G9" s="21">
        <f t="shared" si="0"/>
        <v>302892</v>
      </c>
      <c r="H9" s="21">
        <f t="shared" si="0"/>
        <v>208033</v>
      </c>
      <c r="I9" s="21">
        <f t="shared" si="0"/>
        <v>344868</v>
      </c>
      <c r="J9" s="21">
        <f t="shared" si="0"/>
        <v>719564</v>
      </c>
      <c r="K9" s="21">
        <f t="shared" si="0"/>
        <v>963293</v>
      </c>
      <c r="L9" s="21">
        <f t="shared" si="0"/>
        <v>1064480</v>
      </c>
      <c r="M9" s="21">
        <f t="shared" si="0"/>
        <v>793792</v>
      </c>
      <c r="N9" s="21">
        <f t="shared" si="0"/>
        <v>1630180</v>
      </c>
      <c r="O9" s="21">
        <f t="shared" si="0"/>
        <v>546524</v>
      </c>
      <c r="P9" s="21"/>
      <c r="Q9" s="21">
        <f t="shared" si="0"/>
        <v>38137</v>
      </c>
      <c r="R9" s="21"/>
      <c r="S9" s="59"/>
      <c r="T9" s="59"/>
      <c r="U9" s="59">
        <f>+U8</f>
        <v>0</v>
      </c>
    </row>
    <row r="10" spans="1:21" x14ac:dyDescent="0.25">
      <c r="A10" s="19"/>
      <c r="B10" s="19"/>
      <c r="C10" s="22" t="s">
        <v>51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60"/>
      <c r="T10" s="60"/>
      <c r="U10" s="60"/>
    </row>
    <row r="11" spans="1:21" x14ac:dyDescent="0.25">
      <c r="A11" s="19"/>
      <c r="B11" s="19"/>
      <c r="C11" s="22" t="s">
        <v>52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60"/>
      <c r="T11" s="60"/>
      <c r="U11" s="60"/>
    </row>
    <row r="12" spans="1:21" x14ac:dyDescent="0.25">
      <c r="A12" s="24">
        <v>801000</v>
      </c>
      <c r="B12" s="19"/>
      <c r="C12" s="20" t="s">
        <v>53</v>
      </c>
      <c r="E12" s="18">
        <v>78939367</v>
      </c>
      <c r="F12" s="18">
        <v>67656917</v>
      </c>
      <c r="G12" s="18">
        <v>53561882</v>
      </c>
      <c r="H12" s="18">
        <v>38854469</v>
      </c>
      <c r="I12" s="18">
        <v>48754644</v>
      </c>
      <c r="J12" s="18">
        <v>61360267</v>
      </c>
      <c r="K12" s="18">
        <v>40598667</v>
      </c>
      <c r="L12" s="18">
        <v>34678066</v>
      </c>
      <c r="M12" s="18">
        <v>37161991</v>
      </c>
      <c r="N12" s="18">
        <v>43836135</v>
      </c>
      <c r="O12" s="18">
        <v>34951370</v>
      </c>
      <c r="P12" s="18"/>
      <c r="Q12" s="18">
        <v>29344830</v>
      </c>
      <c r="R12" s="18"/>
      <c r="S12" s="58">
        <v>36334092</v>
      </c>
      <c r="T12" s="58">
        <v>36334092</v>
      </c>
      <c r="U12" s="58">
        <f>40470323+717125</f>
        <v>41187448</v>
      </c>
    </row>
    <row r="13" spans="1:21" x14ac:dyDescent="0.25">
      <c r="A13" s="24">
        <v>805200</v>
      </c>
      <c r="B13" s="19"/>
      <c r="C13" s="20" t="s">
        <v>54</v>
      </c>
      <c r="E13" s="23">
        <v>846223</v>
      </c>
      <c r="F13" s="23">
        <v>353063</v>
      </c>
      <c r="G13" s="23">
        <v>998371</v>
      </c>
      <c r="H13" s="23">
        <v>-1306847</v>
      </c>
      <c r="I13" s="23">
        <v>-2839136</v>
      </c>
      <c r="J13" s="23">
        <v>-1533801</v>
      </c>
      <c r="K13" s="23">
        <v>1011153</v>
      </c>
      <c r="L13" s="23">
        <v>-2066943</v>
      </c>
      <c r="M13" s="23">
        <v>86609</v>
      </c>
      <c r="N13" s="23">
        <v>-829789</v>
      </c>
      <c r="O13" s="23">
        <v>3011176</v>
      </c>
      <c r="P13" s="23"/>
      <c r="Q13" s="23">
        <v>-2714385</v>
      </c>
      <c r="R13" s="23"/>
      <c r="S13" s="60">
        <v>80549</v>
      </c>
      <c r="T13" s="60">
        <v>0</v>
      </c>
      <c r="U13" s="60">
        <v>-716846</v>
      </c>
    </row>
    <row r="14" spans="1:21" x14ac:dyDescent="0.25">
      <c r="A14" s="24">
        <v>807000</v>
      </c>
      <c r="B14" s="19"/>
      <c r="C14" s="20" t="s">
        <v>55</v>
      </c>
      <c r="E14" s="23">
        <v>589496</v>
      </c>
      <c r="F14" s="23">
        <v>511819</v>
      </c>
      <c r="G14" s="23">
        <v>426221</v>
      </c>
      <c r="H14" s="23">
        <v>418241</v>
      </c>
      <c r="I14" s="23">
        <v>482030</v>
      </c>
      <c r="J14" s="23">
        <v>579080</v>
      </c>
      <c r="K14" s="23">
        <v>428782</v>
      </c>
      <c r="L14" s="23">
        <v>378922</v>
      </c>
      <c r="M14" s="23">
        <v>430480</v>
      </c>
      <c r="N14" s="23">
        <v>672466</v>
      </c>
      <c r="O14" s="23">
        <v>538594</v>
      </c>
      <c r="P14" s="23"/>
      <c r="Q14" s="23">
        <v>515337</v>
      </c>
      <c r="R14" s="23"/>
      <c r="S14" s="60">
        <v>444020</v>
      </c>
      <c r="T14" s="60">
        <v>0</v>
      </c>
      <c r="U14" s="60">
        <v>565774</v>
      </c>
    </row>
    <row r="15" spans="1:21" x14ac:dyDescent="0.25">
      <c r="A15" s="24">
        <v>813000</v>
      </c>
      <c r="B15" s="19"/>
      <c r="C15" s="20" t="s">
        <v>51</v>
      </c>
      <c r="E15" s="23">
        <v>0</v>
      </c>
      <c r="F15" s="23">
        <v>0</v>
      </c>
      <c r="G15" s="23">
        <v>0</v>
      </c>
      <c r="H15" s="23">
        <v>0</v>
      </c>
      <c r="I15" s="23">
        <v>1309849</v>
      </c>
      <c r="J15" s="23">
        <v>1043049</v>
      </c>
      <c r="K15" s="23">
        <v>964793</v>
      </c>
      <c r="L15" s="23">
        <v>875719</v>
      </c>
      <c r="M15" s="23">
        <v>523005</v>
      </c>
      <c r="N15" s="23">
        <v>96587</v>
      </c>
      <c r="O15" s="23"/>
      <c r="P15" s="23"/>
      <c r="Q15" s="23"/>
      <c r="R15" s="23"/>
      <c r="S15" s="60"/>
      <c r="T15" s="60"/>
      <c r="U15" s="60"/>
    </row>
    <row r="16" spans="1:21" x14ac:dyDescent="0.25">
      <c r="A16" s="25"/>
      <c r="B16" s="19"/>
      <c r="C16" s="20" t="s">
        <v>56</v>
      </c>
      <c r="E16" s="26">
        <f t="shared" ref="E16:L16" si="1">SUM(E12:E15)+E9</f>
        <v>80375086</v>
      </c>
      <c r="F16" s="26">
        <f t="shared" si="1"/>
        <v>68769421</v>
      </c>
      <c r="G16" s="26">
        <f t="shared" si="1"/>
        <v>55289366</v>
      </c>
      <c r="H16" s="26">
        <f t="shared" si="1"/>
        <v>38173896</v>
      </c>
      <c r="I16" s="26">
        <f t="shared" si="1"/>
        <v>48052255</v>
      </c>
      <c r="J16" s="26">
        <f t="shared" si="1"/>
        <v>62168159</v>
      </c>
      <c r="K16" s="26">
        <f t="shared" si="1"/>
        <v>43966688</v>
      </c>
      <c r="L16" s="26">
        <f t="shared" si="1"/>
        <v>34930244</v>
      </c>
      <c r="M16" s="26">
        <f t="shared" ref="M16:S16" si="2">SUM(M12:M15)+M9</f>
        <v>38995877</v>
      </c>
      <c r="N16" s="26">
        <f t="shared" si="2"/>
        <v>45405579</v>
      </c>
      <c r="O16" s="26">
        <f t="shared" si="2"/>
        <v>39047664</v>
      </c>
      <c r="P16" s="26"/>
      <c r="Q16" s="26">
        <f t="shared" si="2"/>
        <v>27183919</v>
      </c>
      <c r="R16" s="26"/>
      <c r="S16" s="61">
        <f t="shared" si="2"/>
        <v>36858661</v>
      </c>
      <c r="T16" s="61">
        <f t="shared" ref="T16" si="3">SUM(T12:T15)+T9</f>
        <v>36334092</v>
      </c>
      <c r="U16" s="61">
        <f>SUM(U12:U15)+U9</f>
        <v>41036376</v>
      </c>
    </row>
    <row r="17" spans="1:21" x14ac:dyDescent="0.25">
      <c r="A17" s="25"/>
      <c r="B17" s="19"/>
      <c r="C17" s="27" t="s">
        <v>57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58"/>
      <c r="T17" s="58"/>
      <c r="U17" s="58"/>
    </row>
    <row r="18" spans="1:21" x14ac:dyDescent="0.25">
      <c r="A18" s="24">
        <v>844.1</v>
      </c>
      <c r="B18" s="19"/>
      <c r="C18" s="20" t="s">
        <v>58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50999</v>
      </c>
      <c r="P18" s="18"/>
      <c r="Q18" s="18"/>
      <c r="R18" s="18"/>
      <c r="S18" s="58"/>
      <c r="T18" s="58"/>
      <c r="U18" s="58"/>
    </row>
    <row r="19" spans="1:21" x14ac:dyDescent="0.25">
      <c r="C19" s="27" t="s">
        <v>59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0"/>
      <c r="T19" s="60"/>
      <c r="U19" s="60"/>
    </row>
    <row r="20" spans="1:21" x14ac:dyDescent="0.25">
      <c r="A20" s="24">
        <v>850000</v>
      </c>
      <c r="C20" s="28" t="s">
        <v>60</v>
      </c>
      <c r="E20" s="23"/>
      <c r="F20" s="23"/>
      <c r="G20" s="23"/>
      <c r="H20" s="23"/>
      <c r="I20" s="23"/>
      <c r="J20" s="23"/>
      <c r="K20" s="23"/>
      <c r="L20" s="23"/>
      <c r="M20" s="23">
        <v>481</v>
      </c>
      <c r="N20" s="23">
        <v>1944</v>
      </c>
      <c r="O20" s="23">
        <v>2878</v>
      </c>
      <c r="P20" s="23"/>
      <c r="Q20" s="23">
        <v>3067</v>
      </c>
      <c r="R20" s="23"/>
      <c r="S20" s="60"/>
      <c r="T20" s="60"/>
      <c r="U20" s="60"/>
    </row>
    <row r="21" spans="1:21" x14ac:dyDescent="0.25">
      <c r="A21" s="24">
        <v>859000</v>
      </c>
      <c r="C21" s="28" t="s">
        <v>61</v>
      </c>
      <c r="E21" s="18"/>
      <c r="F21" s="18">
        <v>13010</v>
      </c>
      <c r="G21" s="18">
        <v>68606</v>
      </c>
      <c r="H21" s="18">
        <v>0</v>
      </c>
      <c r="I21" s="18">
        <v>0</v>
      </c>
      <c r="J21" s="18">
        <v>190</v>
      </c>
      <c r="K21" s="18">
        <v>6490</v>
      </c>
      <c r="L21" s="18">
        <v>6885</v>
      </c>
      <c r="M21" s="18">
        <v>2235</v>
      </c>
      <c r="N21" s="18">
        <v>5335</v>
      </c>
      <c r="O21" s="18">
        <v>13269</v>
      </c>
      <c r="P21" s="18"/>
      <c r="Q21" s="18">
        <v>12585</v>
      </c>
      <c r="R21" s="18"/>
      <c r="S21" s="58"/>
      <c r="T21" s="58">
        <v>0</v>
      </c>
      <c r="U21" s="58">
        <v>16066</v>
      </c>
    </row>
    <row r="22" spans="1:21" x14ac:dyDescent="0.25">
      <c r="A22" s="24">
        <v>863000</v>
      </c>
      <c r="C22" s="28" t="s">
        <v>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v>412271</v>
      </c>
      <c r="P22" s="18"/>
      <c r="Q22" s="18">
        <v>188034</v>
      </c>
      <c r="R22" s="18"/>
      <c r="S22" s="58"/>
      <c r="T22" s="58">
        <v>0</v>
      </c>
      <c r="U22" s="58">
        <f>519821-35</f>
        <v>519786</v>
      </c>
    </row>
    <row r="23" spans="1:21" x14ac:dyDescent="0.25">
      <c r="A23" s="25"/>
      <c r="B23" s="19"/>
      <c r="C23" s="22" t="s">
        <v>63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60"/>
      <c r="T23" s="60"/>
      <c r="U23" s="60"/>
    </row>
    <row r="24" spans="1:21" x14ac:dyDescent="0.25">
      <c r="A24" s="25"/>
      <c r="B24" s="19"/>
      <c r="C24" s="22" t="s">
        <v>64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60"/>
      <c r="T24" s="60"/>
      <c r="U24" s="60"/>
    </row>
    <row r="25" spans="1:21" x14ac:dyDescent="0.25">
      <c r="A25" s="29">
        <v>870000</v>
      </c>
      <c r="B25" s="19"/>
      <c r="C25" s="20" t="s">
        <v>65</v>
      </c>
      <c r="E25" s="18">
        <v>100536</v>
      </c>
      <c r="F25" s="18">
        <v>9334</v>
      </c>
      <c r="G25" s="18">
        <v>9376</v>
      </c>
      <c r="H25" s="18">
        <v>2276</v>
      </c>
      <c r="I25" s="18">
        <v>11975</v>
      </c>
      <c r="J25" s="18">
        <v>78111</v>
      </c>
      <c r="K25" s="18">
        <v>112057</v>
      </c>
      <c r="L25" s="18">
        <v>-1491</v>
      </c>
      <c r="M25" s="18"/>
      <c r="N25" s="18"/>
      <c r="O25" s="18"/>
      <c r="P25" s="18"/>
      <c r="Q25" s="18"/>
      <c r="R25" s="18"/>
      <c r="S25" s="58"/>
      <c r="T25" s="58"/>
      <c r="U25" s="58"/>
    </row>
    <row r="26" spans="1:21" x14ac:dyDescent="0.25">
      <c r="A26" s="29">
        <v>871000</v>
      </c>
      <c r="B26" s="19"/>
      <c r="C26" s="20" t="s">
        <v>66</v>
      </c>
      <c r="E26" s="23">
        <v>94425</v>
      </c>
      <c r="F26" s="23">
        <v>145842</v>
      </c>
      <c r="G26" s="23">
        <v>176867</v>
      </c>
      <c r="H26" s="23">
        <v>182919</v>
      </c>
      <c r="I26" s="23">
        <v>195057</v>
      </c>
      <c r="J26" s="23">
        <v>209998</v>
      </c>
      <c r="K26" s="23">
        <v>192263</v>
      </c>
      <c r="L26" s="23">
        <v>191978</v>
      </c>
      <c r="M26" s="23">
        <v>155692</v>
      </c>
      <c r="N26" s="23">
        <v>144122</v>
      </c>
      <c r="O26" s="23">
        <v>271473</v>
      </c>
      <c r="P26" s="23"/>
      <c r="Q26" s="23">
        <v>224466</v>
      </c>
      <c r="R26" s="23"/>
      <c r="S26" s="60">
        <v>185332</v>
      </c>
      <c r="T26" s="60">
        <v>185332</v>
      </c>
      <c r="U26" s="60">
        <v>258339</v>
      </c>
    </row>
    <row r="27" spans="1:21" x14ac:dyDescent="0.25">
      <c r="A27" s="29">
        <v>874000</v>
      </c>
      <c r="B27" s="19"/>
      <c r="C27" s="20" t="s">
        <v>67</v>
      </c>
      <c r="E27" s="23">
        <v>1643396</v>
      </c>
      <c r="F27" s="23">
        <v>1715933</v>
      </c>
      <c r="G27" s="23">
        <v>1828624</v>
      </c>
      <c r="H27" s="23">
        <v>2943249</v>
      </c>
      <c r="I27" s="23">
        <v>2275639</v>
      </c>
      <c r="J27" s="23">
        <v>2526753</v>
      </c>
      <c r="K27" s="23">
        <v>2965174</v>
      </c>
      <c r="L27" s="23">
        <v>2608224</v>
      </c>
      <c r="M27" s="23">
        <v>2596130</v>
      </c>
      <c r="N27" s="23">
        <v>2226936</v>
      </c>
      <c r="O27" s="23">
        <v>1902184</v>
      </c>
      <c r="P27" s="23"/>
      <c r="Q27" s="23">
        <v>1680494</v>
      </c>
      <c r="R27" s="23"/>
      <c r="S27" s="60">
        <v>2548186</v>
      </c>
      <c r="T27" s="60">
        <f>2548186-102870+267591</f>
        <v>2712907</v>
      </c>
      <c r="U27" s="60">
        <f>1332086-53783-300</f>
        <v>1278003</v>
      </c>
    </row>
    <row r="28" spans="1:21" x14ac:dyDescent="0.25">
      <c r="A28" s="29">
        <v>875000</v>
      </c>
      <c r="B28" s="19"/>
      <c r="C28" s="20" t="s">
        <v>68</v>
      </c>
      <c r="E28" s="23">
        <v>30483</v>
      </c>
      <c r="F28" s="23">
        <v>32028</v>
      </c>
      <c r="G28" s="23">
        <v>5355</v>
      </c>
      <c r="H28" s="23">
        <v>1184</v>
      </c>
      <c r="I28" s="23">
        <v>2537</v>
      </c>
      <c r="J28" s="23">
        <v>6289</v>
      </c>
      <c r="K28" s="23">
        <v>1586</v>
      </c>
      <c r="L28" s="23">
        <v>69269</v>
      </c>
      <c r="M28" s="23">
        <v>1523</v>
      </c>
      <c r="N28" s="23">
        <v>10954</v>
      </c>
      <c r="O28" s="23">
        <v>166389</v>
      </c>
      <c r="P28" s="23"/>
      <c r="Q28" s="23">
        <v>135707</v>
      </c>
      <c r="R28" s="23"/>
      <c r="S28" s="60"/>
      <c r="T28" s="60"/>
      <c r="U28" s="60">
        <v>175613</v>
      </c>
    </row>
    <row r="29" spans="1:21" x14ac:dyDescent="0.25">
      <c r="A29" s="29">
        <v>876000</v>
      </c>
      <c r="B29" s="19"/>
      <c r="C29" s="20" t="s">
        <v>69</v>
      </c>
      <c r="E29" s="23">
        <v>236847</v>
      </c>
      <c r="F29" s="23">
        <v>31911</v>
      </c>
      <c r="G29" s="23">
        <v>38197</v>
      </c>
      <c r="H29" s="23">
        <v>43871</v>
      </c>
      <c r="I29" s="23">
        <v>35509</v>
      </c>
      <c r="J29" s="23">
        <v>39835</v>
      </c>
      <c r="K29" s="23">
        <v>15648</v>
      </c>
      <c r="L29" s="23">
        <v>40548</v>
      </c>
      <c r="M29" s="23">
        <v>20754</v>
      </c>
      <c r="N29" s="23">
        <v>26394</v>
      </c>
      <c r="O29" s="23">
        <v>59203</v>
      </c>
      <c r="P29" s="23"/>
      <c r="Q29" s="23">
        <v>16898</v>
      </c>
      <c r="R29" s="23"/>
      <c r="S29" s="60"/>
      <c r="T29" s="60"/>
      <c r="U29" s="60">
        <v>-10975</v>
      </c>
    </row>
    <row r="30" spans="1:21" x14ac:dyDescent="0.25">
      <c r="A30" s="29">
        <v>878000</v>
      </c>
      <c r="B30" s="19"/>
      <c r="C30" s="20" t="s">
        <v>70</v>
      </c>
      <c r="E30" s="23">
        <v>183835</v>
      </c>
      <c r="F30" s="23">
        <v>186972</v>
      </c>
      <c r="G30" s="23">
        <v>474720</v>
      </c>
      <c r="H30" s="23">
        <v>801200</v>
      </c>
      <c r="I30" s="23">
        <v>1037024</v>
      </c>
      <c r="J30" s="23">
        <v>2539145</v>
      </c>
      <c r="K30" s="23">
        <v>1085154</v>
      </c>
      <c r="L30" s="23">
        <v>1116219</v>
      </c>
      <c r="M30" s="23">
        <v>2448922</v>
      </c>
      <c r="N30" s="23">
        <v>1710760</v>
      </c>
      <c r="O30" s="23">
        <v>1499223</v>
      </c>
      <c r="P30" s="23"/>
      <c r="Q30" s="23">
        <v>1345018</v>
      </c>
      <c r="R30" s="23"/>
      <c r="S30" s="60">
        <v>2305785</v>
      </c>
      <c r="T30" s="60">
        <f>2305785-340000</f>
        <v>1965785</v>
      </c>
      <c r="U30" s="60">
        <v>620320</v>
      </c>
    </row>
    <row r="31" spans="1:21" x14ac:dyDescent="0.25">
      <c r="A31" s="29">
        <v>879000</v>
      </c>
      <c r="B31" s="19"/>
      <c r="C31" s="20" t="s">
        <v>71</v>
      </c>
      <c r="E31" s="23">
        <v>945910</v>
      </c>
      <c r="F31" s="23">
        <v>1154549</v>
      </c>
      <c r="G31" s="23">
        <v>1239450</v>
      </c>
      <c r="H31" s="23">
        <v>1280145</v>
      </c>
      <c r="I31" s="23">
        <v>1402870</v>
      </c>
      <c r="J31" s="23">
        <v>1931827</v>
      </c>
      <c r="K31" s="23">
        <v>947329</v>
      </c>
      <c r="L31" s="23">
        <v>1340845</v>
      </c>
      <c r="M31" s="23">
        <v>1264352</v>
      </c>
      <c r="N31" s="23">
        <v>1147331</v>
      </c>
      <c r="O31" s="23">
        <v>994614</v>
      </c>
      <c r="P31" s="23"/>
      <c r="Q31" s="23">
        <v>1471953</v>
      </c>
      <c r="R31" s="23"/>
      <c r="S31" s="60">
        <v>1353005</v>
      </c>
      <c r="T31" s="60">
        <v>1353005</v>
      </c>
      <c r="U31" s="60">
        <v>1294237</v>
      </c>
    </row>
    <row r="32" spans="1:21" x14ac:dyDescent="0.25">
      <c r="A32" s="29">
        <v>880000</v>
      </c>
      <c r="B32" s="19"/>
      <c r="C32" s="20" t="s">
        <v>72</v>
      </c>
      <c r="E32" s="23">
        <v>495039</v>
      </c>
      <c r="F32" s="23">
        <v>589369</v>
      </c>
      <c r="G32" s="23">
        <v>630468</v>
      </c>
      <c r="H32" s="23">
        <v>547749</v>
      </c>
      <c r="I32" s="23">
        <v>734135</v>
      </c>
      <c r="J32" s="23">
        <v>773891</v>
      </c>
      <c r="K32" s="23">
        <v>1476730</v>
      </c>
      <c r="L32" s="23">
        <v>2619290</v>
      </c>
      <c r="M32" s="23">
        <v>2597986</v>
      </c>
      <c r="N32" s="23">
        <v>1925239</v>
      </c>
      <c r="O32" s="23">
        <v>2537191</v>
      </c>
      <c r="P32" s="23"/>
      <c r="Q32" s="23">
        <v>1736165</v>
      </c>
      <c r="R32" s="23"/>
      <c r="S32" s="60">
        <v>2398505</v>
      </c>
      <c r="T32" s="60">
        <f>2398505+265153</f>
        <v>2663658</v>
      </c>
      <c r="U32" s="60">
        <f>2896126-666</f>
        <v>2895460</v>
      </c>
    </row>
    <row r="33" spans="1:21" x14ac:dyDescent="0.25">
      <c r="A33" s="29">
        <v>881000</v>
      </c>
      <c r="B33" s="19"/>
      <c r="C33" s="20" t="s">
        <v>73</v>
      </c>
      <c r="E33" s="23">
        <v>400250</v>
      </c>
      <c r="F33" s="23">
        <v>387624</v>
      </c>
      <c r="G33" s="23">
        <v>161510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60"/>
      <c r="T33" s="60"/>
      <c r="U33" s="60"/>
    </row>
    <row r="34" spans="1:21" x14ac:dyDescent="0.25">
      <c r="A34" s="19"/>
      <c r="B34" s="19"/>
      <c r="C34" s="20" t="s">
        <v>74</v>
      </c>
      <c r="E34" s="26">
        <f t="shared" ref="E34:S34" si="4">SUM(E25:E33)</f>
        <v>4130721</v>
      </c>
      <c r="F34" s="26">
        <f t="shared" si="4"/>
        <v>4253562</v>
      </c>
      <c r="G34" s="26">
        <f t="shared" si="4"/>
        <v>4564567</v>
      </c>
      <c r="H34" s="26">
        <f t="shared" si="4"/>
        <v>5802593</v>
      </c>
      <c r="I34" s="26">
        <f t="shared" si="4"/>
        <v>5694746</v>
      </c>
      <c r="J34" s="26">
        <f t="shared" si="4"/>
        <v>8105849</v>
      </c>
      <c r="K34" s="26">
        <f t="shared" si="4"/>
        <v>6795941</v>
      </c>
      <c r="L34" s="26">
        <f t="shared" si="4"/>
        <v>7984882</v>
      </c>
      <c r="M34" s="26">
        <f t="shared" si="4"/>
        <v>9085359</v>
      </c>
      <c r="N34" s="26">
        <f t="shared" si="4"/>
        <v>7191736</v>
      </c>
      <c r="O34" s="26">
        <f t="shared" si="4"/>
        <v>7430277</v>
      </c>
      <c r="P34" s="26"/>
      <c r="Q34" s="26">
        <f t="shared" si="4"/>
        <v>6610701</v>
      </c>
      <c r="R34" s="26"/>
      <c r="S34" s="61">
        <f t="shared" si="4"/>
        <v>8790813</v>
      </c>
      <c r="T34" s="61">
        <f t="shared" ref="T34" si="5">SUM(T25:T33)</f>
        <v>8880687</v>
      </c>
      <c r="U34" s="61">
        <f>SUM(U25:U33)</f>
        <v>6510997</v>
      </c>
    </row>
    <row r="35" spans="1:21" x14ac:dyDescent="0.25">
      <c r="A35" s="19"/>
      <c r="B35" s="19"/>
      <c r="C35" s="22" t="s">
        <v>75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60"/>
      <c r="T35" s="60"/>
      <c r="U35" s="60"/>
    </row>
    <row r="36" spans="1:21" x14ac:dyDescent="0.25">
      <c r="A36" s="29">
        <v>885000</v>
      </c>
      <c r="B36" s="19"/>
      <c r="C36" s="30" t="s">
        <v>65</v>
      </c>
      <c r="E36" s="18">
        <v>28864</v>
      </c>
      <c r="F36" s="18">
        <v>24493</v>
      </c>
      <c r="G36" s="18">
        <v>38525</v>
      </c>
      <c r="H36" s="18">
        <v>48352</v>
      </c>
      <c r="I36" s="18">
        <v>97008</v>
      </c>
      <c r="J36" s="18">
        <v>56010</v>
      </c>
      <c r="K36" s="18">
        <v>86031</v>
      </c>
      <c r="L36" s="18">
        <v>-2635</v>
      </c>
      <c r="M36" s="18"/>
      <c r="N36" s="18"/>
      <c r="O36" s="18"/>
      <c r="P36" s="18"/>
      <c r="Q36" s="18"/>
      <c r="R36" s="18"/>
      <c r="S36" s="58"/>
      <c r="T36" s="58"/>
      <c r="U36" s="58"/>
    </row>
    <row r="37" spans="1:21" x14ac:dyDescent="0.25">
      <c r="A37" s="29">
        <v>887000</v>
      </c>
      <c r="B37" s="19"/>
      <c r="C37" s="30" t="s">
        <v>76</v>
      </c>
      <c r="E37" s="23">
        <v>985106</v>
      </c>
      <c r="F37" s="23">
        <v>477915</v>
      </c>
      <c r="G37" s="23">
        <v>403553</v>
      </c>
      <c r="H37" s="23">
        <v>590849</v>
      </c>
      <c r="I37" s="23">
        <v>701922</v>
      </c>
      <c r="J37" s="23">
        <v>790001</v>
      </c>
      <c r="K37" s="23">
        <v>702408</v>
      </c>
      <c r="L37" s="23">
        <v>761041</v>
      </c>
      <c r="M37" s="23">
        <v>922883</v>
      </c>
      <c r="N37" s="23">
        <v>1456656</v>
      </c>
      <c r="O37" s="23">
        <v>1266672</v>
      </c>
      <c r="P37" s="23"/>
      <c r="Q37" s="23">
        <v>892976</v>
      </c>
      <c r="R37" s="23"/>
      <c r="S37" s="60">
        <v>2158350</v>
      </c>
      <c r="T37" s="60">
        <v>2158350</v>
      </c>
      <c r="U37" s="60">
        <v>1128603</v>
      </c>
    </row>
    <row r="38" spans="1:21" x14ac:dyDescent="0.25">
      <c r="A38" s="29">
        <v>889000</v>
      </c>
      <c r="B38" s="19"/>
      <c r="C38" s="30" t="s">
        <v>77</v>
      </c>
      <c r="E38" s="23">
        <v>56787</v>
      </c>
      <c r="F38" s="23">
        <v>46549</v>
      </c>
      <c r="G38" s="23">
        <v>26019</v>
      </c>
      <c r="H38" s="23">
        <v>44238</v>
      </c>
      <c r="I38" s="23">
        <v>82784</v>
      </c>
      <c r="J38" s="23">
        <v>45914</v>
      </c>
      <c r="K38" s="23">
        <v>39908</v>
      </c>
      <c r="L38" s="23">
        <v>45377</v>
      </c>
      <c r="M38" s="23">
        <v>47473</v>
      </c>
      <c r="N38" s="23">
        <v>33567</v>
      </c>
      <c r="O38" s="23">
        <v>60387</v>
      </c>
      <c r="P38" s="23"/>
      <c r="Q38" s="23">
        <v>51632</v>
      </c>
      <c r="R38" s="23"/>
      <c r="S38" s="60">
        <v>66190</v>
      </c>
      <c r="T38" s="60">
        <v>66190</v>
      </c>
      <c r="U38" s="60">
        <v>34344</v>
      </c>
    </row>
    <row r="39" spans="1:21" x14ac:dyDescent="0.25">
      <c r="A39" s="31">
        <v>890000</v>
      </c>
      <c r="B39" s="19"/>
      <c r="C39" s="30" t="s">
        <v>78</v>
      </c>
      <c r="E39" s="23">
        <v>0</v>
      </c>
      <c r="F39" s="23">
        <v>8490</v>
      </c>
      <c r="G39" s="23">
        <v>1925</v>
      </c>
      <c r="H39" s="23">
        <v>4873</v>
      </c>
      <c r="I39" s="23">
        <v>4139</v>
      </c>
      <c r="J39" s="23">
        <v>6117</v>
      </c>
      <c r="K39" s="23">
        <v>3977</v>
      </c>
      <c r="L39" s="23">
        <v>1097</v>
      </c>
      <c r="M39" s="23"/>
      <c r="N39" s="23"/>
      <c r="O39" s="23"/>
      <c r="P39" s="23"/>
      <c r="Q39" s="23">
        <v>959</v>
      </c>
      <c r="R39" s="23"/>
      <c r="S39" s="62"/>
      <c r="T39" s="62"/>
      <c r="U39" s="60"/>
    </row>
    <row r="40" spans="1:21" x14ac:dyDescent="0.25">
      <c r="A40" s="29">
        <v>892000</v>
      </c>
      <c r="B40" s="19"/>
      <c r="C40" s="30" t="s">
        <v>79</v>
      </c>
      <c r="E40" s="23">
        <v>708338</v>
      </c>
      <c r="F40" s="23">
        <v>758115</v>
      </c>
      <c r="G40" s="23">
        <v>848507</v>
      </c>
      <c r="H40" s="23">
        <v>652379</v>
      </c>
      <c r="I40" s="23">
        <v>592670</v>
      </c>
      <c r="J40" s="23">
        <v>733022</v>
      </c>
      <c r="K40" s="23">
        <v>625693</v>
      </c>
      <c r="L40" s="23">
        <v>400857</v>
      </c>
      <c r="M40" s="23">
        <v>759836</v>
      </c>
      <c r="N40" s="23">
        <v>723645</v>
      </c>
      <c r="O40" s="23">
        <v>732439</v>
      </c>
      <c r="P40" s="23"/>
      <c r="Q40" s="23">
        <v>676783</v>
      </c>
      <c r="R40" s="23"/>
      <c r="S40" s="60">
        <v>596174</v>
      </c>
      <c r="T40" s="60">
        <v>596174</v>
      </c>
      <c r="U40" s="60">
        <v>647372</v>
      </c>
    </row>
    <row r="41" spans="1:21" x14ac:dyDescent="0.25">
      <c r="A41" s="29">
        <v>893000</v>
      </c>
      <c r="B41" s="19"/>
      <c r="C41" s="30" t="s">
        <v>80</v>
      </c>
      <c r="E41" s="23">
        <v>8806</v>
      </c>
      <c r="F41" s="23">
        <v>294785</v>
      </c>
      <c r="G41" s="23">
        <v>249858</v>
      </c>
      <c r="H41" s="23">
        <v>244363</v>
      </c>
      <c r="I41" s="23">
        <v>192215</v>
      </c>
      <c r="J41" s="23">
        <v>354154</v>
      </c>
      <c r="K41" s="23">
        <v>301184</v>
      </c>
      <c r="L41" s="23">
        <v>543580</v>
      </c>
      <c r="M41" s="23">
        <v>284008</v>
      </c>
      <c r="N41" s="23">
        <v>462658</v>
      </c>
      <c r="O41" s="23">
        <v>215258</v>
      </c>
      <c r="P41" s="23"/>
      <c r="Q41" s="23">
        <v>207313</v>
      </c>
      <c r="R41" s="23"/>
      <c r="S41" s="60">
        <v>277999</v>
      </c>
      <c r="T41" s="60">
        <v>277999</v>
      </c>
      <c r="U41" s="60">
        <v>17493</v>
      </c>
    </row>
    <row r="42" spans="1:21" x14ac:dyDescent="0.25">
      <c r="A42" s="29">
        <v>894000</v>
      </c>
      <c r="B42" s="19"/>
      <c r="C42" s="30" t="s">
        <v>81</v>
      </c>
      <c r="E42" s="23">
        <v>24240</v>
      </c>
      <c r="F42" s="23">
        <v>19116</v>
      </c>
      <c r="G42" s="23">
        <v>49415</v>
      </c>
      <c r="H42" s="23">
        <v>33601</v>
      </c>
      <c r="I42" s="23">
        <v>22158</v>
      </c>
      <c r="J42" s="23">
        <v>23265</v>
      </c>
      <c r="K42" s="23">
        <v>25279</v>
      </c>
      <c r="L42" s="23">
        <v>45930</v>
      </c>
      <c r="M42" s="23">
        <v>5825</v>
      </c>
      <c r="N42" s="23">
        <v>-54236</v>
      </c>
      <c r="O42" s="23">
        <v>75241</v>
      </c>
      <c r="P42" s="23"/>
      <c r="Q42" s="23">
        <v>208655</v>
      </c>
      <c r="R42" s="23"/>
      <c r="S42" s="60">
        <v>52951</v>
      </c>
      <c r="T42" s="60">
        <v>52951</v>
      </c>
      <c r="U42" s="60">
        <v>-24928</v>
      </c>
    </row>
    <row r="43" spans="1:21" x14ac:dyDescent="0.25">
      <c r="A43" s="19"/>
      <c r="B43" s="19"/>
      <c r="C43" s="20" t="s">
        <v>82</v>
      </c>
      <c r="E43" s="21">
        <f t="shared" ref="E43:T43" si="6">SUM(E36:E42)</f>
        <v>1812141</v>
      </c>
      <c r="F43" s="21">
        <f t="shared" si="6"/>
        <v>1629463</v>
      </c>
      <c r="G43" s="21">
        <f t="shared" si="6"/>
        <v>1617802</v>
      </c>
      <c r="H43" s="21">
        <f t="shared" si="6"/>
        <v>1618655</v>
      </c>
      <c r="I43" s="21">
        <f t="shared" si="6"/>
        <v>1692896</v>
      </c>
      <c r="J43" s="21">
        <f t="shared" si="6"/>
        <v>2008483</v>
      </c>
      <c r="K43" s="21">
        <f t="shared" si="6"/>
        <v>1784480</v>
      </c>
      <c r="L43" s="21">
        <f t="shared" si="6"/>
        <v>1795247</v>
      </c>
      <c r="M43" s="21">
        <f t="shared" si="6"/>
        <v>2020025</v>
      </c>
      <c r="N43" s="21">
        <f t="shared" si="6"/>
        <v>2622290</v>
      </c>
      <c r="O43" s="21">
        <f t="shared" si="6"/>
        <v>2349997</v>
      </c>
      <c r="P43" s="21"/>
      <c r="Q43" s="21">
        <f t="shared" si="6"/>
        <v>2038318</v>
      </c>
      <c r="R43" s="21"/>
      <c r="S43" s="59">
        <f t="shared" si="6"/>
        <v>3151664</v>
      </c>
      <c r="T43" s="59">
        <f t="shared" si="6"/>
        <v>3151664</v>
      </c>
      <c r="U43" s="59">
        <f>SUM(U36:U42)</f>
        <v>1802884</v>
      </c>
    </row>
    <row r="44" spans="1:21" x14ac:dyDescent="0.25">
      <c r="A44" s="19"/>
      <c r="B44" s="19"/>
      <c r="C44" s="20" t="s">
        <v>83</v>
      </c>
      <c r="E44" s="26">
        <f t="shared" ref="E44:T44" si="7">SUM(E34,E43)</f>
        <v>5942862</v>
      </c>
      <c r="F44" s="26">
        <f t="shared" si="7"/>
        <v>5883025</v>
      </c>
      <c r="G44" s="26">
        <f t="shared" si="7"/>
        <v>6182369</v>
      </c>
      <c r="H44" s="26">
        <f t="shared" si="7"/>
        <v>7421248</v>
      </c>
      <c r="I44" s="26">
        <f t="shared" si="7"/>
        <v>7387642</v>
      </c>
      <c r="J44" s="26">
        <f t="shared" si="7"/>
        <v>10114332</v>
      </c>
      <c r="K44" s="26">
        <f t="shared" si="7"/>
        <v>8580421</v>
      </c>
      <c r="L44" s="26">
        <f t="shared" si="7"/>
        <v>9780129</v>
      </c>
      <c r="M44" s="26">
        <f t="shared" si="7"/>
        <v>11105384</v>
      </c>
      <c r="N44" s="26">
        <f t="shared" si="7"/>
        <v>9814026</v>
      </c>
      <c r="O44" s="26">
        <f t="shared" si="7"/>
        <v>9780274</v>
      </c>
      <c r="P44" s="26"/>
      <c r="Q44" s="26">
        <f t="shared" si="7"/>
        <v>8649019</v>
      </c>
      <c r="R44" s="26"/>
      <c r="S44" s="61">
        <f t="shared" si="7"/>
        <v>11942477</v>
      </c>
      <c r="T44" s="61">
        <f t="shared" si="7"/>
        <v>12032351</v>
      </c>
      <c r="U44" s="61">
        <f>SUM(U34,U43)</f>
        <v>8313881</v>
      </c>
    </row>
    <row r="45" spans="1:21" x14ac:dyDescent="0.25">
      <c r="A45" s="19"/>
      <c r="B45" s="19"/>
      <c r="C45" s="22" t="s">
        <v>84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60"/>
      <c r="T45" s="60"/>
      <c r="U45" s="60"/>
    </row>
    <row r="46" spans="1:21" x14ac:dyDescent="0.25">
      <c r="A46" s="29">
        <v>901000</v>
      </c>
      <c r="B46" s="19"/>
      <c r="C46" s="20" t="s">
        <v>85</v>
      </c>
      <c r="E46" s="18">
        <v>0</v>
      </c>
      <c r="F46" s="18">
        <v>569</v>
      </c>
      <c r="G46" s="18">
        <v>282</v>
      </c>
      <c r="H46" s="18">
        <v>0</v>
      </c>
      <c r="I46" s="18">
        <v>130</v>
      </c>
      <c r="J46" s="18">
        <v>32802</v>
      </c>
      <c r="K46" s="18">
        <v>43817</v>
      </c>
      <c r="L46" s="18">
        <v>404392</v>
      </c>
      <c r="M46" s="18">
        <v>587612</v>
      </c>
      <c r="N46" s="18">
        <v>412906</v>
      </c>
      <c r="O46" s="18">
        <v>223943</v>
      </c>
      <c r="P46" s="18"/>
      <c r="Q46" s="18">
        <v>199855</v>
      </c>
      <c r="R46" s="18"/>
      <c r="S46" s="58">
        <v>185894</v>
      </c>
      <c r="T46" s="58">
        <v>185894</v>
      </c>
      <c r="U46" s="58">
        <v>187499</v>
      </c>
    </row>
    <row r="47" spans="1:21" x14ac:dyDescent="0.25">
      <c r="A47" s="29">
        <v>902000</v>
      </c>
      <c r="B47" s="19"/>
      <c r="C47" s="20" t="s">
        <v>86</v>
      </c>
      <c r="E47" s="23">
        <v>777488</v>
      </c>
      <c r="F47" s="23">
        <v>661780</v>
      </c>
      <c r="G47" s="23">
        <v>659485</v>
      </c>
      <c r="H47" s="23">
        <v>693459</v>
      </c>
      <c r="I47" s="23">
        <v>682775</v>
      </c>
      <c r="J47" s="23">
        <v>514255</v>
      </c>
      <c r="K47" s="23">
        <v>710370</v>
      </c>
      <c r="L47" s="23">
        <v>618439</v>
      </c>
      <c r="M47" s="23">
        <v>467970</v>
      </c>
      <c r="N47" s="23">
        <v>295335</v>
      </c>
      <c r="O47" s="23">
        <v>37775</v>
      </c>
      <c r="P47" s="23"/>
      <c r="Q47" s="23">
        <v>19162</v>
      </c>
      <c r="R47" s="23"/>
      <c r="S47" s="60">
        <v>15923</v>
      </c>
      <c r="T47" s="60">
        <v>15923</v>
      </c>
      <c r="U47" s="60">
        <v>950</v>
      </c>
    </row>
    <row r="48" spans="1:21" x14ac:dyDescent="0.25">
      <c r="A48" s="29">
        <v>903000</v>
      </c>
      <c r="B48" s="19"/>
      <c r="C48" s="20" t="s">
        <v>87</v>
      </c>
      <c r="E48" s="23">
        <v>1936912</v>
      </c>
      <c r="F48" s="23">
        <v>2970386</v>
      </c>
      <c r="G48" s="23">
        <v>3257712</v>
      </c>
      <c r="H48" s="23">
        <v>2803957</v>
      </c>
      <c r="I48" s="23">
        <v>2535317</v>
      </c>
      <c r="J48" s="23">
        <v>2676423</v>
      </c>
      <c r="K48" s="23">
        <v>2589591</v>
      </c>
      <c r="L48" s="23">
        <v>2798436</v>
      </c>
      <c r="M48" s="23">
        <v>2568495</v>
      </c>
      <c r="N48" s="23">
        <v>2842101</v>
      </c>
      <c r="O48" s="23">
        <v>2883797</v>
      </c>
      <c r="P48" s="23"/>
      <c r="Q48" s="23">
        <v>2706163</v>
      </c>
      <c r="R48" s="23"/>
      <c r="S48" s="60">
        <v>2595599</v>
      </c>
      <c r="T48" s="60">
        <f>2595599-588830-19734</f>
        <v>1987035</v>
      </c>
      <c r="U48" s="60">
        <f>4250853-1227152-8-29232+1171882-205232</f>
        <v>3961111</v>
      </c>
    </row>
    <row r="49" spans="1:21" x14ac:dyDescent="0.25">
      <c r="A49" s="29">
        <v>904000</v>
      </c>
      <c r="B49" s="19"/>
      <c r="C49" s="20" t="s">
        <v>88</v>
      </c>
      <c r="E49" s="23">
        <v>1403255</v>
      </c>
      <c r="F49" s="23">
        <v>925196</v>
      </c>
      <c r="G49" s="23">
        <v>925068</v>
      </c>
      <c r="H49" s="23">
        <v>547638</v>
      </c>
      <c r="I49" s="23">
        <v>374134</v>
      </c>
      <c r="J49" s="23">
        <v>297865</v>
      </c>
      <c r="K49" s="23">
        <v>242191</v>
      </c>
      <c r="L49" s="23">
        <v>185695</v>
      </c>
      <c r="M49" s="23">
        <v>3920</v>
      </c>
      <c r="N49" s="23">
        <v>8111</v>
      </c>
      <c r="O49" s="23">
        <v>4920</v>
      </c>
      <c r="P49" s="23"/>
      <c r="Q49" s="23">
        <v>6856</v>
      </c>
      <c r="R49" s="23"/>
      <c r="S49" s="60">
        <v>378591</v>
      </c>
      <c r="T49" s="60">
        <v>378591</v>
      </c>
      <c r="U49" s="60">
        <v>205232</v>
      </c>
    </row>
    <row r="50" spans="1:21" x14ac:dyDescent="0.25">
      <c r="A50" s="29">
        <v>905000</v>
      </c>
      <c r="B50" s="19"/>
      <c r="C50" s="20" t="s">
        <v>89</v>
      </c>
      <c r="E50" s="23">
        <v>0</v>
      </c>
      <c r="F50" s="23"/>
      <c r="G50" s="23"/>
      <c r="H50" s="23">
        <v>21</v>
      </c>
      <c r="I50" s="23">
        <v>111</v>
      </c>
      <c r="J50" s="23">
        <v>378</v>
      </c>
      <c r="K50" s="23">
        <v>757</v>
      </c>
      <c r="L50" s="23">
        <v>318</v>
      </c>
      <c r="M50" s="23">
        <v>314</v>
      </c>
      <c r="N50" s="23">
        <v>265</v>
      </c>
      <c r="O50" s="23">
        <v>482</v>
      </c>
      <c r="P50" s="23"/>
      <c r="Q50" s="23">
        <v>188</v>
      </c>
      <c r="R50" s="23"/>
      <c r="S50" s="60">
        <v>105421</v>
      </c>
      <c r="T50" s="60">
        <v>105421</v>
      </c>
      <c r="U50" s="60"/>
    </row>
    <row r="51" spans="1:21" x14ac:dyDescent="0.25">
      <c r="A51" s="29"/>
      <c r="B51" s="19"/>
      <c r="C51" s="20" t="s">
        <v>90</v>
      </c>
      <c r="E51" s="26">
        <f t="shared" ref="E51:K51" si="8">SUM(E46:E50)</f>
        <v>4117655</v>
      </c>
      <c r="F51" s="26">
        <f t="shared" si="8"/>
        <v>4557931</v>
      </c>
      <c r="G51" s="26">
        <f t="shared" si="8"/>
        <v>4842547</v>
      </c>
      <c r="H51" s="26">
        <f t="shared" si="8"/>
        <v>4045075</v>
      </c>
      <c r="I51" s="26">
        <f t="shared" si="8"/>
        <v>3592467</v>
      </c>
      <c r="J51" s="26">
        <f t="shared" si="8"/>
        <v>3521723</v>
      </c>
      <c r="K51" s="26">
        <f t="shared" si="8"/>
        <v>3586726</v>
      </c>
      <c r="L51" s="26">
        <f t="shared" ref="L51:T51" si="9">SUM(L46:L50)</f>
        <v>4007280</v>
      </c>
      <c r="M51" s="26">
        <f t="shared" si="9"/>
        <v>3628311</v>
      </c>
      <c r="N51" s="26">
        <f t="shared" si="9"/>
        <v>3558718</v>
      </c>
      <c r="O51" s="26">
        <f t="shared" si="9"/>
        <v>3150917</v>
      </c>
      <c r="P51" s="26"/>
      <c r="Q51" s="26">
        <f t="shared" si="9"/>
        <v>2932224</v>
      </c>
      <c r="R51" s="26"/>
      <c r="S51" s="61">
        <f t="shared" si="9"/>
        <v>3281428</v>
      </c>
      <c r="T51" s="61">
        <f t="shared" si="9"/>
        <v>2672864</v>
      </c>
      <c r="U51" s="61">
        <f>SUM(U46:U50)</f>
        <v>4354792</v>
      </c>
    </row>
    <row r="52" spans="1:21" x14ac:dyDescent="0.25">
      <c r="A52" s="29"/>
      <c r="B52" s="19"/>
      <c r="C52" s="22" t="s">
        <v>91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60"/>
      <c r="T52" s="60"/>
      <c r="U52" s="60"/>
    </row>
    <row r="53" spans="1:21" x14ac:dyDescent="0.25">
      <c r="A53" s="24">
        <v>908000</v>
      </c>
      <c r="B53" s="19"/>
      <c r="C53" s="20" t="s">
        <v>92</v>
      </c>
      <c r="E53" s="18">
        <v>159070</v>
      </c>
      <c r="F53" s="18">
        <v>138390</v>
      </c>
      <c r="G53" s="18">
        <v>132457</v>
      </c>
      <c r="H53" s="18">
        <v>133191</v>
      </c>
      <c r="I53" s="18">
        <v>130093</v>
      </c>
      <c r="J53" s="18">
        <v>157313</v>
      </c>
      <c r="K53" s="18">
        <v>157153</v>
      </c>
      <c r="L53" s="18">
        <v>166854</v>
      </c>
      <c r="M53" s="18">
        <v>139343</v>
      </c>
      <c r="N53" s="18">
        <v>162535</v>
      </c>
      <c r="O53" s="18">
        <v>168784</v>
      </c>
      <c r="P53" s="18"/>
      <c r="Q53" s="18">
        <v>106450</v>
      </c>
      <c r="R53" s="18"/>
      <c r="S53" s="58">
        <v>105903</v>
      </c>
      <c r="T53" s="58">
        <f>105903-20595</f>
        <v>85308</v>
      </c>
      <c r="U53" s="58">
        <f>157218-180</f>
        <v>157038</v>
      </c>
    </row>
    <row r="54" spans="1:21" x14ac:dyDescent="0.25">
      <c r="A54" s="24">
        <v>909000</v>
      </c>
      <c r="B54" s="19"/>
      <c r="C54" s="20" t="s">
        <v>93</v>
      </c>
      <c r="E54" s="23">
        <v>0</v>
      </c>
      <c r="F54" s="23">
        <v>13140</v>
      </c>
      <c r="G54" s="23">
        <v>3923</v>
      </c>
      <c r="H54" s="23">
        <v>9468</v>
      </c>
      <c r="I54" s="23">
        <v>8963</v>
      </c>
      <c r="J54" s="23">
        <v>5456</v>
      </c>
      <c r="K54" s="23">
        <v>3594</v>
      </c>
      <c r="L54" s="23">
        <v>200</v>
      </c>
      <c r="M54" s="23">
        <v>1310</v>
      </c>
      <c r="N54" s="23">
        <v>3847</v>
      </c>
      <c r="O54" s="23">
        <v>4636</v>
      </c>
      <c r="P54" s="23"/>
      <c r="Q54" s="23">
        <v>1734</v>
      </c>
      <c r="R54" s="23"/>
      <c r="S54" s="60"/>
      <c r="T54" s="60"/>
      <c r="U54" s="60"/>
    </row>
    <row r="55" spans="1:21" x14ac:dyDescent="0.25">
      <c r="A55" s="24">
        <v>910000</v>
      </c>
      <c r="B55" s="19"/>
      <c r="C55" s="20" t="s">
        <v>94</v>
      </c>
      <c r="E55" s="23">
        <v>373459</v>
      </c>
      <c r="F55" s="23">
        <v>982628</v>
      </c>
      <c r="G55" s="23">
        <v>1330567</v>
      </c>
      <c r="H55" s="23">
        <v>1210948</v>
      </c>
      <c r="I55" s="23">
        <v>933451</v>
      </c>
      <c r="J55" s="23">
        <v>625453</v>
      </c>
      <c r="K55" s="23">
        <v>471707</v>
      </c>
      <c r="L55" s="23">
        <v>338705</v>
      </c>
      <c r="M55" s="23">
        <v>310786</v>
      </c>
      <c r="N55" s="23">
        <v>248950</v>
      </c>
      <c r="O55" s="23">
        <v>252632</v>
      </c>
      <c r="P55" s="23"/>
      <c r="Q55" s="23">
        <v>178182</v>
      </c>
      <c r="R55" s="23"/>
      <c r="S55" s="60">
        <v>320933</v>
      </c>
      <c r="T55" s="60">
        <v>320933</v>
      </c>
      <c r="U55" s="60">
        <v>231972</v>
      </c>
    </row>
    <row r="56" spans="1:21" x14ac:dyDescent="0.25">
      <c r="A56" s="29"/>
      <c r="B56" s="19"/>
      <c r="C56" s="28" t="s">
        <v>95</v>
      </c>
      <c r="E56" s="26">
        <f t="shared" ref="E56:T56" si="10">SUM(E53:E55)</f>
        <v>532529</v>
      </c>
      <c r="F56" s="26">
        <f t="shared" si="10"/>
        <v>1134158</v>
      </c>
      <c r="G56" s="26">
        <f t="shared" si="10"/>
        <v>1466947</v>
      </c>
      <c r="H56" s="26">
        <f t="shared" si="10"/>
        <v>1353607</v>
      </c>
      <c r="I56" s="26">
        <f t="shared" si="10"/>
        <v>1072507</v>
      </c>
      <c r="J56" s="26">
        <f t="shared" si="10"/>
        <v>788222</v>
      </c>
      <c r="K56" s="26">
        <f t="shared" si="10"/>
        <v>632454</v>
      </c>
      <c r="L56" s="26">
        <f t="shared" si="10"/>
        <v>505759</v>
      </c>
      <c r="M56" s="26">
        <f t="shared" si="10"/>
        <v>451439</v>
      </c>
      <c r="N56" s="26">
        <f t="shared" si="10"/>
        <v>415332</v>
      </c>
      <c r="O56" s="26">
        <f t="shared" si="10"/>
        <v>426052</v>
      </c>
      <c r="P56" s="26"/>
      <c r="Q56" s="26">
        <f t="shared" si="10"/>
        <v>286366</v>
      </c>
      <c r="R56" s="26"/>
      <c r="S56" s="61">
        <f t="shared" si="10"/>
        <v>426836</v>
      </c>
      <c r="T56" s="61">
        <f t="shared" si="10"/>
        <v>406241</v>
      </c>
      <c r="U56" s="61">
        <f>SUM(U53:U55)</f>
        <v>389010</v>
      </c>
    </row>
    <row r="57" spans="1:21" x14ac:dyDescent="0.25">
      <c r="A57" s="19"/>
      <c r="B57" s="19"/>
      <c r="C57" s="22" t="s">
        <v>96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0"/>
      <c r="T57" s="60"/>
      <c r="U57" s="60"/>
    </row>
    <row r="58" spans="1:21" x14ac:dyDescent="0.25">
      <c r="A58" s="29">
        <v>911000</v>
      </c>
      <c r="B58" s="19"/>
      <c r="C58" s="20" t="s">
        <v>97</v>
      </c>
      <c r="E58" s="18">
        <v>0</v>
      </c>
      <c r="F58" s="18">
        <v>0</v>
      </c>
      <c r="G58" s="18">
        <v>2301</v>
      </c>
      <c r="H58" s="18">
        <v>-1404</v>
      </c>
      <c r="I58" s="18"/>
      <c r="J58" s="18"/>
      <c r="K58" s="18"/>
      <c r="L58" s="18"/>
      <c r="M58" s="18">
        <v>19</v>
      </c>
      <c r="N58" s="18">
        <v>468</v>
      </c>
      <c r="O58" s="18">
        <v>9</v>
      </c>
      <c r="P58" s="18"/>
      <c r="Q58" s="18"/>
      <c r="R58" s="18"/>
      <c r="S58" s="58">
        <v>20643</v>
      </c>
      <c r="T58" s="58">
        <f>20643</f>
        <v>20643</v>
      </c>
      <c r="U58" s="58"/>
    </row>
    <row r="59" spans="1:21" x14ac:dyDescent="0.25">
      <c r="A59" s="29">
        <v>912000</v>
      </c>
      <c r="B59" s="19"/>
      <c r="C59" s="20" t="s">
        <v>98</v>
      </c>
      <c r="E59" s="23">
        <v>0</v>
      </c>
      <c r="F59" s="23">
        <v>75</v>
      </c>
      <c r="G59" s="23">
        <v>27</v>
      </c>
      <c r="H59" s="23">
        <v>3410</v>
      </c>
      <c r="I59" s="23">
        <v>1</v>
      </c>
      <c r="J59" s="23">
        <v>201746</v>
      </c>
      <c r="K59" s="23">
        <v>114357</v>
      </c>
      <c r="L59" s="23">
        <v>90223</v>
      </c>
      <c r="M59" s="23">
        <v>99009</v>
      </c>
      <c r="N59" s="23">
        <v>164756</v>
      </c>
      <c r="O59" s="23">
        <v>205077</v>
      </c>
      <c r="P59" s="23"/>
      <c r="Q59" s="23">
        <v>243895</v>
      </c>
      <c r="R59" s="23"/>
      <c r="S59" s="60">
        <v>173485</v>
      </c>
      <c r="T59" s="60">
        <v>173485</v>
      </c>
      <c r="U59" s="60">
        <f>413912-14352</f>
        <v>399560</v>
      </c>
    </row>
    <row r="60" spans="1:21" x14ac:dyDescent="0.25">
      <c r="A60" s="29">
        <v>913000</v>
      </c>
      <c r="B60" s="19"/>
      <c r="C60" s="20" t="s">
        <v>99</v>
      </c>
      <c r="E60" s="23">
        <v>0</v>
      </c>
      <c r="F60" s="23">
        <v>12557</v>
      </c>
      <c r="G60" s="23">
        <v>34826</v>
      </c>
      <c r="H60" s="23">
        <v>25343</v>
      </c>
      <c r="I60" s="23">
        <v>16392</v>
      </c>
      <c r="J60" s="23">
        <v>7119</v>
      </c>
      <c r="K60" s="23">
        <v>490</v>
      </c>
      <c r="L60" s="23">
        <v>3768</v>
      </c>
      <c r="M60" s="23">
        <v>7303</v>
      </c>
      <c r="N60" s="23">
        <v>6084</v>
      </c>
      <c r="O60" s="23">
        <v>3965</v>
      </c>
      <c r="P60" s="23"/>
      <c r="Q60" s="23">
        <v>2601</v>
      </c>
      <c r="R60" s="23"/>
      <c r="S60" s="60">
        <v>6339</v>
      </c>
      <c r="T60" s="60">
        <f>6339-6339</f>
        <v>0</v>
      </c>
      <c r="U60" s="60"/>
    </row>
    <row r="61" spans="1:21" x14ac:dyDescent="0.25">
      <c r="A61" s="29">
        <v>916000</v>
      </c>
      <c r="B61" s="19"/>
      <c r="C61" s="20" t="s">
        <v>100</v>
      </c>
      <c r="E61" s="23"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60"/>
      <c r="T61" s="60"/>
      <c r="U61" s="60"/>
    </row>
    <row r="62" spans="1:21" x14ac:dyDescent="0.25">
      <c r="A62" s="19"/>
      <c r="B62" s="19"/>
      <c r="C62" s="20" t="s">
        <v>101</v>
      </c>
      <c r="E62" s="26">
        <f t="shared" ref="E62:T62" si="11">SUM(E58:E61)</f>
        <v>0</v>
      </c>
      <c r="F62" s="26">
        <f t="shared" si="11"/>
        <v>12632</v>
      </c>
      <c r="G62" s="26">
        <f t="shared" si="11"/>
        <v>37154</v>
      </c>
      <c r="H62" s="26">
        <f t="shared" si="11"/>
        <v>27349</v>
      </c>
      <c r="I62" s="26">
        <f t="shared" si="11"/>
        <v>16393</v>
      </c>
      <c r="J62" s="26">
        <f t="shared" si="11"/>
        <v>208865</v>
      </c>
      <c r="K62" s="26">
        <f t="shared" si="11"/>
        <v>114847</v>
      </c>
      <c r="L62" s="26">
        <f t="shared" si="11"/>
        <v>93991</v>
      </c>
      <c r="M62" s="26">
        <f t="shared" si="11"/>
        <v>106331</v>
      </c>
      <c r="N62" s="26">
        <f t="shared" si="11"/>
        <v>171308</v>
      </c>
      <c r="O62" s="26">
        <f t="shared" si="11"/>
        <v>209051</v>
      </c>
      <c r="P62" s="26"/>
      <c r="Q62" s="26">
        <f t="shared" si="11"/>
        <v>246496</v>
      </c>
      <c r="R62" s="26"/>
      <c r="S62" s="61">
        <f t="shared" si="11"/>
        <v>200467</v>
      </c>
      <c r="T62" s="61">
        <f t="shared" si="11"/>
        <v>194128</v>
      </c>
      <c r="U62" s="61">
        <f>SUM(U58:U61)</f>
        <v>399560</v>
      </c>
    </row>
    <row r="63" spans="1:21" x14ac:dyDescent="0.25">
      <c r="A63" s="19"/>
      <c r="B63" s="19"/>
      <c r="C63" s="22" t="s">
        <v>102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60"/>
      <c r="T63" s="60"/>
      <c r="U63" s="60"/>
    </row>
    <row r="64" spans="1:21" x14ac:dyDescent="0.25">
      <c r="A64" s="19"/>
      <c r="B64" s="19"/>
      <c r="C64" s="22" t="s">
        <v>64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60"/>
      <c r="T64" s="60"/>
      <c r="U64" s="60"/>
    </row>
    <row r="65" spans="1:21" x14ac:dyDescent="0.25">
      <c r="A65" s="29">
        <v>920000</v>
      </c>
      <c r="B65" s="19"/>
      <c r="C65" s="20" t="s">
        <v>103</v>
      </c>
      <c r="E65" s="18">
        <v>2607552</v>
      </c>
      <c r="F65" s="18">
        <v>3010311</v>
      </c>
      <c r="G65" s="18">
        <v>2023847</v>
      </c>
      <c r="H65" s="18">
        <v>2554894</v>
      </c>
      <c r="I65" s="18">
        <v>1620342</v>
      </c>
      <c r="J65" s="18">
        <v>1632452</v>
      </c>
      <c r="K65" s="18">
        <v>2182998</v>
      </c>
      <c r="L65" s="18">
        <v>1910444</v>
      </c>
      <c r="M65" s="18">
        <v>1750117</v>
      </c>
      <c r="N65" s="18">
        <v>2980149</v>
      </c>
      <c r="O65" s="18">
        <v>2668810</v>
      </c>
      <c r="P65" s="18"/>
      <c r="Q65" s="18">
        <v>2255247</v>
      </c>
      <c r="R65" s="18"/>
      <c r="S65" s="58">
        <v>2190228</v>
      </c>
      <c r="T65" s="58">
        <f>2190228-160388-277270-151546</f>
        <v>1601024</v>
      </c>
      <c r="U65" s="58">
        <f>2275027-96684-583357</f>
        <v>1594986</v>
      </c>
    </row>
    <row r="66" spans="1:21" x14ac:dyDescent="0.25">
      <c r="A66" s="29">
        <v>921</v>
      </c>
      <c r="B66" s="19"/>
      <c r="C66" s="20" t="s">
        <v>104</v>
      </c>
      <c r="E66" s="23">
        <v>1353416</v>
      </c>
      <c r="F66" s="23">
        <v>1368441</v>
      </c>
      <c r="G66" s="23">
        <v>1479614</v>
      </c>
      <c r="H66" s="23">
        <v>1431640</v>
      </c>
      <c r="I66" s="23">
        <v>1237400</v>
      </c>
      <c r="J66" s="23">
        <v>923272</v>
      </c>
      <c r="K66" s="23">
        <v>1054946</v>
      </c>
      <c r="L66" s="23">
        <v>908525</v>
      </c>
      <c r="M66" s="23">
        <v>1014537</v>
      </c>
      <c r="N66" s="23">
        <v>1223848</v>
      </c>
      <c r="O66" s="23">
        <v>1275555</v>
      </c>
      <c r="P66" s="23"/>
      <c r="Q66" s="23">
        <v>1414566</v>
      </c>
      <c r="R66" s="23"/>
      <c r="S66" s="60">
        <v>999204</v>
      </c>
      <c r="T66" s="60">
        <f>999204-44311-24597</f>
        <v>930296</v>
      </c>
      <c r="U66" s="60">
        <f>1645347-19249</f>
        <v>1626098</v>
      </c>
    </row>
    <row r="67" spans="1:21" x14ac:dyDescent="0.25">
      <c r="A67" s="29">
        <v>922</v>
      </c>
      <c r="B67" s="19"/>
      <c r="C67" s="20" t="s">
        <v>105</v>
      </c>
      <c r="E67" s="23"/>
      <c r="F67" s="23">
        <v>10</v>
      </c>
      <c r="G67" s="23">
        <v>-110</v>
      </c>
      <c r="H67" s="23">
        <v>-50</v>
      </c>
      <c r="I67" s="23">
        <v>-8</v>
      </c>
      <c r="J67" s="23">
        <v>0</v>
      </c>
      <c r="K67" s="23"/>
      <c r="L67" s="23">
        <v>-475</v>
      </c>
      <c r="M67" s="23">
        <v>-331</v>
      </c>
      <c r="N67" s="23">
        <v>-150</v>
      </c>
      <c r="O67" s="23">
        <v>-126</v>
      </c>
      <c r="P67" s="23"/>
      <c r="Q67" s="23"/>
      <c r="R67" s="23"/>
      <c r="S67" s="60"/>
      <c r="T67" s="60"/>
      <c r="U67" s="60"/>
    </row>
    <row r="68" spans="1:21" x14ac:dyDescent="0.25">
      <c r="A68" s="29">
        <v>923000</v>
      </c>
      <c r="B68" s="19"/>
      <c r="C68" s="20" t="s">
        <v>106</v>
      </c>
      <c r="E68" s="23">
        <v>1904139</v>
      </c>
      <c r="F68" s="23">
        <v>1265096</v>
      </c>
      <c r="G68" s="23">
        <v>1332913</v>
      </c>
      <c r="H68" s="23">
        <v>1289206</v>
      </c>
      <c r="I68" s="23">
        <v>1107981</v>
      </c>
      <c r="J68" s="23">
        <v>1042364</v>
      </c>
      <c r="K68" s="23">
        <v>883801</v>
      </c>
      <c r="L68" s="23">
        <v>536163</v>
      </c>
      <c r="M68" s="23">
        <v>1092343</v>
      </c>
      <c r="N68" s="23">
        <v>2155791</v>
      </c>
      <c r="O68" s="23">
        <v>818508</v>
      </c>
      <c r="P68" s="23"/>
      <c r="Q68" s="23">
        <v>2580019</v>
      </c>
      <c r="R68" s="23"/>
      <c r="S68" s="60">
        <v>461280</v>
      </c>
      <c r="T68" s="60">
        <f>461280-5006</f>
        <v>456274</v>
      </c>
      <c r="U68" s="60">
        <f>512384-7464</f>
        <v>504920</v>
      </c>
    </row>
    <row r="69" spans="1:21" x14ac:dyDescent="0.25">
      <c r="A69" s="29">
        <v>924000</v>
      </c>
      <c r="B69" s="19"/>
      <c r="C69" s="20" t="s">
        <v>107</v>
      </c>
      <c r="E69" s="23">
        <v>131418</v>
      </c>
      <c r="F69" s="23">
        <v>139562</v>
      </c>
      <c r="G69" s="23">
        <v>210573</v>
      </c>
      <c r="H69" s="23">
        <v>152510</v>
      </c>
      <c r="I69" s="23">
        <v>150873</v>
      </c>
      <c r="J69" s="23">
        <v>168422</v>
      </c>
      <c r="K69" s="23">
        <v>158576</v>
      </c>
      <c r="L69" s="23">
        <v>129250</v>
      </c>
      <c r="M69" s="23">
        <v>128252</v>
      </c>
      <c r="N69" s="23">
        <v>56754</v>
      </c>
      <c r="O69" s="23">
        <v>53534</v>
      </c>
      <c r="P69" s="23"/>
      <c r="Q69" s="23">
        <v>56824</v>
      </c>
      <c r="R69" s="23"/>
      <c r="S69" s="60">
        <v>61536</v>
      </c>
      <c r="T69" s="60">
        <v>61536</v>
      </c>
      <c r="U69" s="60">
        <v>67200</v>
      </c>
    </row>
    <row r="70" spans="1:21" x14ac:dyDescent="0.25">
      <c r="A70" s="29">
        <v>925000</v>
      </c>
      <c r="B70" s="19"/>
      <c r="C70" s="20" t="s">
        <v>108</v>
      </c>
      <c r="E70" s="23">
        <v>103662</v>
      </c>
      <c r="F70" s="23">
        <v>105968</v>
      </c>
      <c r="G70" s="23">
        <v>136517</v>
      </c>
      <c r="H70" s="23">
        <v>175019</v>
      </c>
      <c r="I70" s="23">
        <v>152048</v>
      </c>
      <c r="J70" s="23">
        <v>54082</v>
      </c>
      <c r="K70" s="23">
        <v>463576</v>
      </c>
      <c r="L70" s="23">
        <v>513100</v>
      </c>
      <c r="M70" s="23">
        <v>423476</v>
      </c>
      <c r="N70" s="23">
        <v>166823</v>
      </c>
      <c r="O70" s="23">
        <v>133820</v>
      </c>
      <c r="P70" s="23"/>
      <c r="Q70" s="23">
        <v>108902</v>
      </c>
      <c r="R70" s="23"/>
      <c r="S70" s="60">
        <v>90396</v>
      </c>
      <c r="T70" s="60">
        <v>90396</v>
      </c>
      <c r="U70" s="60">
        <v>140600</v>
      </c>
    </row>
    <row r="71" spans="1:21" x14ac:dyDescent="0.25">
      <c r="A71" s="32">
        <v>926</v>
      </c>
      <c r="B71" s="19"/>
      <c r="C71" s="20" t="s">
        <v>109</v>
      </c>
      <c r="E71" s="23">
        <v>1243304</v>
      </c>
      <c r="F71" s="23">
        <v>2288199</v>
      </c>
      <c r="G71" s="23">
        <v>2372491</v>
      </c>
      <c r="H71" s="23">
        <v>2589141</v>
      </c>
      <c r="I71" s="23">
        <v>2807898</v>
      </c>
      <c r="J71" s="23">
        <v>2135551</v>
      </c>
      <c r="K71" s="23">
        <v>2468507</v>
      </c>
      <c r="L71" s="23">
        <v>1642940</v>
      </c>
      <c r="M71" s="23">
        <v>1815518</v>
      </c>
      <c r="N71" s="23">
        <v>2044715</v>
      </c>
      <c r="O71" s="23">
        <v>1797684</v>
      </c>
      <c r="P71" s="23"/>
      <c r="Q71" s="23">
        <v>2162301</v>
      </c>
      <c r="R71" s="23"/>
      <c r="S71" s="60">
        <v>2381447</v>
      </c>
      <c r="T71" s="60">
        <f>2381447-39022-768258</f>
        <v>1574167</v>
      </c>
      <c r="U71" s="60">
        <f>2063396-26736</f>
        <v>2036660</v>
      </c>
    </row>
    <row r="72" spans="1:21" x14ac:dyDescent="0.25">
      <c r="A72" s="29">
        <v>928000</v>
      </c>
      <c r="B72" s="19"/>
      <c r="C72" s="20" t="s">
        <v>110</v>
      </c>
      <c r="E72" s="23">
        <v>590384</v>
      </c>
      <c r="F72" s="23">
        <v>624440</v>
      </c>
      <c r="G72" s="23">
        <v>284622</v>
      </c>
      <c r="H72" s="23">
        <v>261390</v>
      </c>
      <c r="I72" s="23">
        <v>181122</v>
      </c>
      <c r="J72" s="23">
        <v>180171</v>
      </c>
      <c r="K72" s="23">
        <v>216289</v>
      </c>
      <c r="L72" s="23">
        <v>218031</v>
      </c>
      <c r="M72" s="23">
        <v>194195</v>
      </c>
      <c r="N72" s="23">
        <v>186988</v>
      </c>
      <c r="O72" s="23">
        <v>232005</v>
      </c>
      <c r="P72" s="23"/>
      <c r="Q72" s="23">
        <v>252903</v>
      </c>
      <c r="R72" s="23"/>
      <c r="S72" s="60">
        <v>203247</v>
      </c>
      <c r="T72" s="60">
        <f>203247+115100</f>
        <v>318347</v>
      </c>
      <c r="U72" s="60">
        <f>237636+70692</f>
        <v>308328</v>
      </c>
    </row>
    <row r="73" spans="1:21" x14ac:dyDescent="0.25">
      <c r="A73" s="29">
        <v>929010</v>
      </c>
      <c r="B73" s="19"/>
      <c r="C73" s="28" t="s">
        <v>111</v>
      </c>
      <c r="E73" s="23">
        <v>-6043</v>
      </c>
      <c r="F73" s="23">
        <v>186583</v>
      </c>
      <c r="G73" s="23">
        <v>247938</v>
      </c>
      <c r="H73" s="23">
        <v>204857</v>
      </c>
      <c r="I73" s="23">
        <v>78937</v>
      </c>
      <c r="J73" s="23">
        <v>222852</v>
      </c>
      <c r="K73" s="23">
        <v>193419</v>
      </c>
      <c r="L73" s="23">
        <v>270461</v>
      </c>
      <c r="M73" s="23">
        <v>266488</v>
      </c>
      <c r="N73" s="23">
        <v>296254</v>
      </c>
      <c r="O73" s="23">
        <v>269830</v>
      </c>
      <c r="P73" s="23"/>
      <c r="Q73" s="23">
        <v>159496</v>
      </c>
      <c r="R73" s="23"/>
      <c r="S73" s="60">
        <v>11725</v>
      </c>
      <c r="T73" s="60">
        <v>11725</v>
      </c>
      <c r="U73" s="60">
        <v>151080</v>
      </c>
    </row>
    <row r="74" spans="1:21" x14ac:dyDescent="0.25">
      <c r="A74" s="29">
        <v>930100</v>
      </c>
      <c r="B74" s="19"/>
      <c r="C74" s="20" t="s">
        <v>112</v>
      </c>
      <c r="E74" s="23">
        <v>116979</v>
      </c>
      <c r="F74" s="23">
        <v>7126</v>
      </c>
      <c r="G74" s="23">
        <v>5727</v>
      </c>
      <c r="H74" s="23">
        <v>4937</v>
      </c>
      <c r="I74" s="23">
        <v>1909</v>
      </c>
      <c r="J74" s="23">
        <v>25759</v>
      </c>
      <c r="K74" s="23">
        <v>10716</v>
      </c>
      <c r="L74" s="23">
        <v>7162</v>
      </c>
      <c r="M74" s="23">
        <v>8689</v>
      </c>
      <c r="N74" s="23">
        <v>27271</v>
      </c>
      <c r="O74" s="23">
        <v>21129</v>
      </c>
      <c r="P74" s="23"/>
      <c r="Q74" s="23">
        <v>17120</v>
      </c>
      <c r="R74" s="23"/>
      <c r="S74" s="60">
        <v>38844</v>
      </c>
      <c r="T74" s="60">
        <f>38844-38844</f>
        <v>0</v>
      </c>
      <c r="U74" s="60">
        <f>34032-34032</f>
        <v>0</v>
      </c>
    </row>
    <row r="75" spans="1:21" x14ac:dyDescent="0.25">
      <c r="A75" s="29">
        <v>930200</v>
      </c>
      <c r="B75" s="19"/>
      <c r="C75" s="28" t="s">
        <v>113</v>
      </c>
      <c r="E75" s="23"/>
      <c r="F75" s="23">
        <v>190691</v>
      </c>
      <c r="G75" s="23">
        <v>201211</v>
      </c>
      <c r="H75" s="23">
        <v>510343</v>
      </c>
      <c r="I75" s="23">
        <v>459926</v>
      </c>
      <c r="J75" s="23">
        <v>186059</v>
      </c>
      <c r="K75" s="23">
        <v>119097</v>
      </c>
      <c r="L75" s="23">
        <v>323575</v>
      </c>
      <c r="M75" s="23">
        <v>215142</v>
      </c>
      <c r="N75" s="23">
        <v>334441</v>
      </c>
      <c r="O75" s="23">
        <v>300826</v>
      </c>
      <c r="P75" s="23"/>
      <c r="Q75" s="23">
        <v>589609</v>
      </c>
      <c r="R75" s="23"/>
      <c r="S75" s="60">
        <v>512097</v>
      </c>
      <c r="T75" s="60">
        <f>512097-5788</f>
        <v>506309</v>
      </c>
      <c r="U75" s="60">
        <f>120441-13814+34104-3</f>
        <v>140728</v>
      </c>
    </row>
    <row r="76" spans="1:21" x14ac:dyDescent="0.25">
      <c r="A76" s="31">
        <v>931000</v>
      </c>
      <c r="B76" s="19"/>
      <c r="C76" s="20" t="s">
        <v>114</v>
      </c>
      <c r="E76" s="23">
        <v>1205621</v>
      </c>
      <c r="F76" s="23">
        <v>483223</v>
      </c>
      <c r="G76" s="23">
        <v>679221</v>
      </c>
      <c r="H76" s="23">
        <v>747115</v>
      </c>
      <c r="I76" s="23">
        <v>530832</v>
      </c>
      <c r="J76" s="23">
        <v>455680</v>
      </c>
      <c r="K76" s="23">
        <v>413324</v>
      </c>
      <c r="L76" s="23">
        <v>574016</v>
      </c>
      <c r="M76" s="23">
        <v>439855</v>
      </c>
      <c r="N76" s="23">
        <v>357830</v>
      </c>
      <c r="O76" s="23">
        <v>392728</v>
      </c>
      <c r="P76" s="23"/>
      <c r="Q76" s="23">
        <v>355510</v>
      </c>
      <c r="R76" s="23"/>
      <c r="S76" s="60">
        <v>37222</v>
      </c>
      <c r="T76" s="60">
        <f>37222-4119</f>
        <v>33103</v>
      </c>
      <c r="U76" s="60">
        <f>384252-4101</f>
        <v>380151</v>
      </c>
    </row>
    <row r="77" spans="1:21" x14ac:dyDescent="0.25">
      <c r="A77" s="19"/>
      <c r="B77" s="19"/>
      <c r="C77" s="20" t="s">
        <v>74</v>
      </c>
      <c r="E77" s="26">
        <f t="shared" ref="E77:S77" si="12">SUM(E65:E66,E68:E72,E74:E76)-E67-E73</f>
        <v>9262518</v>
      </c>
      <c r="F77" s="26">
        <f t="shared" si="12"/>
        <v>9296464</v>
      </c>
      <c r="G77" s="26">
        <f t="shared" si="12"/>
        <v>8478908</v>
      </c>
      <c r="H77" s="26">
        <f t="shared" si="12"/>
        <v>9511388</v>
      </c>
      <c r="I77" s="26">
        <f t="shared" si="12"/>
        <v>8171402</v>
      </c>
      <c r="J77" s="26">
        <f t="shared" si="12"/>
        <v>6580960</v>
      </c>
      <c r="K77" s="26">
        <f t="shared" si="12"/>
        <v>7778411</v>
      </c>
      <c r="L77" s="26">
        <f t="shared" si="12"/>
        <v>6493220</v>
      </c>
      <c r="M77" s="26">
        <f t="shared" si="12"/>
        <v>6815967</v>
      </c>
      <c r="N77" s="26">
        <f t="shared" si="12"/>
        <v>9238506</v>
      </c>
      <c r="O77" s="26">
        <f t="shared" si="12"/>
        <v>7424895</v>
      </c>
      <c r="P77" s="26"/>
      <c r="Q77" s="26">
        <f t="shared" si="12"/>
        <v>9633505</v>
      </c>
      <c r="R77" s="26"/>
      <c r="S77" s="61">
        <f t="shared" si="12"/>
        <v>6963776</v>
      </c>
      <c r="T77" s="61">
        <f>SUM(T65:T66,T68:T72,T74:T76)-T67-T73</f>
        <v>5559727</v>
      </c>
      <c r="U77" s="61">
        <f>SUM(U65:U66,U68:U72,U74:U76)-U67-U73</f>
        <v>6648591</v>
      </c>
    </row>
    <row r="78" spans="1:21" x14ac:dyDescent="0.25">
      <c r="A78" s="19"/>
      <c r="B78" s="19"/>
      <c r="C78" s="22" t="s">
        <v>75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60"/>
      <c r="T78" s="60"/>
      <c r="U78" s="60"/>
    </row>
    <row r="79" spans="1:21" x14ac:dyDescent="0.25">
      <c r="A79" s="29">
        <v>932000</v>
      </c>
      <c r="B79" s="19"/>
      <c r="C79" s="20" t="s">
        <v>115</v>
      </c>
      <c r="E79" s="18">
        <v>610973</v>
      </c>
      <c r="F79" s="18">
        <v>134034</v>
      </c>
      <c r="G79" s="18">
        <v>56000</v>
      </c>
      <c r="H79" s="18">
        <v>49705</v>
      </c>
      <c r="I79" s="18">
        <v>17184</v>
      </c>
      <c r="J79" s="18">
        <v>2852</v>
      </c>
      <c r="K79" s="18">
        <v>7684</v>
      </c>
      <c r="L79" s="18">
        <v>5666</v>
      </c>
      <c r="M79" s="18">
        <v>2527</v>
      </c>
      <c r="N79" s="18">
        <v>14933</v>
      </c>
      <c r="O79" s="18">
        <v>78906</v>
      </c>
      <c r="P79" s="18"/>
      <c r="Q79" s="18">
        <v>-328306</v>
      </c>
      <c r="R79" s="18"/>
      <c r="S79" s="58">
        <v>97</v>
      </c>
      <c r="T79" s="58">
        <v>97</v>
      </c>
      <c r="U79" s="58">
        <v>1260</v>
      </c>
    </row>
    <row r="80" spans="1:21" x14ac:dyDescent="0.25">
      <c r="A80" s="19"/>
      <c r="B80" s="19"/>
      <c r="C80" s="20" t="s">
        <v>116</v>
      </c>
      <c r="E80" s="26">
        <f t="shared" ref="E80:T80" si="13">+E77+E79</f>
        <v>9873491</v>
      </c>
      <c r="F80" s="26">
        <f t="shared" si="13"/>
        <v>9430498</v>
      </c>
      <c r="G80" s="26">
        <f t="shared" si="13"/>
        <v>8534908</v>
      </c>
      <c r="H80" s="26">
        <f t="shared" si="13"/>
        <v>9561093</v>
      </c>
      <c r="I80" s="26">
        <f t="shared" si="13"/>
        <v>8188586</v>
      </c>
      <c r="J80" s="26">
        <f t="shared" si="13"/>
        <v>6583812</v>
      </c>
      <c r="K80" s="26">
        <f t="shared" si="13"/>
        <v>7786095</v>
      </c>
      <c r="L80" s="26">
        <f t="shared" si="13"/>
        <v>6498886</v>
      </c>
      <c r="M80" s="26">
        <f t="shared" si="13"/>
        <v>6818494</v>
      </c>
      <c r="N80" s="26">
        <f t="shared" si="13"/>
        <v>9253439</v>
      </c>
      <c r="O80" s="26">
        <f t="shared" si="13"/>
        <v>7503801</v>
      </c>
      <c r="P80" s="26"/>
      <c r="Q80" s="26">
        <f t="shared" si="13"/>
        <v>9305199</v>
      </c>
      <c r="R80" s="26"/>
      <c r="S80" s="61">
        <f t="shared" si="13"/>
        <v>6963873</v>
      </c>
      <c r="T80" s="61">
        <f t="shared" si="13"/>
        <v>5559824</v>
      </c>
      <c r="U80" s="61">
        <f>+U77+U79</f>
        <v>6649851</v>
      </c>
    </row>
    <row r="81" spans="1:22" x14ac:dyDescent="0.25">
      <c r="A81" s="19"/>
      <c r="B81" s="19"/>
      <c r="C81" s="20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60"/>
      <c r="T81" s="60"/>
      <c r="U81" s="60"/>
    </row>
    <row r="82" spans="1:22" x14ac:dyDescent="0.25">
      <c r="A82" s="32">
        <v>407</v>
      </c>
      <c r="B82" s="19"/>
      <c r="C82" s="20" t="s">
        <v>117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S82" s="63"/>
      <c r="T82" s="60">
        <v>322346</v>
      </c>
      <c r="U82" s="60">
        <v>407760</v>
      </c>
    </row>
    <row r="83" spans="1:22" x14ac:dyDescent="0.25">
      <c r="A83" s="19"/>
      <c r="B83" s="19"/>
      <c r="C83" s="20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60"/>
      <c r="T83" s="60"/>
      <c r="U83" s="60"/>
    </row>
    <row r="84" spans="1:22" ht="16.5" thickBot="1" x14ac:dyDescent="0.3">
      <c r="A84" s="19"/>
      <c r="B84" s="19"/>
      <c r="C84" s="20" t="s">
        <v>118</v>
      </c>
      <c r="E84" s="33">
        <f t="shared" ref="E84:K84" si="14">SUM(E16,E44,E51,E56,E62,E80,E21)</f>
        <v>100841623</v>
      </c>
      <c r="F84" s="33">
        <f t="shared" si="14"/>
        <v>89800675</v>
      </c>
      <c r="G84" s="33">
        <f t="shared" si="14"/>
        <v>76421897</v>
      </c>
      <c r="H84" s="33">
        <f t="shared" si="14"/>
        <v>60582268</v>
      </c>
      <c r="I84" s="33">
        <f t="shared" si="14"/>
        <v>68309850</v>
      </c>
      <c r="J84" s="33">
        <f t="shared" si="14"/>
        <v>83385303</v>
      </c>
      <c r="K84" s="33">
        <f t="shared" si="14"/>
        <v>64673721</v>
      </c>
      <c r="L84" s="33">
        <f>SUM(L16,L44,L51,L56,L62,L80,L21)+L20</f>
        <v>55823174</v>
      </c>
      <c r="M84" s="33">
        <f>SUM(M16,M44,M51,M56,M62,M80,M21)+M20</f>
        <v>61108552</v>
      </c>
      <c r="N84" s="33">
        <f>SUM(N16,N44,N51,N56,N62,N80,N21)+N20</f>
        <v>68625681</v>
      </c>
      <c r="O84" s="33">
        <f>SUM(O16,O44,O51,O56,O62,O80,O21)+O20+O22+O18</f>
        <v>60597176</v>
      </c>
      <c r="P84" s="33"/>
      <c r="Q84" s="33">
        <f>SUM(Q16,Q44,Q51,Q56,Q62,Q80,Q21)+Q20+Q22+Q18</f>
        <v>48806909</v>
      </c>
      <c r="R84" s="33"/>
      <c r="S84" s="64">
        <f>SUM(S16,S44,S51,S56,S62,S80,S21)+S20+S22+S18</f>
        <v>59673742</v>
      </c>
      <c r="T84" s="64">
        <f>SUM(T16,T44,T51,T56,T62,T80,T21)+T20+T22+T18</f>
        <v>57199500</v>
      </c>
      <c r="U84" s="64">
        <f>SUM(U16,U44,U51,U56,U62,U80,U21)+U20+U22+U18</f>
        <v>61679322</v>
      </c>
    </row>
    <row r="85" spans="1:22" ht="16.5" thickTop="1" x14ac:dyDescent="0.25">
      <c r="A85" s="19"/>
      <c r="B85" s="19"/>
      <c r="C85" s="19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60"/>
      <c r="T85" s="60"/>
      <c r="U85" s="60"/>
    </row>
    <row r="86" spans="1:22" ht="16.5" thickBot="1" x14ac:dyDescent="0.3">
      <c r="A86" s="19"/>
      <c r="B86" s="19"/>
      <c r="C86" s="28" t="s">
        <v>119</v>
      </c>
      <c r="E86" s="33">
        <f t="shared" ref="E86:O86" si="15">+E84-E16</f>
        <v>20466537</v>
      </c>
      <c r="F86" s="33">
        <f t="shared" si="15"/>
        <v>21031254</v>
      </c>
      <c r="G86" s="33">
        <f t="shared" si="15"/>
        <v>21132531</v>
      </c>
      <c r="H86" s="33">
        <f t="shared" si="15"/>
        <v>22408372</v>
      </c>
      <c r="I86" s="33">
        <f t="shared" si="15"/>
        <v>20257595</v>
      </c>
      <c r="J86" s="33">
        <f t="shared" si="15"/>
        <v>21217144</v>
      </c>
      <c r="K86" s="33">
        <f t="shared" si="15"/>
        <v>20707033</v>
      </c>
      <c r="L86" s="33">
        <f t="shared" si="15"/>
        <v>20892930</v>
      </c>
      <c r="M86" s="33">
        <f t="shared" si="15"/>
        <v>22112675</v>
      </c>
      <c r="N86" s="33">
        <f t="shared" si="15"/>
        <v>23220102</v>
      </c>
      <c r="O86" s="33">
        <f t="shared" si="15"/>
        <v>21549512</v>
      </c>
      <c r="P86" s="33"/>
      <c r="Q86" s="33">
        <f>+Q84-Q16</f>
        <v>21622990</v>
      </c>
      <c r="R86" s="33"/>
      <c r="S86" s="64">
        <f>+S84-S16</f>
        <v>22815081</v>
      </c>
      <c r="T86" s="64">
        <f>+T84-T16</f>
        <v>20865408</v>
      </c>
      <c r="U86" s="64">
        <f>+U84-U16</f>
        <v>20642946</v>
      </c>
    </row>
    <row r="87" spans="1:22" ht="16.5" thickTop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5"/>
      <c r="T87" s="65"/>
      <c r="U87" s="65"/>
    </row>
    <row r="88" spans="1:22" x14ac:dyDescent="0.25">
      <c r="Q88" s="35"/>
      <c r="R88" s="35"/>
      <c r="S88" s="62"/>
      <c r="T88" s="62"/>
      <c r="U88" s="62"/>
    </row>
    <row r="89" spans="1:22" x14ac:dyDescent="0.25">
      <c r="A89" s="56" t="s">
        <v>120</v>
      </c>
      <c r="S89" s="62"/>
      <c r="T89" s="62"/>
      <c r="U89" s="62"/>
    </row>
    <row r="90" spans="1:22" x14ac:dyDescent="0.25">
      <c r="S90" s="62"/>
      <c r="T90" s="62"/>
      <c r="U90" s="62"/>
    </row>
    <row r="91" spans="1:22" x14ac:dyDescent="0.25">
      <c r="S91" s="62"/>
      <c r="T91" s="62"/>
      <c r="U91" s="62"/>
    </row>
    <row r="92" spans="1:22" x14ac:dyDescent="0.25">
      <c r="S92" s="62"/>
      <c r="T92" s="62"/>
      <c r="U92" s="62"/>
    </row>
    <row r="93" spans="1:22" x14ac:dyDescent="0.25">
      <c r="C93" s="36" t="s">
        <v>121</v>
      </c>
      <c r="E93" s="37">
        <f>+E20+E21+E22</f>
        <v>0</v>
      </c>
      <c r="F93" s="37">
        <f t="shared" ref="F93:U93" si="16">+F20+F21+F22</f>
        <v>13010</v>
      </c>
      <c r="G93" s="37">
        <f t="shared" si="16"/>
        <v>68606</v>
      </c>
      <c r="H93" s="37">
        <f t="shared" si="16"/>
        <v>0</v>
      </c>
      <c r="I93" s="37">
        <f t="shared" si="16"/>
        <v>0</v>
      </c>
      <c r="J93" s="37">
        <f t="shared" si="16"/>
        <v>190</v>
      </c>
      <c r="K93" s="37">
        <f t="shared" si="16"/>
        <v>6490</v>
      </c>
      <c r="L93" s="37">
        <f t="shared" si="16"/>
        <v>6885</v>
      </c>
      <c r="M93" s="37">
        <f t="shared" si="16"/>
        <v>2716</v>
      </c>
      <c r="N93" s="37">
        <f t="shared" si="16"/>
        <v>7279</v>
      </c>
      <c r="O93" s="37">
        <f t="shared" si="16"/>
        <v>428418</v>
      </c>
      <c r="P93" s="37">
        <f t="shared" si="16"/>
        <v>0</v>
      </c>
      <c r="Q93" s="37">
        <f t="shared" si="16"/>
        <v>203686</v>
      </c>
      <c r="R93" s="37"/>
      <c r="S93" s="66">
        <f t="shared" si="16"/>
        <v>0</v>
      </c>
      <c r="T93" s="66">
        <f t="shared" si="16"/>
        <v>0</v>
      </c>
      <c r="U93" s="66">
        <f t="shared" si="16"/>
        <v>535852</v>
      </c>
    </row>
    <row r="94" spans="1:22" s="12" customFormat="1" x14ac:dyDescent="0.25">
      <c r="A94" s="11"/>
      <c r="B94" s="11"/>
      <c r="C94" s="36" t="s">
        <v>122</v>
      </c>
      <c r="D94" s="11"/>
      <c r="E94" s="37">
        <f t="shared" ref="E94:O94" si="17">+E44</f>
        <v>5942862</v>
      </c>
      <c r="F94" s="37">
        <f t="shared" si="17"/>
        <v>5883025</v>
      </c>
      <c r="G94" s="37">
        <f t="shared" si="17"/>
        <v>6182369</v>
      </c>
      <c r="H94" s="37">
        <f t="shared" si="17"/>
        <v>7421248</v>
      </c>
      <c r="I94" s="37">
        <f t="shared" si="17"/>
        <v>7387642</v>
      </c>
      <c r="J94" s="37">
        <f t="shared" si="17"/>
        <v>10114332</v>
      </c>
      <c r="K94" s="37">
        <f t="shared" si="17"/>
        <v>8580421</v>
      </c>
      <c r="L94" s="37">
        <f t="shared" si="17"/>
        <v>9780129</v>
      </c>
      <c r="M94" s="37">
        <f t="shared" si="17"/>
        <v>11105384</v>
      </c>
      <c r="N94" s="37">
        <f t="shared" si="17"/>
        <v>9814026</v>
      </c>
      <c r="O94" s="37">
        <f t="shared" si="17"/>
        <v>9780274</v>
      </c>
      <c r="P94" s="37"/>
      <c r="Q94" s="37">
        <f>+Q44</f>
        <v>8649019</v>
      </c>
      <c r="R94" s="23"/>
      <c r="S94" s="66">
        <f>+S44</f>
        <v>11942477</v>
      </c>
      <c r="T94" s="66">
        <v>12032351</v>
      </c>
      <c r="U94" s="66">
        <f>+U44</f>
        <v>8313881</v>
      </c>
      <c r="V94" s="11"/>
    </row>
    <row r="95" spans="1:22" s="12" customFormat="1" x14ac:dyDescent="0.25">
      <c r="A95" s="11"/>
      <c r="B95" s="11"/>
      <c r="C95" s="36" t="s">
        <v>84</v>
      </c>
      <c r="D95" s="11"/>
      <c r="E95" s="23">
        <f t="shared" ref="E95:O95" si="18">+E51</f>
        <v>4117655</v>
      </c>
      <c r="F95" s="23">
        <f t="shared" si="18"/>
        <v>4557931</v>
      </c>
      <c r="G95" s="23">
        <f t="shared" si="18"/>
        <v>4842547</v>
      </c>
      <c r="H95" s="23">
        <f t="shared" si="18"/>
        <v>4045075</v>
      </c>
      <c r="I95" s="23">
        <f t="shared" si="18"/>
        <v>3592467</v>
      </c>
      <c r="J95" s="23">
        <f t="shared" si="18"/>
        <v>3521723</v>
      </c>
      <c r="K95" s="23">
        <f t="shared" si="18"/>
        <v>3586726</v>
      </c>
      <c r="L95" s="23">
        <f t="shared" si="18"/>
        <v>4007280</v>
      </c>
      <c r="M95" s="23">
        <f t="shared" si="18"/>
        <v>3628311</v>
      </c>
      <c r="N95" s="23">
        <f t="shared" si="18"/>
        <v>3558718</v>
      </c>
      <c r="O95" s="23">
        <f t="shared" si="18"/>
        <v>3150917</v>
      </c>
      <c r="P95" s="23"/>
      <c r="Q95" s="23">
        <f>+Q51</f>
        <v>2932224</v>
      </c>
      <c r="R95" s="23"/>
      <c r="S95" s="60">
        <f>+S51</f>
        <v>3281428</v>
      </c>
      <c r="T95" s="60">
        <v>2672864</v>
      </c>
      <c r="U95" s="60">
        <f>+U51</f>
        <v>4354792</v>
      </c>
      <c r="V95" s="11"/>
    </row>
    <row r="96" spans="1:22" s="12" customFormat="1" x14ac:dyDescent="0.25">
      <c r="A96" s="11"/>
      <c r="B96" s="11"/>
      <c r="C96" s="36" t="s">
        <v>123</v>
      </c>
      <c r="D96" s="11"/>
      <c r="E96" s="23">
        <f t="shared" ref="E96:O96" si="19">+E56</f>
        <v>532529</v>
      </c>
      <c r="F96" s="23">
        <f t="shared" si="19"/>
        <v>1134158</v>
      </c>
      <c r="G96" s="23">
        <f t="shared" si="19"/>
        <v>1466947</v>
      </c>
      <c r="H96" s="23">
        <f t="shared" si="19"/>
        <v>1353607</v>
      </c>
      <c r="I96" s="23">
        <f t="shared" si="19"/>
        <v>1072507</v>
      </c>
      <c r="J96" s="23">
        <f t="shared" si="19"/>
        <v>788222</v>
      </c>
      <c r="K96" s="23">
        <f t="shared" si="19"/>
        <v>632454</v>
      </c>
      <c r="L96" s="23">
        <f t="shared" si="19"/>
        <v>505759</v>
      </c>
      <c r="M96" s="23">
        <f t="shared" si="19"/>
        <v>451439</v>
      </c>
      <c r="N96" s="23">
        <f t="shared" si="19"/>
        <v>415332</v>
      </c>
      <c r="O96" s="23">
        <f t="shared" si="19"/>
        <v>426052</v>
      </c>
      <c r="P96" s="23"/>
      <c r="Q96" s="23">
        <f>+Q56</f>
        <v>286366</v>
      </c>
      <c r="R96" s="23"/>
      <c r="S96" s="60">
        <f>+S56</f>
        <v>426836</v>
      </c>
      <c r="T96" s="60">
        <v>406241</v>
      </c>
      <c r="U96" s="60">
        <f>+U56</f>
        <v>389010</v>
      </c>
      <c r="V96" s="11"/>
    </row>
    <row r="97" spans="1:22" s="12" customFormat="1" x14ac:dyDescent="0.25">
      <c r="A97" s="11"/>
      <c r="B97" s="11"/>
      <c r="C97" s="36" t="s">
        <v>96</v>
      </c>
      <c r="D97" s="11"/>
      <c r="E97" s="23">
        <f t="shared" ref="E97:O97" si="20">+E62</f>
        <v>0</v>
      </c>
      <c r="F97" s="23">
        <f t="shared" si="20"/>
        <v>12632</v>
      </c>
      <c r="G97" s="23">
        <f t="shared" si="20"/>
        <v>37154</v>
      </c>
      <c r="H97" s="23">
        <f t="shared" si="20"/>
        <v>27349</v>
      </c>
      <c r="I97" s="23">
        <f t="shared" si="20"/>
        <v>16393</v>
      </c>
      <c r="J97" s="23">
        <f t="shared" si="20"/>
        <v>208865</v>
      </c>
      <c r="K97" s="23">
        <f t="shared" si="20"/>
        <v>114847</v>
      </c>
      <c r="L97" s="23">
        <f t="shared" si="20"/>
        <v>93991</v>
      </c>
      <c r="M97" s="23">
        <f t="shared" si="20"/>
        <v>106331</v>
      </c>
      <c r="N97" s="23">
        <f t="shared" si="20"/>
        <v>171308</v>
      </c>
      <c r="O97" s="23">
        <f t="shared" si="20"/>
        <v>209051</v>
      </c>
      <c r="P97" s="23"/>
      <c r="Q97" s="23">
        <f>+Q62</f>
        <v>246496</v>
      </c>
      <c r="R97" s="23"/>
      <c r="S97" s="60">
        <f>+S62</f>
        <v>200467</v>
      </c>
      <c r="T97" s="60">
        <v>194128</v>
      </c>
      <c r="U97" s="60">
        <f>+U62</f>
        <v>399560</v>
      </c>
      <c r="V97" s="11"/>
    </row>
    <row r="98" spans="1:22" s="12" customFormat="1" x14ac:dyDescent="0.25">
      <c r="A98" s="11"/>
      <c r="B98" s="11"/>
      <c r="C98" s="36" t="s">
        <v>102</v>
      </c>
      <c r="D98" s="11"/>
      <c r="E98" s="23">
        <f t="shared" ref="E98:O98" si="21">+E80</f>
        <v>9873491</v>
      </c>
      <c r="F98" s="23">
        <f t="shared" si="21"/>
        <v>9430498</v>
      </c>
      <c r="G98" s="23">
        <f t="shared" si="21"/>
        <v>8534908</v>
      </c>
      <c r="H98" s="23">
        <f t="shared" si="21"/>
        <v>9561093</v>
      </c>
      <c r="I98" s="23">
        <f t="shared" si="21"/>
        <v>8188586</v>
      </c>
      <c r="J98" s="23">
        <f t="shared" si="21"/>
        <v>6583812</v>
      </c>
      <c r="K98" s="23">
        <f t="shared" si="21"/>
        <v>7786095</v>
      </c>
      <c r="L98" s="23">
        <f t="shared" si="21"/>
        <v>6498886</v>
      </c>
      <c r="M98" s="23">
        <f t="shared" si="21"/>
        <v>6818494</v>
      </c>
      <c r="N98" s="23">
        <f t="shared" si="21"/>
        <v>9253439</v>
      </c>
      <c r="O98" s="23">
        <f t="shared" si="21"/>
        <v>7503801</v>
      </c>
      <c r="P98" s="23"/>
      <c r="Q98" s="23">
        <f>+Q80</f>
        <v>9305199</v>
      </c>
      <c r="R98" s="23"/>
      <c r="S98" s="60">
        <f>+S80</f>
        <v>6963873</v>
      </c>
      <c r="T98" s="60">
        <f>5559824</f>
        <v>5559824</v>
      </c>
      <c r="U98" s="60">
        <f>+U80</f>
        <v>6649851</v>
      </c>
      <c r="V98" s="11"/>
    </row>
    <row r="99" spans="1:22" s="12" customFormat="1" x14ac:dyDescent="0.25">
      <c r="A99" s="11"/>
      <c r="B99" s="11"/>
      <c r="C99" s="11"/>
      <c r="D99" s="1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67"/>
      <c r="T99" s="67"/>
      <c r="U99" s="67"/>
      <c r="V99" s="11"/>
    </row>
    <row r="100" spans="1:22" s="12" customFormat="1" ht="16.5" thickBot="1" x14ac:dyDescent="0.3">
      <c r="A100" s="11"/>
      <c r="B100" s="11"/>
      <c r="C100" s="11" t="s">
        <v>132</v>
      </c>
      <c r="D100" s="11"/>
      <c r="E100" s="39">
        <f>SUM(E93:E98)</f>
        <v>20466537</v>
      </c>
      <c r="F100" s="39">
        <f t="shared" ref="F100:P100" si="22">SUM(F93:F98)</f>
        <v>21031254</v>
      </c>
      <c r="G100" s="39">
        <f t="shared" si="22"/>
        <v>21132531</v>
      </c>
      <c r="H100" s="39">
        <f t="shared" si="22"/>
        <v>22408372</v>
      </c>
      <c r="I100" s="39">
        <f t="shared" si="22"/>
        <v>20257595</v>
      </c>
      <c r="J100" s="39">
        <f t="shared" si="22"/>
        <v>21217144</v>
      </c>
      <c r="K100" s="39">
        <f t="shared" si="22"/>
        <v>20707033</v>
      </c>
      <c r="L100" s="39">
        <f t="shared" si="22"/>
        <v>20892930</v>
      </c>
      <c r="M100" s="39">
        <f t="shared" si="22"/>
        <v>22112675</v>
      </c>
      <c r="N100" s="39">
        <f t="shared" si="22"/>
        <v>23220102</v>
      </c>
      <c r="O100" s="39">
        <f t="shared" si="22"/>
        <v>21498513</v>
      </c>
      <c r="P100" s="39">
        <f t="shared" si="22"/>
        <v>0</v>
      </c>
      <c r="Q100" s="39">
        <f>SUM(Q93:Q98)</f>
        <v>21622990</v>
      </c>
      <c r="R100" s="39"/>
      <c r="S100" s="68">
        <f>SUM(S93:S98)</f>
        <v>22815081</v>
      </c>
      <c r="T100" s="68">
        <f>SUM(T93:T98)</f>
        <v>20865408</v>
      </c>
      <c r="U100" s="68">
        <f>SUM(U93:U98)</f>
        <v>20642946</v>
      </c>
      <c r="V100" s="11"/>
    </row>
    <row r="101" spans="1:22" s="12" customFormat="1" ht="17.25" thickTop="1" thickBo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62"/>
      <c r="T101" s="62"/>
      <c r="U101" s="62"/>
      <c r="V101" s="11"/>
    </row>
    <row r="102" spans="1:22" s="12" customFormat="1" ht="16.5" thickBot="1" x14ac:dyDescent="0.3">
      <c r="A102" s="11"/>
      <c r="B102" s="11"/>
      <c r="C102" s="40" t="s">
        <v>124</v>
      </c>
      <c r="D102" s="11"/>
      <c r="E102" s="45">
        <f>+F103</f>
        <v>20.466536999999999</v>
      </c>
      <c r="F102" s="46">
        <f>+F100/1000000</f>
        <v>21.031254000000001</v>
      </c>
      <c r="G102" s="46">
        <f t="shared" ref="G102:O102" si="23">+G100/1000000</f>
        <v>21.132531</v>
      </c>
      <c r="H102" s="46">
        <f t="shared" si="23"/>
        <v>22.408372</v>
      </c>
      <c r="I102" s="46">
        <f t="shared" si="23"/>
        <v>20.257594999999998</v>
      </c>
      <c r="J102" s="46">
        <f t="shared" si="23"/>
        <v>21.217144000000001</v>
      </c>
      <c r="K102" s="46">
        <f t="shared" si="23"/>
        <v>20.707032999999999</v>
      </c>
      <c r="L102" s="46">
        <f t="shared" si="23"/>
        <v>20.89293</v>
      </c>
      <c r="M102" s="46">
        <f t="shared" si="23"/>
        <v>22.112674999999999</v>
      </c>
      <c r="N102" s="46">
        <f t="shared" si="23"/>
        <v>23.220102000000001</v>
      </c>
      <c r="O102" s="46">
        <f t="shared" si="23"/>
        <v>21.498512999999999</v>
      </c>
      <c r="P102" s="46">
        <f>(O102+Q102)/2</f>
        <v>21.560751500000002</v>
      </c>
      <c r="Q102" s="46">
        <f>+Q100/1000000</f>
        <v>21.622990000000001</v>
      </c>
      <c r="R102" s="46"/>
      <c r="S102" s="69">
        <f>+S100/1000000</f>
        <v>22.815080999999999</v>
      </c>
      <c r="T102" s="69">
        <f>+T100/1000000</f>
        <v>20.865407999999999</v>
      </c>
      <c r="U102" s="70">
        <f>+U100/1000000</f>
        <v>20.642945999999998</v>
      </c>
      <c r="V102" s="11"/>
    </row>
    <row r="103" spans="1:22" s="12" customFormat="1" ht="16.5" thickBot="1" x14ac:dyDescent="0.3">
      <c r="A103" s="11"/>
      <c r="B103" s="11"/>
      <c r="C103" s="40" t="s">
        <v>125</v>
      </c>
      <c r="D103" s="11"/>
      <c r="E103" s="49"/>
      <c r="F103" s="52">
        <f>+E100/1000000</f>
        <v>20.466536999999999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2">
        <f>T102</f>
        <v>20.865407999999999</v>
      </c>
      <c r="Q103" s="50"/>
      <c r="R103" s="52">
        <f>U102</f>
        <v>20.642945999999998</v>
      </c>
      <c r="S103" s="49"/>
      <c r="T103" s="49"/>
      <c r="U103" s="49"/>
      <c r="V103" s="11"/>
    </row>
    <row r="104" spans="1:22" x14ac:dyDescent="0.25">
      <c r="E104" s="49"/>
      <c r="F104" s="11" t="s">
        <v>128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11" t="s">
        <v>130</v>
      </c>
      <c r="Q104" s="49"/>
      <c r="S104" s="49"/>
      <c r="T104" s="49"/>
      <c r="U104" s="49"/>
    </row>
    <row r="105" spans="1:22" s="12" customFormat="1" ht="16.5" thickBot="1" x14ac:dyDescent="0.3">
      <c r="A105" s="11"/>
      <c r="B105" s="11"/>
      <c r="C105" s="11" t="s">
        <v>126</v>
      </c>
      <c r="D105" s="11"/>
      <c r="E105" s="49"/>
      <c r="F105" s="71">
        <f>'BLS Data Series'!T13</f>
        <v>1</v>
      </c>
      <c r="G105" s="41">
        <f>'BLS Data Series'!T14</f>
        <v>1.0315652859815827</v>
      </c>
      <c r="H105" s="41">
        <f>'BLS Data Series'!T15</f>
        <v>1.0529130131709286</v>
      </c>
      <c r="I105" s="41">
        <f>'BLS Data Series'!T16</f>
        <v>1.0683356568954763</v>
      </c>
      <c r="J105" s="41">
        <f>'BLS Data Series'!T17</f>
        <v>1.0856660674322192</v>
      </c>
      <c r="K105" s="41">
        <f>'BLS Data Series'!T18</f>
        <v>1.0869547272260336</v>
      </c>
      <c r="L105" s="41">
        <f>'BLS Data Series'!T19</f>
        <v>1.1006668011886855</v>
      </c>
      <c r="M105" s="41">
        <f>'BLS Data Series'!T20</f>
        <v>1.1241149062626115</v>
      </c>
      <c r="N105" s="41">
        <f>'BLS Data Series'!T21</f>
        <v>1.1515711560333124</v>
      </c>
      <c r="O105" s="41">
        <f>'BLS Data Series'!T22</f>
        <v>1.1724373555416956</v>
      </c>
      <c r="P105" s="42">
        <v>1.1724373555416956</v>
      </c>
      <c r="Q105" s="41">
        <f>'BLS Data Series'!T23</f>
        <v>1.1869015298822319</v>
      </c>
      <c r="R105" s="51"/>
      <c r="S105" s="51"/>
      <c r="T105" s="51"/>
      <c r="U105" s="49"/>
      <c r="V105" s="11"/>
    </row>
    <row r="106" spans="1:22" s="12" customFormat="1" ht="16.5" thickBot="1" x14ac:dyDescent="0.3">
      <c r="A106" s="11"/>
      <c r="B106" s="11"/>
      <c r="C106" s="40" t="s">
        <v>127</v>
      </c>
      <c r="D106" s="11"/>
      <c r="E106" s="49"/>
      <c r="F106" s="45">
        <f>F102</f>
        <v>21.031254000000001</v>
      </c>
      <c r="G106" s="46">
        <f>+$F103*G105</f>
        <v>21.112569093457644</v>
      </c>
      <c r="H106" s="46">
        <f>+$F103*H105</f>
        <v>21.549483141844295</v>
      </c>
      <c r="I106" s="46">
        <f>+$F103*I105</f>
        <v>21.865131250270569</v>
      </c>
      <c r="J106" s="46">
        <f>+$F103*J105</f>
        <v>22.219824738746006</v>
      </c>
      <c r="K106" s="46">
        <f t="shared" ref="K106:L106" si="24">+$F103*K105</f>
        <v>22.246199142096522</v>
      </c>
      <c r="L106" s="46">
        <f t="shared" si="24"/>
        <v>22.526837811199876</v>
      </c>
      <c r="M106" s="46">
        <f>+$F103*M105</f>
        <v>23.006739321275269</v>
      </c>
      <c r="N106" s="46">
        <f t="shared" ref="N106:Q106" si="25">+$F103*N105</f>
        <v>23.568673673088561</v>
      </c>
      <c r="O106" s="46">
        <f t="shared" si="25"/>
        <v>23.995732517376265</v>
      </c>
      <c r="P106" s="48">
        <v>23.995732517376265</v>
      </c>
      <c r="Q106" s="47">
        <f t="shared" si="25"/>
        <v>24.291764076691301</v>
      </c>
      <c r="R106" s="49"/>
      <c r="S106" s="49"/>
      <c r="T106" s="49"/>
      <c r="U106" s="49"/>
      <c r="V106" s="11"/>
    </row>
    <row r="107" spans="1:22" s="12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3"/>
      <c r="V108" s="11"/>
    </row>
    <row r="109" spans="1:22" x14ac:dyDescent="0.25">
      <c r="J109" s="44"/>
      <c r="K109" s="44"/>
      <c r="L109" s="44"/>
      <c r="M109" s="44"/>
      <c r="N109" s="44"/>
    </row>
    <row r="110" spans="1:22" s="12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44"/>
      <c r="K110" s="44"/>
      <c r="L110" s="44"/>
      <c r="M110" s="44"/>
      <c r="N110" s="44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J111" s="44"/>
      <c r="K111" s="44"/>
      <c r="L111" s="44"/>
      <c r="M111" s="44"/>
      <c r="N111" s="44"/>
    </row>
    <row r="112" spans="1:22" x14ac:dyDescent="0.25">
      <c r="J112" s="44"/>
      <c r="K112" s="44"/>
      <c r="L112" s="44"/>
      <c r="M112" s="44"/>
      <c r="N112" s="44"/>
    </row>
    <row r="113" spans="10:14" x14ac:dyDescent="0.25">
      <c r="J113" s="44"/>
      <c r="K113" s="44"/>
      <c r="L113" s="44"/>
      <c r="M113" s="44"/>
      <c r="N113" s="44"/>
    </row>
    <row r="114" spans="10:14" x14ac:dyDescent="0.25">
      <c r="J114" s="44"/>
      <c r="K114" s="44"/>
      <c r="L114" s="44"/>
      <c r="M114" s="44"/>
      <c r="N114" s="44"/>
    </row>
    <row r="115" spans="10:14" x14ac:dyDescent="0.25">
      <c r="J115" s="44"/>
      <c r="K115" s="44"/>
      <c r="L115" s="44"/>
      <c r="M115" s="44"/>
      <c r="N115" s="44"/>
    </row>
    <row r="116" spans="10:14" x14ac:dyDescent="0.25">
      <c r="J116" s="44"/>
      <c r="K116" s="44"/>
      <c r="L116" s="44"/>
      <c r="M116" s="44"/>
      <c r="N116" s="44"/>
    </row>
    <row r="117" spans="10:14" x14ac:dyDescent="0.25">
      <c r="J117" s="44"/>
      <c r="K117" s="44"/>
      <c r="L117" s="44"/>
      <c r="M117" s="44"/>
      <c r="N117" s="44"/>
    </row>
    <row r="118" spans="10:14" x14ac:dyDescent="0.25">
      <c r="J118" s="44"/>
      <c r="K118" s="44"/>
      <c r="L118" s="44"/>
      <c r="M118" s="44"/>
      <c r="N118" s="44"/>
    </row>
    <row r="119" spans="10:14" x14ac:dyDescent="0.25">
      <c r="J119" s="44"/>
      <c r="K119" s="44"/>
      <c r="L119" s="44"/>
      <c r="M119" s="44"/>
      <c r="N119" s="44"/>
    </row>
    <row r="120" spans="10:14" x14ac:dyDescent="0.25">
      <c r="J120" s="44"/>
      <c r="K120" s="44"/>
      <c r="L120" s="44"/>
      <c r="M120" s="44"/>
      <c r="N120" s="44"/>
    </row>
    <row r="121" spans="10:14" x14ac:dyDescent="0.25">
      <c r="J121" s="44"/>
      <c r="K121" s="44"/>
      <c r="L121" s="44"/>
      <c r="M121" s="44"/>
      <c r="N121" s="44"/>
    </row>
    <row r="122" spans="10:14" x14ac:dyDescent="0.25">
      <c r="J122" s="44"/>
      <c r="K122" s="44"/>
      <c r="L122" s="44"/>
      <c r="M122" s="44"/>
      <c r="N122" s="44"/>
    </row>
    <row r="123" spans="10:14" x14ac:dyDescent="0.25">
      <c r="J123" s="44"/>
      <c r="K123" s="44"/>
      <c r="L123" s="44"/>
      <c r="M123" s="44"/>
      <c r="N123" s="44"/>
    </row>
    <row r="124" spans="10:14" x14ac:dyDescent="0.25">
      <c r="J124" s="44"/>
      <c r="K124" s="44"/>
      <c r="L124" s="44"/>
      <c r="M124" s="44"/>
      <c r="N124" s="44"/>
    </row>
    <row r="129" spans="2:2" x14ac:dyDescent="0.25">
      <c r="B129" s="11" t="s">
        <v>129</v>
      </c>
    </row>
    <row r="130" spans="2:2" x14ac:dyDescent="0.25">
      <c r="B130" s="11" t="s">
        <v>131</v>
      </c>
    </row>
  </sheetData>
  <pageMargins left="0.45" right="0.45" top="0.5" bottom="0.5" header="0.3" footer="0.3"/>
  <pageSetup scale="35" fitToHeight="0" orientation="landscape" r:id="rId1"/>
  <headerFooter>
    <oddHeader>&amp;R&amp;"Times New Roman,Bold"&amp;10KyPSC Case No. 2021-00190
AG-DR-01-030 Attachment 
Page &amp;P of &amp;N</oddHeader>
  </headerFooter>
  <rowBreaks count="1" manualBreakCount="1"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view="pageLayout" zoomScaleNormal="80" workbookViewId="0">
      <selection sqref="A1:F1"/>
    </sheetView>
  </sheetViews>
  <sheetFormatPr defaultRowHeight="15" x14ac:dyDescent="0.25"/>
  <cols>
    <col min="1" max="1" width="20" customWidth="1"/>
    <col min="2" max="2" width="8" customWidth="1"/>
    <col min="18" max="18" width="18.42578125" customWidth="1"/>
    <col min="19" max="19" width="17.85546875" customWidth="1"/>
    <col min="20" max="20" width="14" customWidth="1"/>
  </cols>
  <sheetData>
    <row r="1" spans="1:24" ht="15.75" x14ac:dyDescent="0.25">
      <c r="A1" s="75" t="s">
        <v>0</v>
      </c>
      <c r="B1" s="73"/>
      <c r="C1" s="73"/>
      <c r="D1" s="73"/>
      <c r="E1" s="73"/>
      <c r="F1" s="73"/>
      <c r="G1" s="5" t="s">
        <v>31</v>
      </c>
    </row>
    <row r="2" spans="1:24" ht="15.75" x14ac:dyDescent="0.25">
      <c r="A2" s="75" t="s">
        <v>1</v>
      </c>
      <c r="B2" s="73"/>
      <c r="C2" s="73"/>
      <c r="D2" s="73"/>
      <c r="E2" s="73"/>
      <c r="F2" s="73"/>
    </row>
    <row r="3" spans="1:24" x14ac:dyDescent="0.25">
      <c r="A3" s="73"/>
      <c r="B3" s="73"/>
      <c r="C3" s="73"/>
      <c r="D3" s="73"/>
      <c r="E3" s="73"/>
      <c r="F3" s="73"/>
    </row>
    <row r="4" spans="1:24" x14ac:dyDescent="0.25">
      <c r="A4" s="4" t="s">
        <v>2</v>
      </c>
      <c r="B4" s="72" t="s">
        <v>3</v>
      </c>
      <c r="C4" s="73"/>
      <c r="D4" s="73"/>
      <c r="E4" s="73"/>
      <c r="F4" s="73"/>
    </row>
    <row r="5" spans="1:24" x14ac:dyDescent="0.25">
      <c r="A5" s="76" t="s">
        <v>4</v>
      </c>
      <c r="B5" s="73"/>
      <c r="C5" s="73"/>
      <c r="D5" s="73"/>
      <c r="E5" s="73"/>
      <c r="F5" s="73"/>
    </row>
    <row r="6" spans="1:24" x14ac:dyDescent="0.25">
      <c r="A6" s="4" t="s">
        <v>5</v>
      </c>
      <c r="B6" s="72" t="s">
        <v>6</v>
      </c>
      <c r="C6" s="73"/>
      <c r="D6" s="73"/>
      <c r="E6" s="73"/>
      <c r="F6" s="73"/>
    </row>
    <row r="7" spans="1:24" x14ac:dyDescent="0.25">
      <c r="A7" s="4" t="s">
        <v>7</v>
      </c>
      <c r="B7" s="72" t="s">
        <v>8</v>
      </c>
      <c r="C7" s="73"/>
      <c r="D7" s="73"/>
      <c r="E7" s="73"/>
      <c r="F7" s="73"/>
    </row>
    <row r="8" spans="1:24" x14ac:dyDescent="0.25">
      <c r="A8" s="4" t="s">
        <v>9</v>
      </c>
      <c r="B8" s="72" t="s">
        <v>10</v>
      </c>
      <c r="C8" s="73"/>
      <c r="D8" s="73"/>
      <c r="E8" s="73"/>
      <c r="F8" s="73"/>
    </row>
    <row r="9" spans="1:24" x14ac:dyDescent="0.25">
      <c r="A9" s="4" t="s">
        <v>11</v>
      </c>
      <c r="B9" s="72" t="s">
        <v>12</v>
      </c>
      <c r="C9" s="73"/>
      <c r="D9" s="73"/>
      <c r="E9" s="73"/>
      <c r="F9" s="73"/>
    </row>
    <row r="10" spans="1:24" x14ac:dyDescent="0.25">
      <c r="A10" s="4" t="s">
        <v>13</v>
      </c>
      <c r="B10" s="74" t="s">
        <v>14</v>
      </c>
      <c r="C10" s="73"/>
      <c r="D10" s="73"/>
      <c r="E10" s="73"/>
      <c r="F10" s="73"/>
    </row>
    <row r="12" spans="1:24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  <c r="P12" s="1" t="s">
        <v>30</v>
      </c>
      <c r="R12" s="6" t="s">
        <v>34</v>
      </c>
      <c r="S12" s="6" t="s">
        <v>32</v>
      </c>
      <c r="T12" s="6" t="s">
        <v>33</v>
      </c>
    </row>
    <row r="13" spans="1:24" x14ac:dyDescent="0.25">
      <c r="A13" s="2">
        <v>2010</v>
      </c>
      <c r="B13" s="3">
        <v>216.68700000000001</v>
      </c>
      <c r="C13" s="3">
        <v>216.74100000000001</v>
      </c>
      <c r="D13" s="3">
        <v>217.631</v>
      </c>
      <c r="E13" s="3">
        <v>218.00899999999999</v>
      </c>
      <c r="F13" s="3">
        <v>218.178</v>
      </c>
      <c r="G13" s="3">
        <v>217.965</v>
      </c>
      <c r="H13" s="3">
        <v>218.011</v>
      </c>
      <c r="I13" s="3">
        <v>218.31200000000001</v>
      </c>
      <c r="J13" s="3">
        <v>218.43899999999999</v>
      </c>
      <c r="K13" s="3">
        <v>218.71100000000001</v>
      </c>
      <c r="L13" s="3">
        <v>218.803</v>
      </c>
      <c r="M13" s="3">
        <v>219.179</v>
      </c>
      <c r="N13" s="3">
        <v>218.05600000000001</v>
      </c>
      <c r="O13" s="3">
        <v>217.535</v>
      </c>
      <c r="P13" s="3">
        <v>218.57599999999999</v>
      </c>
      <c r="R13" s="8">
        <f>N13-$N$13</f>
        <v>0</v>
      </c>
      <c r="S13" s="9">
        <f>R13/$N$13</f>
        <v>0</v>
      </c>
      <c r="T13" s="57">
        <f>1+S13</f>
        <v>1</v>
      </c>
    </row>
    <row r="14" spans="1:24" x14ac:dyDescent="0.25">
      <c r="A14" s="2">
        <v>2011</v>
      </c>
      <c r="B14" s="3">
        <v>220.22300000000001</v>
      </c>
      <c r="C14" s="3">
        <v>221.309</v>
      </c>
      <c r="D14" s="3">
        <v>223.46700000000001</v>
      </c>
      <c r="E14" s="3">
        <v>224.90600000000001</v>
      </c>
      <c r="F14" s="3">
        <v>225.964</v>
      </c>
      <c r="G14" s="3">
        <v>225.72200000000001</v>
      </c>
      <c r="H14" s="3">
        <v>225.922</v>
      </c>
      <c r="I14" s="3">
        <v>226.54499999999999</v>
      </c>
      <c r="J14" s="3">
        <v>226.88900000000001</v>
      </c>
      <c r="K14" s="3">
        <v>226.42099999999999</v>
      </c>
      <c r="L14" s="3">
        <v>226.23</v>
      </c>
      <c r="M14" s="3">
        <v>225.672</v>
      </c>
      <c r="N14" s="3">
        <v>224.93899999999999</v>
      </c>
      <c r="O14" s="3">
        <v>223.59800000000001</v>
      </c>
      <c r="P14" s="3">
        <v>226.28</v>
      </c>
      <c r="R14" s="8">
        <f>N14-$N$13</f>
        <v>6.8829999999999814</v>
      </c>
      <c r="S14" s="9">
        <f>R14/N13</f>
        <v>3.1565285981582626E-2</v>
      </c>
      <c r="T14" s="57">
        <f>1+S14</f>
        <v>1.0315652859815827</v>
      </c>
      <c r="V14" s="7"/>
      <c r="W14" s="7"/>
      <c r="X14" s="7"/>
    </row>
    <row r="15" spans="1:24" x14ac:dyDescent="0.25">
      <c r="A15" s="2">
        <v>2012</v>
      </c>
      <c r="B15" s="3">
        <v>226.66499999999999</v>
      </c>
      <c r="C15" s="3">
        <v>227.66300000000001</v>
      </c>
      <c r="D15" s="3">
        <v>229.392</v>
      </c>
      <c r="E15" s="3">
        <v>230.08500000000001</v>
      </c>
      <c r="F15" s="3">
        <v>229.815</v>
      </c>
      <c r="G15" s="3">
        <v>229.47800000000001</v>
      </c>
      <c r="H15" s="3">
        <v>229.10400000000001</v>
      </c>
      <c r="I15" s="3">
        <v>230.37899999999999</v>
      </c>
      <c r="J15" s="3">
        <v>231.40700000000001</v>
      </c>
      <c r="K15" s="3">
        <v>231.31700000000001</v>
      </c>
      <c r="L15" s="3">
        <v>230.221</v>
      </c>
      <c r="M15" s="3">
        <v>229.601</v>
      </c>
      <c r="N15" s="3">
        <v>229.59399999999999</v>
      </c>
      <c r="O15" s="3">
        <v>228.85</v>
      </c>
      <c r="P15" s="3">
        <v>230.33799999999999</v>
      </c>
      <c r="R15" s="8">
        <f>N15-$N$13</f>
        <v>11.537999999999982</v>
      </c>
      <c r="S15" s="9">
        <f>R15/$N$13</f>
        <v>5.2913013170928488E-2</v>
      </c>
      <c r="T15" s="57">
        <f t="shared" ref="T15:T23" si="0">1+S15</f>
        <v>1.0529130131709286</v>
      </c>
      <c r="V15" s="7"/>
      <c r="W15" s="7"/>
      <c r="X15" s="7"/>
    </row>
    <row r="16" spans="1:24" x14ac:dyDescent="0.25">
      <c r="A16" s="2">
        <v>2013</v>
      </c>
      <c r="B16" s="3">
        <v>230.28</v>
      </c>
      <c r="C16" s="3">
        <v>232.166</v>
      </c>
      <c r="D16" s="3">
        <v>232.773</v>
      </c>
      <c r="E16" s="3">
        <v>232.53100000000001</v>
      </c>
      <c r="F16" s="3">
        <v>232.94499999999999</v>
      </c>
      <c r="G16" s="3">
        <v>233.50399999999999</v>
      </c>
      <c r="H16" s="3">
        <v>233.596</v>
      </c>
      <c r="I16" s="3">
        <v>233.87700000000001</v>
      </c>
      <c r="J16" s="3">
        <v>234.149</v>
      </c>
      <c r="K16" s="3">
        <v>233.54599999999999</v>
      </c>
      <c r="L16" s="3">
        <v>233.06899999999999</v>
      </c>
      <c r="M16" s="3">
        <v>233.04900000000001</v>
      </c>
      <c r="N16" s="3">
        <v>232.95699999999999</v>
      </c>
      <c r="O16" s="3">
        <v>232.36600000000001</v>
      </c>
      <c r="P16" s="3">
        <v>233.548</v>
      </c>
      <c r="R16" s="8">
        <f t="shared" ref="R16:R22" si="1">N16-$N$13</f>
        <v>14.900999999999982</v>
      </c>
      <c r="S16" s="9">
        <f t="shared" ref="S16:S23" si="2">R16/$N$13</f>
        <v>6.8335656895476299E-2</v>
      </c>
      <c r="T16" s="57">
        <f t="shared" si="0"/>
        <v>1.0683356568954763</v>
      </c>
      <c r="V16" s="7"/>
      <c r="W16" s="7"/>
      <c r="X16" s="7"/>
    </row>
    <row r="17" spans="1:24" x14ac:dyDescent="0.25">
      <c r="A17" s="2">
        <v>2014</v>
      </c>
      <c r="B17" s="3">
        <v>233.916</v>
      </c>
      <c r="C17" s="3">
        <v>234.78100000000001</v>
      </c>
      <c r="D17" s="3">
        <v>236.29300000000001</v>
      </c>
      <c r="E17" s="3">
        <v>237.072</v>
      </c>
      <c r="F17" s="3">
        <v>237.9</v>
      </c>
      <c r="G17" s="3">
        <v>238.34299999999999</v>
      </c>
      <c r="H17" s="3">
        <v>238.25</v>
      </c>
      <c r="I17" s="3">
        <v>237.852</v>
      </c>
      <c r="J17" s="3">
        <v>238.03100000000001</v>
      </c>
      <c r="K17" s="3">
        <v>237.43299999999999</v>
      </c>
      <c r="L17" s="3">
        <v>236.15100000000001</v>
      </c>
      <c r="M17" s="3">
        <v>234.81200000000001</v>
      </c>
      <c r="N17" s="3">
        <v>236.73599999999999</v>
      </c>
      <c r="O17" s="3">
        <v>236.38399999999999</v>
      </c>
      <c r="P17" s="3">
        <v>237.08799999999999</v>
      </c>
      <c r="R17" s="8">
        <f t="shared" si="1"/>
        <v>18.679999999999978</v>
      </c>
      <c r="S17" s="9">
        <f t="shared" si="2"/>
        <v>8.5666067432219148E-2</v>
      </c>
      <c r="T17" s="57">
        <f t="shared" si="0"/>
        <v>1.0856660674322192</v>
      </c>
      <c r="V17" s="7"/>
      <c r="W17" s="7"/>
      <c r="X17" s="7"/>
    </row>
    <row r="18" spans="1:24" x14ac:dyDescent="0.25">
      <c r="A18" s="2">
        <v>2015</v>
      </c>
      <c r="B18" s="3">
        <v>233.70699999999999</v>
      </c>
      <c r="C18" s="3">
        <v>234.72200000000001</v>
      </c>
      <c r="D18" s="3">
        <v>236.119</v>
      </c>
      <c r="E18" s="3">
        <v>236.59899999999999</v>
      </c>
      <c r="F18" s="3">
        <v>237.80500000000001</v>
      </c>
      <c r="G18" s="3">
        <v>238.63800000000001</v>
      </c>
      <c r="H18" s="3">
        <v>238.654</v>
      </c>
      <c r="I18" s="3">
        <v>238.316</v>
      </c>
      <c r="J18" s="3">
        <v>237.94499999999999</v>
      </c>
      <c r="K18" s="3">
        <v>237.83799999999999</v>
      </c>
      <c r="L18" s="3">
        <v>237.33600000000001</v>
      </c>
      <c r="M18" s="3">
        <v>236.52500000000001</v>
      </c>
      <c r="N18" s="3">
        <v>237.017</v>
      </c>
      <c r="O18" s="3">
        <v>236.26499999999999</v>
      </c>
      <c r="P18" s="3">
        <v>237.76900000000001</v>
      </c>
      <c r="R18" s="8">
        <f t="shared" si="1"/>
        <v>18.960999999999984</v>
      </c>
      <c r="S18" s="9">
        <f t="shared" si="2"/>
        <v>8.6954727226033604E-2</v>
      </c>
      <c r="T18" s="57">
        <f t="shared" si="0"/>
        <v>1.0869547272260336</v>
      </c>
      <c r="V18" s="7"/>
      <c r="W18" s="7"/>
      <c r="X18" s="7"/>
    </row>
    <row r="19" spans="1:24" x14ac:dyDescent="0.25">
      <c r="A19" s="2">
        <v>2016</v>
      </c>
      <c r="B19" s="3">
        <v>236.916</v>
      </c>
      <c r="C19" s="3">
        <v>237.11099999999999</v>
      </c>
      <c r="D19" s="3">
        <v>238.13200000000001</v>
      </c>
      <c r="E19" s="3">
        <v>239.261</v>
      </c>
      <c r="F19" s="3">
        <v>240.22900000000001</v>
      </c>
      <c r="G19" s="3">
        <v>241.018</v>
      </c>
      <c r="H19" s="3">
        <v>240.62799999999999</v>
      </c>
      <c r="I19" s="3">
        <v>240.84899999999999</v>
      </c>
      <c r="J19" s="3">
        <v>241.428</v>
      </c>
      <c r="K19" s="3">
        <v>241.72900000000001</v>
      </c>
      <c r="L19" s="3">
        <v>241.35300000000001</v>
      </c>
      <c r="M19" s="3">
        <v>241.43199999999999</v>
      </c>
      <c r="N19" s="3">
        <v>240.00700000000001</v>
      </c>
      <c r="O19" s="3">
        <v>238.77799999999999</v>
      </c>
      <c r="P19" s="3">
        <v>241.23699999999999</v>
      </c>
      <c r="R19" s="8">
        <f t="shared" si="1"/>
        <v>21.950999999999993</v>
      </c>
      <c r="S19" s="9">
        <f t="shared" si="2"/>
        <v>0.10066680118868544</v>
      </c>
      <c r="T19" s="57">
        <f t="shared" si="0"/>
        <v>1.1006668011886855</v>
      </c>
      <c r="V19" s="7"/>
      <c r="W19" s="7"/>
      <c r="X19" s="7"/>
    </row>
    <row r="20" spans="1:24" x14ac:dyDescent="0.25">
      <c r="A20" s="2">
        <v>2017</v>
      </c>
      <c r="B20" s="3">
        <v>242.839</v>
      </c>
      <c r="C20" s="3">
        <v>243.60300000000001</v>
      </c>
      <c r="D20" s="3">
        <v>243.80099999999999</v>
      </c>
      <c r="E20" s="3">
        <v>244.524</v>
      </c>
      <c r="F20" s="3">
        <v>244.733</v>
      </c>
      <c r="G20" s="3">
        <v>244.95500000000001</v>
      </c>
      <c r="H20" s="3">
        <v>244.786</v>
      </c>
      <c r="I20" s="3">
        <v>245.51900000000001</v>
      </c>
      <c r="J20" s="3">
        <v>246.81899999999999</v>
      </c>
      <c r="K20" s="3">
        <v>246.66300000000001</v>
      </c>
      <c r="L20" s="3">
        <v>246.66900000000001</v>
      </c>
      <c r="M20" s="3">
        <v>246.524</v>
      </c>
      <c r="N20" s="3">
        <v>245.12</v>
      </c>
      <c r="O20" s="3">
        <v>244.07599999999999</v>
      </c>
      <c r="P20" s="3">
        <v>246.16300000000001</v>
      </c>
      <c r="R20" s="8">
        <f t="shared" si="1"/>
        <v>27.063999999999993</v>
      </c>
      <c r="S20" s="9">
        <f t="shared" si="2"/>
        <v>0.1241149062626114</v>
      </c>
      <c r="T20" s="57">
        <f t="shared" si="0"/>
        <v>1.1241149062626115</v>
      </c>
      <c r="V20" s="7"/>
      <c r="W20" s="7"/>
      <c r="X20" s="7"/>
    </row>
    <row r="21" spans="1:24" x14ac:dyDescent="0.25">
      <c r="A21" s="2">
        <v>2018</v>
      </c>
      <c r="B21" s="3">
        <v>247.86699999999999</v>
      </c>
      <c r="C21" s="3">
        <v>248.99100000000001</v>
      </c>
      <c r="D21" s="3">
        <v>249.554</v>
      </c>
      <c r="E21" s="3">
        <v>250.54599999999999</v>
      </c>
      <c r="F21" s="3">
        <v>251.58799999999999</v>
      </c>
      <c r="G21" s="3">
        <v>251.989</v>
      </c>
      <c r="H21" s="3">
        <v>252.006</v>
      </c>
      <c r="I21" s="3">
        <v>252.14599999999999</v>
      </c>
      <c r="J21" s="3">
        <v>252.43899999999999</v>
      </c>
      <c r="K21" s="3">
        <v>252.88499999999999</v>
      </c>
      <c r="L21" s="3">
        <v>252.03800000000001</v>
      </c>
      <c r="M21" s="3">
        <v>251.233</v>
      </c>
      <c r="N21" s="3">
        <v>251.107</v>
      </c>
      <c r="O21" s="3">
        <v>250.089</v>
      </c>
      <c r="P21" s="3">
        <v>252.125</v>
      </c>
      <c r="R21" s="8">
        <f t="shared" si="1"/>
        <v>33.050999999999988</v>
      </c>
      <c r="S21" s="9">
        <f t="shared" si="2"/>
        <v>0.15157115603331248</v>
      </c>
      <c r="T21" s="57">
        <f t="shared" si="0"/>
        <v>1.1515711560333124</v>
      </c>
      <c r="V21" s="7"/>
      <c r="W21" s="7"/>
      <c r="X21" s="7"/>
    </row>
    <row r="22" spans="1:24" x14ac:dyDescent="0.25">
      <c r="A22" s="2">
        <v>2019</v>
      </c>
      <c r="B22" s="3">
        <v>251.71199999999999</v>
      </c>
      <c r="C22" s="3">
        <v>252.77600000000001</v>
      </c>
      <c r="D22" s="3">
        <v>254.202</v>
      </c>
      <c r="E22" s="3">
        <v>255.548</v>
      </c>
      <c r="F22" s="3">
        <v>256.09199999999998</v>
      </c>
      <c r="G22" s="3">
        <v>256.14299999999997</v>
      </c>
      <c r="H22" s="3">
        <v>256.57100000000003</v>
      </c>
      <c r="I22" s="3">
        <v>256.55799999999999</v>
      </c>
      <c r="J22" s="3">
        <v>256.75900000000001</v>
      </c>
      <c r="K22" s="3">
        <v>257.346</v>
      </c>
      <c r="L22" s="3">
        <v>257.20800000000003</v>
      </c>
      <c r="M22" s="3">
        <v>256.97399999999999</v>
      </c>
      <c r="N22" s="3">
        <v>255.65700000000001</v>
      </c>
      <c r="O22" s="3">
        <v>254.41200000000001</v>
      </c>
      <c r="P22" s="3">
        <v>256.90300000000002</v>
      </c>
      <c r="R22" s="8">
        <f t="shared" si="1"/>
        <v>37.600999999999999</v>
      </c>
      <c r="S22" s="9">
        <f t="shared" si="2"/>
        <v>0.1724373555416957</v>
      </c>
      <c r="T22" s="57">
        <f t="shared" si="0"/>
        <v>1.1724373555416956</v>
      </c>
      <c r="V22" s="7"/>
      <c r="W22" s="7"/>
      <c r="X22" s="7"/>
    </row>
    <row r="23" spans="1:24" x14ac:dyDescent="0.25">
      <c r="A23" s="2">
        <v>2020</v>
      </c>
      <c r="B23" s="3">
        <v>257.971</v>
      </c>
      <c r="C23" s="3">
        <v>258.678</v>
      </c>
      <c r="D23" s="3">
        <v>258.11500000000001</v>
      </c>
      <c r="E23" s="3">
        <v>256.38900000000001</v>
      </c>
      <c r="F23" s="3">
        <v>256.39400000000001</v>
      </c>
      <c r="G23" s="3">
        <v>257.79700000000003</v>
      </c>
      <c r="H23" s="3">
        <v>259.101</v>
      </c>
      <c r="I23" s="3">
        <v>259.91800000000001</v>
      </c>
      <c r="J23" s="3">
        <v>260.27999999999997</v>
      </c>
      <c r="K23" s="3">
        <v>260.38799999999998</v>
      </c>
      <c r="L23" s="3">
        <v>260.22899999999998</v>
      </c>
      <c r="M23" s="3">
        <v>260.47399999999999</v>
      </c>
      <c r="N23" s="3">
        <v>258.81099999999998</v>
      </c>
      <c r="O23" s="3">
        <v>257.55700000000002</v>
      </c>
      <c r="P23" s="3">
        <v>260.065</v>
      </c>
      <c r="R23" s="8">
        <f t="shared" ref="R23" si="3">N23-$N$13</f>
        <v>40.754999999999967</v>
      </c>
      <c r="S23" s="9">
        <f t="shared" si="2"/>
        <v>0.18690152988223194</v>
      </c>
      <c r="T23" s="57">
        <f t="shared" si="0"/>
        <v>1.1869015298822319</v>
      </c>
      <c r="V23" s="7"/>
      <c r="W23" s="7"/>
      <c r="X23" s="7"/>
    </row>
    <row r="24" spans="1:24" x14ac:dyDescent="0.25">
      <c r="A24" s="2">
        <v>2021</v>
      </c>
      <c r="B24" s="3">
        <v>261.58199999999999</v>
      </c>
      <c r="C24" s="3">
        <v>263.01400000000001</v>
      </c>
      <c r="D24" s="3">
        <v>264.87700000000001</v>
      </c>
    </row>
    <row r="26" spans="1:24" x14ac:dyDescent="0.25">
      <c r="A26" s="5"/>
    </row>
  </sheetData>
  <mergeCells count="10">
    <mergeCell ref="A1:F1"/>
    <mergeCell ref="A2:F2"/>
    <mergeCell ref="A3:F3"/>
    <mergeCell ref="B4:F4"/>
    <mergeCell ref="A5:F5"/>
    <mergeCell ref="B6:F6"/>
    <mergeCell ref="B7:F7"/>
    <mergeCell ref="B8:F8"/>
    <mergeCell ref="B9:F9"/>
    <mergeCell ref="B10:F10"/>
  </mergeCells>
  <hyperlinks>
    <hyperlink ref="G1" r:id="rId1" display="https://data.bls.gov/cgi-bin/surveymost?bls" xr:uid="{1A87B869-C4C6-46FB-90BA-93F0CEC606BB}"/>
  </hyperlinks>
  <pageMargins left="0.45" right="0.45" top="0.5" bottom="0.5" header="0.3" footer="0.3"/>
  <pageSetup scale="59" orientation="landscape" r:id="rId2"/>
  <headerFooter>
    <oddHeader>&amp;R&amp;"Times New Roman,Bold"&amp;10KyPSC Case No. 2021-00190
AG-DR-01-030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Lawler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C9285-32B5-43B9-AF69-E87D8A2970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B2AB1-C875-45F2-BF67-317FF6111D0C}">
  <ds:schemaRefs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458C88-CD30-4297-8F87-0F3FDFE49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Graphing</vt:lpstr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O&amp;M and CPI Chart</dc:subject>
  <dc:creator>Apache POI</dc:creator>
  <cp:lastModifiedBy>Sunderman, Minna</cp:lastModifiedBy>
  <cp:lastPrinted>2021-07-13T01:04:50Z</cp:lastPrinted>
  <dcterms:created xsi:type="dcterms:W3CDTF">2021-04-27T18:48:34Z</dcterms:created>
  <dcterms:modified xsi:type="dcterms:W3CDTF">2021-07-13T01:04:55Z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