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AG's 1st Set Data Requests/"/>
    </mc:Choice>
  </mc:AlternateContent>
  <xr:revisionPtr revIDLastSave="0" documentId="13_ncr:1_{E5A10228-0AD9-4ED6-A4F4-08CAE3F21737}" xr6:coauthVersionLast="44" xr6:coauthVersionMax="45" xr10:uidLastSave="{00000000-0000-0000-0000-000000000000}"/>
  <bookViews>
    <workbookView xWindow="-108" yWindow="-108" windowWidth="23256" windowHeight="12576" tabRatio="807" xr2:uid="{00000000-000D-0000-FFFF-FFFF00000000}"/>
  </bookViews>
  <sheets>
    <sheet name="Rev Req Summary" sheetId="1" r:id="rId1"/>
    <sheet name="13 month average calc" sheetId="14" r:id="rId2"/>
    <sheet name="Details 15 yr" sheetId="15" r:id="rId3"/>
    <sheet name="Details 5 yr" sheetId="17" r:id="rId4"/>
    <sheet name="Plant Data (Mar15)" sheetId="10" state="hidden" r:id="rId5"/>
    <sheet name="Accum Depr (Mar15)" sheetId="12" state="hidden" r:id="rId6"/>
    <sheet name="Accum Def Inc Tax (Mar15)" sheetId="11" state="hidden" r:id="rId7"/>
  </sheets>
  <externalReferences>
    <externalReference r:id="rId8"/>
    <externalReference r:id="rId9"/>
    <externalReference r:id="rId10"/>
  </externalReferences>
  <definedNames>
    <definedName name="BASE_D_REV">#REF!</definedName>
    <definedName name="CommResAlloc">[1]INPUT!$D$16</definedName>
    <definedName name="COSSALLOC">'[2]COSS ALLOC'!$A$2:$D$8</definedName>
    <definedName name="PRETAX_ROR" localSheetId="2">[3]Inputs!$C$6</definedName>
    <definedName name="PRETAX_ROR" localSheetId="3">[3]Inputs!$C$6</definedName>
    <definedName name="PRETAX_ROR">#REF!</definedName>
    <definedName name="_xlnm.Print_Area" localSheetId="4">'Plant Data (Mar15)'!$A$1:$G$38</definedName>
    <definedName name="_xlnm.Print_Area" localSheetId="0">'Rev Req Summary'!$A$1:$G$29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0" i="17" l="1"/>
  <c r="O50" i="17"/>
  <c r="M50" i="17"/>
  <c r="K50" i="17"/>
  <c r="I50" i="17"/>
  <c r="G50" i="17"/>
  <c r="Q49" i="17"/>
  <c r="O49" i="17"/>
  <c r="M49" i="17"/>
  <c r="K49" i="17"/>
  <c r="I49" i="17"/>
  <c r="G49" i="17"/>
  <c r="Q48" i="17"/>
  <c r="O48" i="17"/>
  <c r="M48" i="17"/>
  <c r="K48" i="17"/>
  <c r="I48" i="17"/>
  <c r="G48" i="17"/>
  <c r="Q47" i="17"/>
  <c r="O47" i="17"/>
  <c r="M47" i="17"/>
  <c r="K47" i="17"/>
  <c r="I47" i="17"/>
  <c r="G47" i="17"/>
  <c r="Q46" i="17"/>
  <c r="O46" i="17"/>
  <c r="M46" i="17"/>
  <c r="K46" i="17"/>
  <c r="I46" i="17"/>
  <c r="G46" i="17"/>
  <c r="Q45" i="17"/>
  <c r="O45" i="17"/>
  <c r="M45" i="17"/>
  <c r="K45" i="17"/>
  <c r="I45" i="17"/>
  <c r="G45" i="17"/>
  <c r="O44" i="17"/>
  <c r="M44" i="17"/>
  <c r="K44" i="17"/>
  <c r="I44" i="17"/>
  <c r="G44" i="17"/>
  <c r="E44" i="17"/>
  <c r="M43" i="17"/>
  <c r="K43" i="17"/>
  <c r="I43" i="17"/>
  <c r="G43" i="17"/>
  <c r="E43" i="17"/>
  <c r="K42" i="17"/>
  <c r="I42" i="17"/>
  <c r="G42" i="17"/>
  <c r="E42" i="17"/>
  <c r="I41" i="17"/>
  <c r="G41" i="17"/>
  <c r="E41" i="17"/>
  <c r="A41" i="17"/>
  <c r="A42" i="17" s="1"/>
  <c r="A43" i="17" s="1"/>
  <c r="A44" i="17" s="1"/>
  <c r="A45" i="17" s="1"/>
  <c r="A46" i="17" s="1"/>
  <c r="A47" i="17" s="1"/>
  <c r="A48" i="17" s="1"/>
  <c r="A49" i="17" s="1"/>
  <c r="A50" i="17" s="1"/>
  <c r="G40" i="17"/>
  <c r="E40" i="17"/>
  <c r="E20" i="17"/>
  <c r="G20" i="17" s="1"/>
  <c r="I20" i="17" s="1"/>
  <c r="K20" i="17" s="1"/>
  <c r="M20" i="17" s="1"/>
  <c r="O20" i="17" s="1"/>
  <c r="Q20" i="17" s="1"/>
  <c r="S20" i="17" s="1"/>
  <c r="U20" i="17" s="1"/>
  <c r="C12" i="17"/>
  <c r="C10" i="17"/>
  <c r="E10" i="17" s="1"/>
  <c r="E7" i="17"/>
  <c r="G7" i="17" s="1"/>
  <c r="I7" i="17" s="1"/>
  <c r="K7" i="17" s="1"/>
  <c r="M7" i="17" s="1"/>
  <c r="O7" i="17" s="1"/>
  <c r="Q7" i="17" s="1"/>
  <c r="S7" i="17" s="1"/>
  <c r="U7" i="17" s="1"/>
  <c r="Q60" i="15"/>
  <c r="O60" i="15"/>
  <c r="M60" i="15"/>
  <c r="K60" i="15"/>
  <c r="I60" i="15"/>
  <c r="G60" i="15"/>
  <c r="Q59" i="15"/>
  <c r="O59" i="15"/>
  <c r="M59" i="15"/>
  <c r="K59" i="15"/>
  <c r="I59" i="15"/>
  <c r="G59" i="15"/>
  <c r="Q58" i="15"/>
  <c r="O58" i="15"/>
  <c r="M58" i="15"/>
  <c r="K58" i="15"/>
  <c r="I58" i="15"/>
  <c r="G58" i="15"/>
  <c r="Q57" i="15"/>
  <c r="O57" i="15"/>
  <c r="M57" i="15"/>
  <c r="K57" i="15"/>
  <c r="I57" i="15"/>
  <c r="G57" i="15"/>
  <c r="Q56" i="15"/>
  <c r="O56" i="15"/>
  <c r="M56" i="15"/>
  <c r="K56" i="15"/>
  <c r="I56" i="15"/>
  <c r="G56" i="15"/>
  <c r="Q55" i="15"/>
  <c r="O55" i="15"/>
  <c r="M55" i="15"/>
  <c r="K55" i="15"/>
  <c r="I55" i="15"/>
  <c r="G55" i="15"/>
  <c r="Q54" i="15"/>
  <c r="O54" i="15"/>
  <c r="M54" i="15"/>
  <c r="K54" i="15"/>
  <c r="I54" i="15"/>
  <c r="G54" i="15"/>
  <c r="Q53" i="15"/>
  <c r="O53" i="15"/>
  <c r="M53" i="15"/>
  <c r="K53" i="15"/>
  <c r="I53" i="15"/>
  <c r="G53" i="15"/>
  <c r="Q52" i="15"/>
  <c r="O52" i="15"/>
  <c r="M52" i="15"/>
  <c r="K52" i="15"/>
  <c r="I52" i="15"/>
  <c r="G52" i="15"/>
  <c r="Q51" i="15"/>
  <c r="O51" i="15"/>
  <c r="M51" i="15"/>
  <c r="K51" i="15"/>
  <c r="I51" i="15"/>
  <c r="G51" i="15"/>
  <c r="Q50" i="15"/>
  <c r="O50" i="15"/>
  <c r="M50" i="15"/>
  <c r="K50" i="15"/>
  <c r="I50" i="15"/>
  <c r="G50" i="15"/>
  <c r="Q49" i="15"/>
  <c r="O49" i="15"/>
  <c r="M49" i="15"/>
  <c r="K49" i="15"/>
  <c r="I49" i="15"/>
  <c r="G49" i="15"/>
  <c r="Q48" i="15"/>
  <c r="O48" i="15"/>
  <c r="M48" i="15"/>
  <c r="K48" i="15"/>
  <c r="I48" i="15"/>
  <c r="G48" i="15"/>
  <c r="Q47" i="15"/>
  <c r="O47" i="15"/>
  <c r="M47" i="15"/>
  <c r="K47" i="15"/>
  <c r="I47" i="15"/>
  <c r="G47" i="15"/>
  <c r="Q46" i="15"/>
  <c r="O46" i="15"/>
  <c r="M46" i="15"/>
  <c r="K46" i="15"/>
  <c r="I46" i="15"/>
  <c r="G46" i="15"/>
  <c r="Q45" i="15"/>
  <c r="O45" i="15"/>
  <c r="M45" i="15"/>
  <c r="K45" i="15"/>
  <c r="I45" i="15"/>
  <c r="G45" i="15"/>
  <c r="O44" i="15"/>
  <c r="M44" i="15"/>
  <c r="K44" i="15"/>
  <c r="I44" i="15"/>
  <c r="G44" i="15"/>
  <c r="E44" i="15"/>
  <c r="M43" i="15"/>
  <c r="K43" i="15"/>
  <c r="I43" i="15"/>
  <c r="G43" i="15"/>
  <c r="E43" i="15"/>
  <c r="K42" i="15"/>
  <c r="I42" i="15"/>
  <c r="G42" i="15"/>
  <c r="E42" i="15"/>
  <c r="I41" i="15"/>
  <c r="G41" i="15"/>
  <c r="E41" i="15"/>
  <c r="A41" i="15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G40" i="15"/>
  <c r="E40" i="15"/>
  <c r="E20" i="15"/>
  <c r="G20" i="15" s="1"/>
  <c r="I20" i="15" s="1"/>
  <c r="K20" i="15" s="1"/>
  <c r="M20" i="15" s="1"/>
  <c r="O20" i="15" s="1"/>
  <c r="Q20" i="15" s="1"/>
  <c r="S20" i="15" s="1"/>
  <c r="U20" i="15" s="1"/>
  <c r="C12" i="15"/>
  <c r="C10" i="15"/>
  <c r="E10" i="15" s="1"/>
  <c r="E7" i="15"/>
  <c r="G7" i="15" s="1"/>
  <c r="I7" i="15" s="1"/>
  <c r="K7" i="15" s="1"/>
  <c r="M7" i="15" s="1"/>
  <c r="O7" i="15" s="1"/>
  <c r="Q7" i="15" s="1"/>
  <c r="S7" i="15" s="1"/>
  <c r="U7" i="15" s="1"/>
  <c r="W41" i="17" l="1"/>
  <c r="G10" i="17"/>
  <c r="W41" i="15"/>
  <c r="G10" i="15"/>
  <c r="I10" i="17" l="1"/>
  <c r="W42" i="17"/>
  <c r="I10" i="15"/>
  <c r="W42" i="15"/>
  <c r="K10" i="17" l="1"/>
  <c r="W43" i="17"/>
  <c r="K10" i="15"/>
  <c r="W43" i="15"/>
  <c r="Q61" i="15"/>
  <c r="Q51" i="17"/>
  <c r="A40" i="15"/>
  <c r="M10" i="17" l="1"/>
  <c r="W44" i="17"/>
  <c r="M10" i="15"/>
  <c r="W44" i="15"/>
  <c r="C51" i="17"/>
  <c r="E49" i="17"/>
  <c r="E48" i="17"/>
  <c r="E47" i="17"/>
  <c r="E46" i="17"/>
  <c r="E45" i="17"/>
  <c r="K51" i="17"/>
  <c r="U40" i="17"/>
  <c r="S40" i="17"/>
  <c r="AC40" i="17" s="1"/>
  <c r="G38" i="17"/>
  <c r="C38" i="17"/>
  <c r="C29" i="17"/>
  <c r="U28" i="17"/>
  <c r="U29" i="17" s="1"/>
  <c r="S28" i="17"/>
  <c r="Q28" i="17"/>
  <c r="O28" i="17"/>
  <c r="M28" i="17"/>
  <c r="S27" i="17"/>
  <c r="S29" i="17" s="1"/>
  <c r="Q27" i="17"/>
  <c r="O27" i="17"/>
  <c r="M27" i="17"/>
  <c r="K27" i="17"/>
  <c r="Q26" i="17"/>
  <c r="O26" i="17"/>
  <c r="M26" i="17"/>
  <c r="K26" i="17"/>
  <c r="I26" i="17"/>
  <c r="O25" i="17"/>
  <c r="M25" i="17"/>
  <c r="K25" i="17"/>
  <c r="I25" i="17"/>
  <c r="G25" i="17"/>
  <c r="M24" i="17"/>
  <c r="K24" i="17"/>
  <c r="K29" i="17" s="1"/>
  <c r="I24" i="17"/>
  <c r="G24" i="17"/>
  <c r="E24" i="17"/>
  <c r="E29" i="17" s="1"/>
  <c r="C20" i="17"/>
  <c r="W40" i="17"/>
  <c r="A3" i="17"/>
  <c r="A9" i="17" s="1"/>
  <c r="A2" i="17"/>
  <c r="A1" i="17"/>
  <c r="W45" i="17" l="1"/>
  <c r="O10" i="17"/>
  <c r="O10" i="15"/>
  <c r="W45" i="15"/>
  <c r="Q29" i="17"/>
  <c r="G29" i="17"/>
  <c r="S41" i="17"/>
  <c r="S44" i="17"/>
  <c r="I29" i="17"/>
  <c r="O29" i="17"/>
  <c r="I38" i="17"/>
  <c r="M51" i="17"/>
  <c r="O51" i="17"/>
  <c r="C16" i="17"/>
  <c r="C14" i="17"/>
  <c r="Y40" i="17"/>
  <c r="G51" i="17"/>
  <c r="M29" i="17"/>
  <c r="AA40" i="17"/>
  <c r="S50" i="17"/>
  <c r="S45" i="17"/>
  <c r="U41" i="17"/>
  <c r="E12" i="17" s="1"/>
  <c r="S48" i="17"/>
  <c r="S43" i="17"/>
  <c r="S46" i="17"/>
  <c r="S49" i="17"/>
  <c r="S42" i="17"/>
  <c r="S47" i="17"/>
  <c r="K38" i="17"/>
  <c r="W46" i="17" l="1"/>
  <c r="Q10" i="17"/>
  <c r="Q10" i="15"/>
  <c r="W46" i="15"/>
  <c r="Y41" i="17"/>
  <c r="E51" i="17"/>
  <c r="M38" i="17"/>
  <c r="I51" i="17"/>
  <c r="U42" i="17"/>
  <c r="G12" i="17" s="1"/>
  <c r="W47" i="17" l="1"/>
  <c r="S10" i="17"/>
  <c r="U10" i="17" s="1"/>
  <c r="S10" i="15"/>
  <c r="U10" i="15" s="1"/>
  <c r="W47" i="15"/>
  <c r="O38" i="17"/>
  <c r="E14" i="17"/>
  <c r="G14" i="17"/>
  <c r="U43" i="17"/>
  <c r="I12" i="17" s="1"/>
  <c r="AA42" i="17"/>
  <c r="AA41" i="17"/>
  <c r="S51" i="17"/>
  <c r="Y42" i="17"/>
  <c r="Q38" i="17" l="1"/>
  <c r="AA43" i="17"/>
  <c r="AC43" i="17" s="1"/>
  <c r="I16" i="17" s="1"/>
  <c r="Y43" i="17"/>
  <c r="AC41" i="17"/>
  <c r="E16" i="17" s="1"/>
  <c r="AC42" i="17"/>
  <c r="G16" i="17" s="1"/>
  <c r="U44" i="17" l="1"/>
  <c r="I14" i="17"/>
  <c r="U45" i="17"/>
  <c r="M12" i="17" s="1"/>
  <c r="Y44" i="17" l="1"/>
  <c r="K12" i="17"/>
  <c r="AA44" i="17"/>
  <c r="Y45" i="17"/>
  <c r="K14" i="17"/>
  <c r="U46" i="17"/>
  <c r="O12" i="17" s="1"/>
  <c r="AC44" i="17"/>
  <c r="K16" i="17" s="1"/>
  <c r="M14" i="17" l="1"/>
  <c r="AA45" i="17"/>
  <c r="AC45" i="17" s="1"/>
  <c r="M16" i="17" s="1"/>
  <c r="O14" i="17"/>
  <c r="U47" i="17"/>
  <c r="Q12" i="17" s="1"/>
  <c r="AA46" i="17" l="1"/>
  <c r="AC46" i="17" s="1"/>
  <c r="O16" i="17" s="1"/>
  <c r="Y46" i="17"/>
  <c r="Q14" i="17" s="1"/>
  <c r="Y47" i="17" l="1"/>
  <c r="U48" i="17" s="1"/>
  <c r="S12" i="17" s="1"/>
  <c r="S14" i="17" s="1"/>
  <c r="AA47" i="17"/>
  <c r="AC47" i="17" s="1"/>
  <c r="Q16" i="17" s="1"/>
  <c r="W48" i="17"/>
  <c r="W49" i="17"/>
  <c r="W50" i="17" s="1"/>
  <c r="Y48" i="17" l="1"/>
  <c r="U49" i="17" s="1"/>
  <c r="U12" i="17" s="1"/>
  <c r="U14" i="17" s="1"/>
  <c r="AA48" i="17"/>
  <c r="AC48" i="17" s="1"/>
  <c r="S16" i="17" s="1"/>
  <c r="Y49" i="17"/>
  <c r="U50" i="17" s="1"/>
  <c r="AA49" i="17" l="1"/>
  <c r="AC49" i="17" s="1"/>
  <c r="U16" i="17" s="1"/>
  <c r="AA50" i="17"/>
  <c r="AC50" i="17" s="1"/>
  <c r="Y50" i="17"/>
  <c r="U51" i="17" l="1"/>
  <c r="AA51" i="17" l="1"/>
  <c r="P12" i="14" l="1"/>
  <c r="O12" i="14"/>
  <c r="N12" i="14"/>
  <c r="M12" i="14"/>
  <c r="L12" i="14"/>
  <c r="K12" i="14"/>
  <c r="J12" i="14"/>
  <c r="I12" i="14"/>
  <c r="H12" i="14"/>
  <c r="G12" i="14"/>
  <c r="F12" i="14"/>
  <c r="E12" i="14"/>
  <c r="D12" i="14"/>
  <c r="A3" i="15" l="1"/>
  <c r="A9" i="15" s="1"/>
  <c r="C38" i="15" l="1"/>
  <c r="C61" i="15"/>
  <c r="G38" i="15"/>
  <c r="C20" i="15"/>
  <c r="A2" i="15" l="1"/>
  <c r="A1" i="15"/>
  <c r="E24" i="15"/>
  <c r="E29" i="15" s="1"/>
  <c r="G24" i="15"/>
  <c r="I24" i="15"/>
  <c r="K24" i="15"/>
  <c r="M24" i="15"/>
  <c r="G25" i="15"/>
  <c r="I25" i="15"/>
  <c r="K25" i="15"/>
  <c r="M25" i="15"/>
  <c r="O25" i="15"/>
  <c r="I26" i="15"/>
  <c r="K26" i="15"/>
  <c r="M26" i="15"/>
  <c r="O26" i="15"/>
  <c r="Q26" i="15"/>
  <c r="K27" i="15"/>
  <c r="M27" i="15"/>
  <c r="O27" i="15"/>
  <c r="Q27" i="15"/>
  <c r="S27" i="15"/>
  <c r="M28" i="15"/>
  <c r="O28" i="15"/>
  <c r="Q28" i="15"/>
  <c r="S28" i="15"/>
  <c r="U28" i="15"/>
  <c r="U29" i="15" s="1"/>
  <c r="C29" i="15"/>
  <c r="U40" i="15"/>
  <c r="S40" i="15"/>
  <c r="AC40" i="15" s="1"/>
  <c r="E45" i="15"/>
  <c r="E46" i="15"/>
  <c r="E47" i="15"/>
  <c r="E48" i="15"/>
  <c r="E49" i="15"/>
  <c r="G29" i="15" l="1"/>
  <c r="O29" i="15"/>
  <c r="M29" i="15"/>
  <c r="W40" i="15"/>
  <c r="S29" i="15"/>
  <c r="O61" i="15"/>
  <c r="I38" i="15"/>
  <c r="M61" i="15"/>
  <c r="AA40" i="15"/>
  <c r="Q29" i="15"/>
  <c r="K29" i="15"/>
  <c r="I29" i="15"/>
  <c r="G61" i="15"/>
  <c r="C16" i="15"/>
  <c r="Y40" i="15"/>
  <c r="K38" i="15" l="1"/>
  <c r="U41" i="15"/>
  <c r="E12" i="15" s="1"/>
  <c r="S41" i="15"/>
  <c r="C14" i="15"/>
  <c r="M38" i="15" l="1"/>
  <c r="E14" i="15"/>
  <c r="Y41" i="15"/>
  <c r="I61" i="15"/>
  <c r="O38" i="15" l="1"/>
  <c r="AA41" i="15"/>
  <c r="S60" i="15"/>
  <c r="S56" i="15"/>
  <c r="S58" i="15"/>
  <c r="S57" i="15"/>
  <c r="S59" i="15"/>
  <c r="S46" i="15"/>
  <c r="S55" i="15"/>
  <c r="S49" i="15"/>
  <c r="S52" i="15"/>
  <c r="S47" i="15"/>
  <c r="S42" i="15"/>
  <c r="S45" i="15"/>
  <c r="S54" i="15"/>
  <c r="S44" i="15"/>
  <c r="S48" i="15"/>
  <c r="S51" i="15"/>
  <c r="E61" i="15"/>
  <c r="S43" i="15"/>
  <c r="S50" i="15"/>
  <c r="S53" i="15"/>
  <c r="AC41" i="15" l="1"/>
  <c r="E16" i="15" s="1"/>
  <c r="Q38" i="15"/>
  <c r="K61" i="15"/>
  <c r="U42" i="15"/>
  <c r="G12" i="15" s="1"/>
  <c r="U43" i="15"/>
  <c r="I12" i="15" s="1"/>
  <c r="A3" i="14"/>
  <c r="A2" i="14"/>
  <c r="A1" i="14"/>
  <c r="U44" i="15" l="1"/>
  <c r="K12" i="15" s="1"/>
  <c r="Y42" i="15"/>
  <c r="Y43" i="15"/>
  <c r="AA43" i="15"/>
  <c r="AA42" i="15"/>
  <c r="S61" i="15"/>
  <c r="AC42" i="15" l="1"/>
  <c r="AC43" i="15"/>
  <c r="I16" i="15" s="1"/>
  <c r="Y44" i="15"/>
  <c r="K14" i="15"/>
  <c r="AA44" i="15"/>
  <c r="G14" i="15"/>
  <c r="I14" i="15"/>
  <c r="G16" i="15"/>
  <c r="AC44" i="15" l="1"/>
  <c r="K16" i="15" s="1"/>
  <c r="U45" i="15"/>
  <c r="M12" i="15" s="1"/>
  <c r="U46" i="15"/>
  <c r="O12" i="15" s="1"/>
  <c r="Y46" i="15" l="1"/>
  <c r="AA45" i="15"/>
  <c r="Y45" i="15"/>
  <c r="U47" i="15"/>
  <c r="Q12" i="15" s="1"/>
  <c r="AA46" i="15"/>
  <c r="AC45" i="15" l="1"/>
  <c r="M16" i="15" s="1"/>
  <c r="F12" i="1" s="1"/>
  <c r="AC46" i="15"/>
  <c r="O16" i="15" s="1"/>
  <c r="M14" i="15"/>
  <c r="F9" i="1" s="1"/>
  <c r="F20" i="1"/>
  <c r="O14" i="15"/>
  <c r="Q14" i="15"/>
  <c r="AA47" i="15"/>
  <c r="Y47" i="15"/>
  <c r="U48" i="15"/>
  <c r="AC47" i="15" l="1"/>
  <c r="Q16" i="15" s="1"/>
  <c r="AA48" i="15"/>
  <c r="AC48" i="15" s="1"/>
  <c r="S12" i="15"/>
  <c r="S14" i="15" s="1"/>
  <c r="Y48" i="15"/>
  <c r="W48" i="15"/>
  <c r="U49" i="15" s="1"/>
  <c r="W49" i="15"/>
  <c r="U50" i="15" l="1"/>
  <c r="W50" i="15"/>
  <c r="W51" i="15" s="1"/>
  <c r="W52" i="15" s="1"/>
  <c r="W53" i="15" s="1"/>
  <c r="W54" i="15" s="1"/>
  <c r="W55" i="15" s="1"/>
  <c r="W56" i="15" s="1"/>
  <c r="W57" i="15" s="1"/>
  <c r="W58" i="15" s="1"/>
  <c r="W59" i="15" s="1"/>
  <c r="W60" i="15" s="1"/>
  <c r="S16" i="15"/>
  <c r="AA49" i="15"/>
  <c r="U12" i="15"/>
  <c r="U14" i="15" s="1"/>
  <c r="Y49" i="15"/>
  <c r="U51" i="15"/>
  <c r="AA50" i="15"/>
  <c r="AC50" i="15" s="1"/>
  <c r="D14" i="14"/>
  <c r="F8" i="1" s="1"/>
  <c r="AC49" i="15" l="1"/>
  <c r="U16" i="15" s="1"/>
  <c r="U52" i="15"/>
  <c r="AA51" i="15"/>
  <c r="AC51" i="15" s="1"/>
  <c r="Y50" i="15"/>
  <c r="G32" i="10"/>
  <c r="A9" i="1"/>
  <c r="A10" i="1" s="1"/>
  <c r="E22" i="11"/>
  <c r="F26" i="10"/>
  <c r="E33" i="12"/>
  <c r="E29" i="12"/>
  <c r="G29" i="12" s="1"/>
  <c r="E24" i="12"/>
  <c r="G24" i="12" s="1"/>
  <c r="E23" i="12"/>
  <c r="E19" i="12"/>
  <c r="E16" i="12"/>
  <c r="E35" i="12" s="1"/>
  <c r="E30" i="10"/>
  <c r="G30" i="10" s="1"/>
  <c r="E25" i="10"/>
  <c r="E24" i="10"/>
  <c r="E17" i="10"/>
  <c r="G17" i="10" s="1"/>
  <c r="F32" i="12"/>
  <c r="G32" i="12" s="1"/>
  <c r="F27" i="12"/>
  <c r="F28" i="10"/>
  <c r="G28" i="10" s="1"/>
  <c r="F33" i="10"/>
  <c r="G33" i="10" s="1"/>
  <c r="F17" i="11"/>
  <c r="F14" i="11"/>
  <c r="F22" i="11"/>
  <c r="F25" i="12"/>
  <c r="G25" i="12" s="1"/>
  <c r="G11" i="10"/>
  <c r="G12" i="10"/>
  <c r="G13" i="10"/>
  <c r="G15" i="10"/>
  <c r="G16" i="10"/>
  <c r="G18" i="10"/>
  <c r="G19" i="10"/>
  <c r="G20" i="10"/>
  <c r="G21" i="10"/>
  <c r="G22" i="10"/>
  <c r="G23" i="10"/>
  <c r="G27" i="10"/>
  <c r="G29" i="10"/>
  <c r="G31" i="10"/>
  <c r="G14" i="10"/>
  <c r="G25" i="10"/>
  <c r="G24" i="10"/>
  <c r="G26" i="10"/>
  <c r="A10" i="10"/>
  <c r="A12" i="10" s="1"/>
  <c r="G33" i="12"/>
  <c r="G31" i="12"/>
  <c r="G30" i="12"/>
  <c r="G28" i="12"/>
  <c r="G27" i="12"/>
  <c r="G26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A9" i="12"/>
  <c r="H20" i="11"/>
  <c r="H19" i="11"/>
  <c r="H18" i="11"/>
  <c r="H17" i="11"/>
  <c r="H16" i="11"/>
  <c r="H15" i="11"/>
  <c r="H14" i="11"/>
  <c r="H13" i="11"/>
  <c r="H12" i="11"/>
  <c r="H22" i="11" s="1"/>
  <c r="H11" i="11"/>
  <c r="H10" i="11"/>
  <c r="H9" i="11"/>
  <c r="A9" i="11"/>
  <c r="G10" i="10"/>
  <c r="A11" i="10"/>
  <c r="A10" i="12"/>
  <c r="A11" i="12"/>
  <c r="Y51" i="15" l="1"/>
  <c r="U53" i="15"/>
  <c r="AA52" i="15"/>
  <c r="AC52" i="15" s="1"/>
  <c r="G35" i="12"/>
  <c r="G35" i="10"/>
  <c r="A12" i="12"/>
  <c r="A14" i="12" s="1"/>
  <c r="A13" i="12"/>
  <c r="A10" i="11"/>
  <c r="E35" i="10"/>
  <c r="F35" i="12"/>
  <c r="F35" i="10"/>
  <c r="A13" i="10"/>
  <c r="A12" i="1"/>
  <c r="Y52" i="15" l="1"/>
  <c r="U54" i="15"/>
  <c r="A15" i="12"/>
  <c r="A12" i="11"/>
  <c r="A14" i="10"/>
  <c r="A11" i="11"/>
  <c r="A14" i="1"/>
  <c r="Y54" i="15" l="1"/>
  <c r="U55" i="15"/>
  <c r="AA53" i="15"/>
  <c r="AC53" i="15" s="1"/>
  <c r="Y53" i="15"/>
  <c r="A15" i="10"/>
  <c r="A13" i="11"/>
  <c r="A14" i="11" s="1"/>
  <c r="A16" i="12"/>
  <c r="A16" i="1"/>
  <c r="A18" i="1" s="1"/>
  <c r="F10" i="1"/>
  <c r="F21" i="1" s="1"/>
  <c r="Y55" i="15" l="1"/>
  <c r="U56" i="15"/>
  <c r="AA54" i="15"/>
  <c r="AC54" i="15" s="1"/>
  <c r="A15" i="11"/>
  <c r="A20" i="12"/>
  <c r="A17" i="12"/>
  <c r="A18" i="12"/>
  <c r="A16" i="10"/>
  <c r="A16" i="11"/>
  <c r="A19" i="12"/>
  <c r="A21" i="12" s="1"/>
  <c r="A20" i="1"/>
  <c r="F14" i="1"/>
  <c r="F18" i="1" s="1"/>
  <c r="F23" i="1" s="1"/>
  <c r="Y56" i="15" l="1"/>
  <c r="U57" i="15"/>
  <c r="AA55" i="15"/>
  <c r="AC55" i="15" s="1"/>
  <c r="A22" i="12"/>
  <c r="A17" i="11"/>
  <c r="A18" i="11" s="1"/>
  <c r="A19" i="11" s="1"/>
  <c r="A20" i="11" s="1"/>
  <c r="A22" i="11" s="1"/>
  <c r="A23" i="12"/>
  <c r="A17" i="10"/>
  <c r="A18" i="10"/>
  <c r="A21" i="1"/>
  <c r="A23" i="1" s="1"/>
  <c r="AA56" i="15" l="1"/>
  <c r="AC56" i="15" s="1"/>
  <c r="U58" i="15"/>
  <c r="A24" i="12"/>
  <c r="A25" i="12" s="1"/>
  <c r="A26" i="12" s="1"/>
  <c r="A27" i="12" s="1"/>
  <c r="A28" i="12" s="1"/>
  <c r="A29" i="12" s="1"/>
  <c r="A30" i="12" s="1"/>
  <c r="A31" i="12" s="1"/>
  <c r="A32" i="12" s="1"/>
  <c r="A33" i="12" s="1"/>
  <c r="A35" i="12" s="1"/>
  <c r="A20" i="10"/>
  <c r="A19" i="10"/>
  <c r="U59" i="15" l="1"/>
  <c r="AA57" i="15"/>
  <c r="AC57" i="15" s="1"/>
  <c r="Y57" i="15"/>
  <c r="A21" i="10"/>
  <c r="AA58" i="15" l="1"/>
  <c r="AC58" i="15" s="1"/>
  <c r="A22" i="10"/>
  <c r="A23" i="10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5" i="10" s="1"/>
  <c r="Y58" i="15" l="1"/>
  <c r="AA59" i="15" s="1"/>
  <c r="AC59" i="15" s="1"/>
  <c r="Y59" i="15" l="1"/>
  <c r="U60" i="15" s="1"/>
  <c r="AA60" i="15" s="1"/>
  <c r="AC60" i="15" s="1"/>
  <c r="Y60" i="15" l="1"/>
  <c r="U61" i="15" l="1"/>
  <c r="AA61" i="15" l="1"/>
</calcChain>
</file>

<file path=xl/sharedStrings.xml><?xml version="1.0" encoding="utf-8"?>
<sst xmlns="http://schemas.openxmlformats.org/spreadsheetml/2006/main" count="215" uniqueCount="120">
  <si>
    <t>Return on Rate Base (Pre-Tax)</t>
  </si>
  <si>
    <t>\F</t>
  </si>
  <si>
    <t>\B</t>
  </si>
  <si>
    <t>\A</t>
  </si>
  <si>
    <t>\C</t>
  </si>
  <si>
    <t>\D</t>
  </si>
  <si>
    <t>\E</t>
  </si>
  <si>
    <t>Account 282</t>
  </si>
  <si>
    <t>263A</t>
  </si>
  <si>
    <t>AFUDC Debt</t>
  </si>
  <si>
    <t>Casualty Loss</t>
  </si>
  <si>
    <t>CIAC</t>
  </si>
  <si>
    <t>CWIP Differences</t>
  </si>
  <si>
    <t>FAS109</t>
  </si>
  <si>
    <t>Miscellaneous</t>
  </si>
  <si>
    <t>Non-Cash Overheads</t>
  </si>
  <si>
    <t>Section 174</t>
  </si>
  <si>
    <t>Software</t>
  </si>
  <si>
    <t>Tax Depreciation</t>
  </si>
  <si>
    <t>Land and Land Rights</t>
  </si>
  <si>
    <t>Rights of Way</t>
  </si>
  <si>
    <t>Structures and Improvements</t>
  </si>
  <si>
    <t>Station Equipment</t>
  </si>
  <si>
    <t>Major Equipment</t>
  </si>
  <si>
    <t>Station Equipment Electronic</t>
  </si>
  <si>
    <t>Poles, Towers &amp; Fixtures</t>
  </si>
  <si>
    <t>3650, 3651</t>
  </si>
  <si>
    <t>Overhead Conductors and Devices</t>
  </si>
  <si>
    <t>Underground Conduit</t>
  </si>
  <si>
    <t>Underground Conductors and Devices</t>
  </si>
  <si>
    <t>3680, 3681</t>
  </si>
  <si>
    <t>Line Transformers</t>
  </si>
  <si>
    <t>Customer Transformer Installations</t>
  </si>
  <si>
    <t>Services - Underground</t>
  </si>
  <si>
    <t>Services - Overhead</t>
  </si>
  <si>
    <t>Meters</t>
  </si>
  <si>
    <t>Leased Meters</t>
  </si>
  <si>
    <t>Utility of the Future Meters</t>
  </si>
  <si>
    <t>Installations on Customers' Premises</t>
  </si>
  <si>
    <t>Leased Property on Customers' Premises</t>
  </si>
  <si>
    <t>3730, 3731</t>
  </si>
  <si>
    <t>Street Lighting - Overhead</t>
  </si>
  <si>
    <t>Street Lighting - Boulevard</t>
  </si>
  <si>
    <t>Light Security OL POL Flood</t>
  </si>
  <si>
    <t>Light Choice OLE - Public</t>
  </si>
  <si>
    <t>Company</t>
  </si>
  <si>
    <t>Adjusted</t>
  </si>
  <si>
    <t>Duke Energy Ohio, Inc.</t>
  </si>
  <si>
    <t>Company Owned Outdoor Light</t>
  </si>
  <si>
    <t>Street Lighting</t>
  </si>
  <si>
    <t>Account Number</t>
  </si>
  <si>
    <t>FERC</t>
  </si>
  <si>
    <t>Line No.</t>
  </si>
  <si>
    <t>Account Title</t>
  </si>
  <si>
    <t>Per Books</t>
  </si>
  <si>
    <t>Total Company</t>
  </si>
  <si>
    <t>Distribution Accounts</t>
  </si>
  <si>
    <r>
      <t xml:space="preserve">Adjustments </t>
    </r>
    <r>
      <rPr>
        <b/>
        <vertAlign val="superscript"/>
        <sz val="12"/>
        <rFont val="Calibri"/>
        <family val="2"/>
        <scheme val="minor"/>
      </rPr>
      <t>(a)</t>
    </r>
  </si>
  <si>
    <t>282.XXX</t>
  </si>
  <si>
    <t xml:space="preserve">Total Plant-Related Accumulated Deferred Income Tax </t>
  </si>
  <si>
    <t>Dist Station Equip Elec</t>
  </si>
  <si>
    <t>Retirement Work in Progress</t>
  </si>
  <si>
    <t>TIC</t>
  </si>
  <si>
    <t>Plant in Service Summary by Major Property Groupings (As of March 31, 2015)</t>
  </si>
  <si>
    <t>Accumulated Depreciation by Major Property Groupings (As of March 31, 2015)</t>
  </si>
  <si>
    <t>Plant Related Accumulated Deferred Income Taxes - Excluding Grid Modernization (March 31, 2015)</t>
  </si>
  <si>
    <t>(a)</t>
  </si>
  <si>
    <t xml:space="preserve">Adjustments </t>
  </si>
  <si>
    <t>Line</t>
  </si>
  <si>
    <t>Description</t>
  </si>
  <si>
    <t>Notes:  (a) Grid Mod additions</t>
  </si>
  <si>
    <t>Accumulated Depreciation</t>
  </si>
  <si>
    <t>Depreciation Expense</t>
  </si>
  <si>
    <t xml:space="preserve">Assumptions:  </t>
  </si>
  <si>
    <t xml:space="preserve">Estimated Revenue Requirement </t>
  </si>
  <si>
    <t>Duke Energy Kentucky</t>
  </si>
  <si>
    <r>
      <t>Gross Plant</t>
    </r>
    <r>
      <rPr>
        <vertAlign val="superscript"/>
        <sz val="11"/>
        <color theme="1"/>
        <rFont val="Calibri"/>
        <family val="2"/>
        <scheme val="minor"/>
      </rPr>
      <t>(a)</t>
    </r>
  </si>
  <si>
    <t xml:space="preserve">  Net Plant in Service</t>
  </si>
  <si>
    <t>Rate Base</t>
  </si>
  <si>
    <t xml:space="preserve">  Revenue Requirement (Lines 7 - 9)</t>
  </si>
  <si>
    <t>Test Period</t>
  </si>
  <si>
    <r>
      <t xml:space="preserve">Annualized Property Tax Expense </t>
    </r>
    <r>
      <rPr>
        <vertAlign val="superscript"/>
        <sz val="11"/>
        <color theme="1"/>
        <rFont val="Calibri"/>
        <family val="2"/>
        <scheme val="minor"/>
      </rPr>
      <t>(d)</t>
    </r>
  </si>
  <si>
    <r>
      <t xml:space="preserve">Return on Rate Base (Pre-Tax %) </t>
    </r>
    <r>
      <rPr>
        <vertAlign val="superscript"/>
        <sz val="11"/>
        <color theme="1"/>
        <rFont val="Calibri"/>
        <family val="2"/>
        <scheme val="minor"/>
      </rPr>
      <t>(c)</t>
    </r>
  </si>
  <si>
    <r>
      <t xml:space="preserve">Accum Def Income Taxes on Plant </t>
    </r>
    <r>
      <rPr>
        <vertAlign val="superscript"/>
        <sz val="11"/>
        <color theme="1"/>
        <rFont val="Calibri"/>
        <family val="2"/>
        <scheme val="minor"/>
      </rPr>
      <t>(b)</t>
    </r>
  </si>
  <si>
    <t xml:space="preserve">13 Month Average (Average of Ln 2): </t>
  </si>
  <si>
    <t>ADIT</t>
  </si>
  <si>
    <t>Deferred Tax</t>
  </si>
  <si>
    <t>Depreciation</t>
  </si>
  <si>
    <t>Plant</t>
  </si>
  <si>
    <t>Tax Depr</t>
  </si>
  <si>
    <t>Cap Additions</t>
  </si>
  <si>
    <t>Accumulated</t>
  </si>
  <si>
    <t>Gross</t>
  </si>
  <si>
    <t>Book</t>
  </si>
  <si>
    <t>Total</t>
  </si>
  <si>
    <t xml:space="preserve">Tax Deprecation on </t>
  </si>
  <si>
    <t>Tax Life</t>
  </si>
  <si>
    <t>Book Life</t>
  </si>
  <si>
    <t>Amortization of O&amp;M for Rider</t>
  </si>
  <si>
    <t xml:space="preserve">    2023 O&amp;M</t>
  </si>
  <si>
    <t xml:space="preserve">    2022 O&amp;M</t>
  </si>
  <si>
    <t xml:space="preserve">    2021 O&amp;M</t>
  </si>
  <si>
    <t xml:space="preserve">    2020 O&amp;M</t>
  </si>
  <si>
    <t xml:space="preserve">    2019 O&amp;M</t>
  </si>
  <si>
    <t xml:space="preserve">  Amortize O&amp;M over 5 yrs After Spend</t>
  </si>
  <si>
    <t>Annual O&amp;M</t>
  </si>
  <si>
    <t>Project</t>
  </si>
  <si>
    <t>Annual Spend (O&amp;M)</t>
  </si>
  <si>
    <t>Accumulated Deferred Income Tax</t>
  </si>
  <si>
    <t xml:space="preserve">  Cumulative Gross Plant</t>
  </si>
  <si>
    <t>Property, Plant and Equipment (Capital)</t>
  </si>
  <si>
    <r>
      <rPr>
        <vertAlign val="superscript"/>
        <sz val="11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 Weighted-Average Cost of Capital from Schedule A in Case No. 21-00190, with ROE at 10.3%, grossed up for 21% FIT rate.</t>
    </r>
  </si>
  <si>
    <r>
      <t>Cumulative Gross Plant</t>
    </r>
    <r>
      <rPr>
        <vertAlign val="superscript"/>
        <sz val="11"/>
        <color theme="1"/>
        <rFont val="Calibri"/>
        <family val="2"/>
        <scheme val="minor"/>
      </rPr>
      <t>(a)</t>
    </r>
  </si>
  <si>
    <r>
      <rPr>
        <vertAlign val="superscript"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13 month average of cumulative gross plant</t>
    </r>
  </si>
  <si>
    <t>Balance of Gross Plant by Account</t>
  </si>
  <si>
    <t>CIS Replacement</t>
  </si>
  <si>
    <r>
      <rPr>
        <vertAlign val="superscript"/>
        <sz val="11"/>
        <color theme="1"/>
        <rFont val="Calibri"/>
        <family val="2"/>
        <scheme val="minor"/>
      </rPr>
      <t xml:space="preserve">(b)  </t>
    </r>
    <r>
      <rPr>
        <sz val="11"/>
        <color theme="1"/>
        <rFont val="Calibri"/>
        <family val="2"/>
        <scheme val="minor"/>
      </rPr>
      <t>Assumes software has a 15 year book life; 15 year MACRS and hardware has a 5 year book like; 5 year MACRS</t>
    </r>
  </si>
  <si>
    <r>
      <rPr>
        <vertAlign val="superscript"/>
        <sz val="11"/>
        <color theme="1"/>
        <rFont val="Calibri"/>
        <family val="2"/>
        <scheme val="minor"/>
      </rPr>
      <t>(d)</t>
    </r>
    <r>
      <rPr>
        <sz val="11"/>
        <color theme="1"/>
        <rFont val="Calibri"/>
        <family val="2"/>
        <scheme val="minor"/>
      </rPr>
      <t xml:space="preserve"> Assumes 0.76% of net plant; derived from test year property taxes divided by test year net plant.</t>
    </r>
  </si>
  <si>
    <t xml:space="preserve">    29101 - Electronic Data Processing</t>
  </si>
  <si>
    <t xml:space="preserve">    20300 - Miscellaneous Intangible 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</si>
</sst>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_)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  <numFmt numFmtId="170" formatCode="_(* #,##0.0000_);_(* \(#,##0.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name val="Courier"/>
      <family val="3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3" fillId="0" borderId="0" xfId="0" applyFont="1" applyAlignment="1" applyProtection="1">
      <alignment horizontal="left"/>
    </xf>
    <xf numFmtId="0" fontId="3" fillId="0" borderId="6" xfId="0" applyFont="1" applyBorder="1"/>
    <xf numFmtId="0" fontId="3" fillId="0" borderId="6" xfId="0" applyFont="1" applyBorder="1" applyAlignment="1" applyProtection="1">
      <alignment horizontal="left"/>
    </xf>
    <xf numFmtId="0" fontId="3" fillId="0" borderId="0" xfId="0" applyFont="1" applyBorder="1"/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7" xfId="0" quotePrefix="1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165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37" fontId="3" fillId="0" borderId="0" xfId="0" applyNumberFormat="1" applyFont="1" applyAlignment="1" applyProtection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49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5" fontId="3" fillId="0" borderId="0" xfId="0" applyNumberFormat="1" applyFont="1" applyAlignment="1" applyProtection="1">
      <alignment horizontal="right"/>
    </xf>
    <xf numFmtId="5" fontId="3" fillId="0" borderId="2" xfId="0" applyNumberFormat="1" applyFont="1" applyBorder="1" applyAlignment="1" applyProtection="1">
      <alignment horizontal="right"/>
    </xf>
    <xf numFmtId="37" fontId="8" fillId="0" borderId="0" xfId="0" applyNumberFormat="1" applyFont="1" applyFill="1" applyAlignment="1" applyProtection="1">
      <alignment horizontal="right"/>
    </xf>
    <xf numFmtId="49" fontId="3" fillId="0" borderId="0" xfId="0" quotePrefix="1" applyNumberFormat="1" applyFont="1" applyAlignment="1">
      <alignment horizontal="left"/>
    </xf>
    <xf numFmtId="165" fontId="3" fillId="0" borderId="0" xfId="0" quotePrefix="1" applyNumberFormat="1" applyFont="1" applyAlignment="1" applyProtection="1">
      <alignment horizontal="left"/>
    </xf>
    <xf numFmtId="5" fontId="3" fillId="0" borderId="0" xfId="0" applyNumberFormat="1" applyFont="1" applyBorder="1" applyAlignment="1" applyProtection="1">
      <alignment horizontal="right"/>
    </xf>
    <xf numFmtId="5" fontId="0" fillId="0" borderId="0" xfId="0" applyNumberFormat="1"/>
    <xf numFmtId="5" fontId="3" fillId="0" borderId="9" xfId="0" applyNumberFormat="1" applyFont="1" applyBorder="1" applyAlignment="1" applyProtection="1">
      <alignment horizontal="right"/>
    </xf>
    <xf numFmtId="0" fontId="2" fillId="0" borderId="0" xfId="0" applyFont="1"/>
    <xf numFmtId="0" fontId="10" fillId="0" borderId="0" xfId="0" quotePrefix="1" applyFont="1" applyFill="1" applyAlignment="1">
      <alignment horizontal="left"/>
    </xf>
    <xf numFmtId="0" fontId="11" fillId="0" borderId="0" xfId="0" applyFont="1" applyFill="1" applyAlignment="1">
      <alignment horizontal="centerContinuous"/>
    </xf>
    <xf numFmtId="0" fontId="11" fillId="0" borderId="0" xfId="0" applyFont="1" applyFill="1"/>
    <xf numFmtId="5" fontId="8" fillId="0" borderId="0" xfId="0" applyNumberFormat="1" applyFont="1" applyFill="1" applyAlignment="1" applyProtection="1">
      <alignment horizontal="right"/>
    </xf>
    <xf numFmtId="5" fontId="12" fillId="0" borderId="0" xfId="0" applyNumberFormat="1" applyFont="1" applyAlignment="1" applyProtection="1">
      <alignment horizontal="right"/>
    </xf>
    <xf numFmtId="37" fontId="12" fillId="0" borderId="0" xfId="0" applyNumberFormat="1" applyFont="1" applyAlignment="1" applyProtection="1">
      <alignment horizontal="right"/>
    </xf>
    <xf numFmtId="37" fontId="12" fillId="0" borderId="0" xfId="0" applyNumberFormat="1" applyFont="1" applyFill="1" applyAlignment="1" applyProtection="1">
      <alignment horizontal="right"/>
    </xf>
    <xf numFmtId="5" fontId="3" fillId="0" borderId="0" xfId="0" applyNumberFormat="1" applyFont="1"/>
    <xf numFmtId="5" fontId="12" fillId="0" borderId="0" xfId="0" applyNumberFormat="1" applyFont="1" applyFill="1" applyAlignment="1" applyProtection="1">
      <alignment horizontal="right"/>
    </xf>
    <xf numFmtId="167" fontId="12" fillId="0" borderId="0" xfId="11" applyNumberFormat="1" applyFont="1" applyFill="1" applyAlignment="1" applyProtection="1">
      <alignment horizontal="right"/>
    </xf>
    <xf numFmtId="5" fontId="3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/>
    <xf numFmtId="5" fontId="12" fillId="0" borderId="0" xfId="0" applyNumberFormat="1" applyFont="1" applyBorder="1" applyAlignment="1" applyProtection="1">
      <alignment horizontal="right"/>
    </xf>
    <xf numFmtId="5" fontId="12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Border="1" applyAlignment="1" applyProtection="1">
      <alignment horizontal="right"/>
    </xf>
    <xf numFmtId="37" fontId="12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/>
    <xf numFmtId="165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right"/>
    </xf>
    <xf numFmtId="164" fontId="3" fillId="0" borderId="0" xfId="2" applyNumberFormat="1" applyFont="1" applyBorder="1" applyAlignment="1" applyProtection="1">
      <alignment horizontal="center"/>
    </xf>
    <xf numFmtId="5" fontId="3" fillId="0" borderId="0" xfId="0" applyNumberFormat="1" applyFont="1" applyBorder="1" applyProtection="1"/>
    <xf numFmtId="5" fontId="3" fillId="0" borderId="0" xfId="0" applyNumberFormat="1" applyFont="1" applyFill="1" applyBorder="1" applyProtection="1"/>
    <xf numFmtId="165" fontId="3" fillId="0" borderId="0" xfId="0" quotePrefix="1" applyNumberFormat="1" applyFont="1" applyBorder="1" applyAlignment="1" applyProtection="1">
      <alignment horizontal="left"/>
    </xf>
    <xf numFmtId="0" fontId="3" fillId="0" borderId="0" xfId="0" quotePrefix="1" applyFont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center"/>
    </xf>
    <xf numFmtId="167" fontId="3" fillId="0" borderId="9" xfId="0" applyNumberFormat="1" applyFont="1" applyBorder="1" applyAlignment="1" applyProtection="1">
      <alignment horizontal="right"/>
    </xf>
    <xf numFmtId="0" fontId="5" fillId="0" borderId="10" xfId="0" quotePrefix="1" applyFont="1" applyBorder="1" applyAlignment="1">
      <alignment horizontal="center"/>
    </xf>
    <xf numFmtId="37" fontId="12" fillId="0" borderId="0" xfId="0" quotePrefix="1" applyNumberFormat="1" applyFont="1" applyFill="1" applyAlignment="1" applyProtection="1">
      <alignment horizontal="right"/>
    </xf>
    <xf numFmtId="0" fontId="0" fillId="0" borderId="0" xfId="0" quotePrefix="1" applyAlignment="1">
      <alignment horizontal="center" wrapText="1"/>
    </xf>
    <xf numFmtId="0" fontId="0" fillId="0" borderId="6" xfId="0" applyBorder="1"/>
    <xf numFmtId="0" fontId="10" fillId="0" borderId="6" xfId="0" applyFont="1" applyFill="1" applyBorder="1" applyAlignment="1">
      <alignment horizontal="centerContinuous"/>
    </xf>
    <xf numFmtId="0" fontId="11" fillId="0" borderId="6" xfId="0" applyFont="1" applyFill="1" applyBorder="1" applyAlignment="1">
      <alignment horizontal="centerContinuous"/>
    </xf>
    <xf numFmtId="0" fontId="11" fillId="0" borderId="6" xfId="0" applyFont="1" applyFill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right"/>
    </xf>
    <xf numFmtId="0" fontId="3" fillId="0" borderId="2" xfId="0" applyFont="1" applyBorder="1"/>
    <xf numFmtId="0" fontId="3" fillId="0" borderId="0" xfId="0" quotePrefix="1" applyFont="1" applyAlignment="1">
      <alignment horizontal="left"/>
    </xf>
    <xf numFmtId="0" fontId="3" fillId="0" borderId="11" xfId="0" applyFont="1" applyBorder="1"/>
    <xf numFmtId="165" fontId="3" fillId="0" borderId="11" xfId="0" applyNumberFormat="1" applyFont="1" applyBorder="1" applyProtection="1"/>
    <xf numFmtId="0" fontId="2" fillId="0" borderId="0" xfId="0" quotePrefix="1" applyFont="1" applyBorder="1" applyAlignment="1">
      <alignment horizontal="center"/>
    </xf>
    <xf numFmtId="5" fontId="0" fillId="0" borderId="0" xfId="0" applyNumberFormat="1" applyFill="1" applyBorder="1"/>
    <xf numFmtId="0" fontId="2" fillId="0" borderId="0" xfId="0" applyFont="1" applyAlignment="1"/>
    <xf numFmtId="166" fontId="0" fillId="0" borderId="0" xfId="1" applyNumberFormat="1" applyFont="1" applyFill="1"/>
    <xf numFmtId="0" fontId="0" fillId="0" borderId="0" xfId="0" quotePrefix="1" applyAlignment="1"/>
    <xf numFmtId="0" fontId="0" fillId="0" borderId="0" xfId="0" applyFill="1"/>
    <xf numFmtId="0" fontId="10" fillId="0" borderId="0" xfId="0" applyFont="1" applyFill="1"/>
    <xf numFmtId="5" fontId="2" fillId="0" borderId="0" xfId="0" applyNumberFormat="1" applyFont="1" applyFill="1" applyBorder="1"/>
    <xf numFmtId="0" fontId="0" fillId="0" borderId="0" xfId="0" applyFont="1" applyFill="1"/>
    <xf numFmtId="10" fontId="0" fillId="0" borderId="0" xfId="2" applyNumberFormat="1" applyFont="1" applyFill="1"/>
    <xf numFmtId="5" fontId="0" fillId="0" borderId="0" xfId="0" applyNumberFormat="1" applyFill="1"/>
    <xf numFmtId="166" fontId="10" fillId="0" borderId="0" xfId="1" quotePrefix="1" applyNumberFormat="1" applyFont="1" applyFill="1" applyAlignment="1">
      <alignment horizontal="left"/>
    </xf>
    <xf numFmtId="166" fontId="0" fillId="0" borderId="0" xfId="1" applyNumberFormat="1" applyFont="1" applyFill="1" applyBorder="1"/>
    <xf numFmtId="166" fontId="10" fillId="0" borderId="0" xfId="1" quotePrefix="1" applyNumberFormat="1" applyFont="1" applyFill="1" applyBorder="1" applyAlignment="1">
      <alignment horizontal="left"/>
    </xf>
    <xf numFmtId="0" fontId="0" fillId="0" borderId="0" xfId="0" applyFill="1" applyBorder="1"/>
    <xf numFmtId="0" fontId="10" fillId="0" borderId="2" xfId="0" applyFont="1" applyFill="1" applyBorder="1"/>
    <xf numFmtId="0" fontId="10" fillId="0" borderId="0" xfId="0" applyFont="1" applyFill="1" applyBorder="1"/>
    <xf numFmtId="0" fontId="0" fillId="0" borderId="0" xfId="0" quotePrefix="1" applyAlignment="1">
      <alignment horizontal="left" indent="1"/>
    </xf>
    <xf numFmtId="0" fontId="0" fillId="0" borderId="0" xfId="0" quotePrefix="1" applyFill="1" applyAlignment="1">
      <alignment horizontal="left" indent="1"/>
    </xf>
    <xf numFmtId="0" fontId="0" fillId="0" borderId="0" xfId="0" quotePrefix="1" applyFill="1" applyAlignment="1">
      <alignment horizontal="left"/>
    </xf>
    <xf numFmtId="0" fontId="0" fillId="0" borderId="0" xfId="0" applyFill="1" applyAlignment="1">
      <alignment horizontal="left" indent="1"/>
    </xf>
    <xf numFmtId="0" fontId="2" fillId="0" borderId="3" xfId="0" quotePrefix="1" applyFont="1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2" fillId="0" borderId="13" xfId="0" quotePrefix="1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166" fontId="0" fillId="0" borderId="0" xfId="1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0" fillId="0" borderId="0" xfId="1" applyNumberFormat="1" applyFont="1" applyBorder="1"/>
    <xf numFmtId="0" fontId="0" fillId="0" borderId="0" xfId="0" applyAlignment="1">
      <alignment horizontal="right" indent="1"/>
    </xf>
    <xf numFmtId="168" fontId="0" fillId="0" borderId="0" xfId="2" applyNumberFormat="1" applyFont="1" applyAlignment="1">
      <alignment horizontal="right" indent="1"/>
    </xf>
    <xf numFmtId="0" fontId="0" fillId="0" borderId="0" xfId="0" applyAlignment="1">
      <alignment horizontal="right" indent="2"/>
    </xf>
    <xf numFmtId="166" fontId="0" fillId="0" borderId="0" xfId="0" applyNumberFormat="1"/>
    <xf numFmtId="166" fontId="0" fillId="0" borderId="0" xfId="1" quotePrefix="1" applyNumberFormat="1" applyFont="1" applyAlignment="1">
      <alignment horizontal="left"/>
    </xf>
    <xf numFmtId="10" fontId="0" fillId="0" borderId="0" xfId="2" applyNumberFormat="1" applyFont="1" applyAlignment="1">
      <alignment horizontal="right" indent="1"/>
    </xf>
    <xf numFmtId="0" fontId="0" fillId="0" borderId="14" xfId="0" applyBorder="1"/>
    <xf numFmtId="10" fontId="0" fillId="0" borderId="14" xfId="2" applyNumberFormat="1" applyFont="1" applyBorder="1" applyAlignment="1">
      <alignment horizontal="right" indent="1"/>
    </xf>
    <xf numFmtId="0" fontId="0" fillId="0" borderId="14" xfId="0" applyBorder="1" applyAlignment="1">
      <alignment horizontal="right" indent="2"/>
    </xf>
    <xf numFmtId="10" fontId="0" fillId="0" borderId="0" xfId="2" applyNumberFormat="1" applyFont="1" applyBorder="1" applyAlignment="1">
      <alignment horizontal="right" indent="1"/>
    </xf>
    <xf numFmtId="5" fontId="0" fillId="0" borderId="0" xfId="1" applyNumberFormat="1" applyFont="1"/>
    <xf numFmtId="0" fontId="0" fillId="0" borderId="0" xfId="0" quotePrefix="1" applyAlignment="1">
      <alignment horizontal="center"/>
    </xf>
    <xf numFmtId="0" fontId="2" fillId="2" borderId="3" xfId="0" quotePrefix="1" applyFont="1" applyFill="1" applyBorder="1" applyAlignment="1">
      <alignment horizontal="center"/>
    </xf>
    <xf numFmtId="0" fontId="2" fillId="2" borderId="8" xfId="0" quotePrefix="1" applyFont="1" applyFill="1" applyBorder="1" applyAlignment="1">
      <alignment horizontal="center"/>
    </xf>
    <xf numFmtId="0" fontId="2" fillId="2" borderId="7" xfId="0" quotePrefix="1" applyFont="1" applyFill="1" applyBorder="1" applyAlignment="1">
      <alignment horizontal="center"/>
    </xf>
    <xf numFmtId="0" fontId="14" fillId="0" borderId="0" xfId="0" quotePrefix="1" applyFont="1" applyAlignment="1">
      <alignment horizontal="left"/>
    </xf>
    <xf numFmtId="43" fontId="0" fillId="0" borderId="0" xfId="1" applyFont="1" applyFill="1"/>
    <xf numFmtId="5" fontId="0" fillId="0" borderId="2" xfId="1" applyNumberFormat="1" applyFont="1" applyFill="1" applyBorder="1"/>
    <xf numFmtId="5" fontId="0" fillId="0" borderId="0" xfId="1" applyNumberFormat="1" applyFont="1" applyFill="1"/>
    <xf numFmtId="5" fontId="0" fillId="0" borderId="0" xfId="1" applyNumberFormat="1" applyFont="1" applyFill="1" applyBorder="1"/>
    <xf numFmtId="0" fontId="2" fillId="0" borderId="8" xfId="1" quotePrefix="1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/>
    </xf>
    <xf numFmtId="15" fontId="2" fillId="0" borderId="0" xfId="0" quotePrefix="1" applyNumberFormat="1" applyFont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8" xfId="1" quotePrefix="1" applyNumberFormat="1" applyFont="1" applyBorder="1" applyAlignment="1">
      <alignment horizontal="center"/>
    </xf>
    <xf numFmtId="10" fontId="0" fillId="0" borderId="0" xfId="0" applyNumberFormat="1"/>
    <xf numFmtId="10" fontId="0" fillId="0" borderId="2" xfId="1" applyNumberFormat="1" applyFont="1" applyBorder="1"/>
    <xf numFmtId="0" fontId="2" fillId="0" borderId="0" xfId="0" quotePrefix="1" applyFont="1" applyFill="1" applyBorder="1" applyAlignment="1">
      <alignment horizontal="center"/>
    </xf>
    <xf numFmtId="167" fontId="0" fillId="0" borderId="0" xfId="11" applyNumberFormat="1" applyFont="1" applyBorder="1"/>
    <xf numFmtId="170" fontId="0" fillId="0" borderId="0" xfId="1" quotePrefix="1" applyNumberFormat="1" applyFont="1" applyFill="1" applyAlignment="1">
      <alignment horizontal="left" indent="1"/>
    </xf>
    <xf numFmtId="0" fontId="2" fillId="2" borderId="4" xfId="0" quotePrefix="1" applyFont="1" applyFill="1" applyBorder="1" applyAlignment="1">
      <alignment horizontal="center"/>
    </xf>
    <xf numFmtId="0" fontId="2" fillId="2" borderId="13" xfId="0" quotePrefix="1" applyFont="1" applyFill="1" applyBorder="1" applyAlignment="1">
      <alignment horizontal="center"/>
    </xf>
    <xf numFmtId="0" fontId="2" fillId="2" borderId="5" xfId="0" quotePrefix="1" applyFont="1" applyFill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2" borderId="15" xfId="0" quotePrefix="1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" fillId="0" borderId="3" xfId="0" quotePrefix="1" applyFont="1" applyBorder="1" applyAlignment="1">
      <alignment horizontal="center" wrapText="1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0" borderId="0" xfId="0" quotePrefix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7" fontId="15" fillId="0" borderId="0" xfId="0" applyNumberFormat="1" applyFont="1" applyAlignment="1">
      <alignment horizontal="center"/>
    </xf>
    <xf numFmtId="41" fontId="0" fillId="0" borderId="1" xfId="1" applyNumberFormat="1" applyFont="1" applyFill="1" applyBorder="1"/>
    <xf numFmtId="42" fontId="0" fillId="2" borderId="12" xfId="0" applyNumberFormat="1" applyFill="1" applyBorder="1"/>
    <xf numFmtId="42" fontId="0" fillId="0" borderId="0" xfId="1" applyNumberFormat="1" applyFont="1" applyFill="1"/>
    <xf numFmtId="42" fontId="0" fillId="0" borderId="1" xfId="1" applyNumberFormat="1" applyFont="1" applyFill="1" applyBorder="1"/>
    <xf numFmtId="42" fontId="0" fillId="0" borderId="0" xfId="11" applyNumberFormat="1" applyFont="1" applyFill="1" applyBorder="1"/>
    <xf numFmtId="42" fontId="0" fillId="0" borderId="0" xfId="0" applyNumberFormat="1"/>
    <xf numFmtId="42" fontId="0" fillId="0" borderId="2" xfId="1" applyNumberFormat="1" applyFont="1" applyFill="1" applyBorder="1"/>
    <xf numFmtId="41" fontId="0" fillId="0" borderId="0" xfId="0" applyNumberFormat="1"/>
    <xf numFmtId="41" fontId="0" fillId="0" borderId="0" xfId="1" applyNumberFormat="1" applyFont="1"/>
    <xf numFmtId="41" fontId="0" fillId="0" borderId="0" xfId="1" quotePrefix="1" applyNumberFormat="1" applyFont="1" applyAlignment="1">
      <alignment horizontal="left"/>
    </xf>
    <xf numFmtId="41" fontId="0" fillId="0" borderId="0" xfId="1" applyNumberFormat="1" applyFont="1" applyBorder="1"/>
    <xf numFmtId="41" fontId="0" fillId="0" borderId="14" xfId="1" applyNumberFormat="1" applyFont="1" applyBorder="1"/>
    <xf numFmtId="41" fontId="0" fillId="0" borderId="14" xfId="0" applyNumberFormat="1" applyBorder="1"/>
    <xf numFmtId="42" fontId="0" fillId="0" borderId="2" xfId="1" applyNumberFormat="1" applyFont="1" applyBorder="1"/>
    <xf numFmtId="42" fontId="0" fillId="0" borderId="0" xfId="1" applyNumberFormat="1" applyFont="1"/>
    <xf numFmtId="42" fontId="0" fillId="0" borderId="2" xfId="0" applyNumberFormat="1" applyFill="1" applyBorder="1"/>
    <xf numFmtId="42" fontId="0" fillId="0" borderId="1" xfId="0" applyNumberFormat="1" applyFill="1" applyBorder="1"/>
    <xf numFmtId="42" fontId="2" fillId="0" borderId="9" xfId="0" applyNumberFormat="1" applyFont="1" applyFill="1" applyBorder="1"/>
    <xf numFmtId="42" fontId="0" fillId="0" borderId="0" xfId="0" applyNumberFormat="1" applyFill="1"/>
    <xf numFmtId="42" fontId="2" fillId="2" borderId="12" xfId="0" applyNumberFormat="1" applyFont="1" applyFill="1" applyBorder="1"/>
  </cellXfs>
  <cellStyles count="12">
    <cellStyle name="Comma" xfId="1" builtinId="3"/>
    <cellStyle name="Currency" xfId="11" builtinId="4"/>
    <cellStyle name="Normal" xfId="0" builtinId="0"/>
    <cellStyle name="Normal 69" xfId="3" xr:uid="{00000000-0005-0000-0000-000003000000}"/>
    <cellStyle name="Normal 70" xfId="5" xr:uid="{00000000-0005-0000-0000-000004000000}"/>
    <cellStyle name="Normal 72" xfId="4" xr:uid="{00000000-0005-0000-0000-000005000000}"/>
    <cellStyle name="Normal 74" xfId="6" xr:uid="{00000000-0005-0000-0000-000006000000}"/>
    <cellStyle name="Normal 75" xfId="7" xr:uid="{00000000-0005-0000-0000-000007000000}"/>
    <cellStyle name="Normal 76" xfId="8" xr:uid="{00000000-0005-0000-0000-000008000000}"/>
    <cellStyle name="Normal 77" xfId="9" xr:uid="{00000000-0005-0000-0000-000009000000}"/>
    <cellStyle name="Normal 78" xfId="10" xr:uid="{00000000-0005-0000-0000-00000A000000}"/>
    <cellStyle name="Percent" xfId="2" builtinId="5"/>
  </cellStyles>
  <dxfs count="0"/>
  <tableStyles count="0" defaultTableStyle="TableStyleMedium9" defaultPivotStyle="PivotStyleLight16"/>
  <colors>
    <mruColors>
      <color rgb="FFFFE4AF"/>
      <color rgb="FF0000FF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%20Ohio%20D%20Case%202012-1682\Settlement\PUCO%20ELECTRIC%20SFRs-%202012%20Settlement%20Upd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%20Ohio%20D%20Case%202012-1682\SFR%20Model\PUCO%20ELECTRIC%20SFRs-%202012%20As%20Fil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9-00271/Testimony/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COSS ALLOC"/>
      <sheetName val="GOTO"/>
      <sheetName val="PRINT"/>
      <sheetName val="INPUT"/>
      <sheetName val="Jan-Jun 04 Budget"/>
      <sheetName val="NON-LABOR"/>
      <sheetName val="Jan-Jun 04 NonLabor Bdgt"/>
      <sheetName val="ACCTTABLE"/>
      <sheetName val="REV by PRODUCT"/>
      <sheetName val="LABOR"/>
      <sheetName val="Jan-Jun 04 Labor Bdgt"/>
      <sheetName val="SCH_A1"/>
      <sheetName val="SCH_A2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2.5b"/>
      <sheetName val="SCH_B-3"/>
      <sheetName val="SCH_B-3.1"/>
      <sheetName val="SCH_B-3.2 - Proposed Accrual"/>
      <sheetName val="SCH_B-3.2a - Current Accrual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9"/>
      <sheetName val="SCH_C1"/>
      <sheetName val="SCH_C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3.22"/>
      <sheetName val="SCH_C3.23"/>
      <sheetName val="SCH_C3.24"/>
      <sheetName val="SCH_C3.25"/>
      <sheetName val="SCH_C3.26"/>
      <sheetName val="SCH_C3.27"/>
      <sheetName val="SCH_C3.28"/>
      <sheetName val="SCH_C3.29"/>
      <sheetName val="SCH_C3.30"/>
      <sheetName val="SCH_C4"/>
      <sheetName val="SCH_C5"/>
      <sheetName val="SCH_C6"/>
      <sheetName val="SCH_C7"/>
      <sheetName val="SCH_C8"/>
      <sheetName val="SCH_C9"/>
      <sheetName val="SCH_C9.1"/>
      <sheetName val="SCH C10.1"/>
      <sheetName val="SCH C10.2"/>
      <sheetName val="SCH_C11"/>
      <sheetName val="SCH_C12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UPP (C)(7)"/>
      <sheetName val="SUPP (C)(9)"/>
      <sheetName val="SUPP (C)(23)"/>
      <sheetName val="SUPP (C)(25)"/>
    </sheetNames>
    <sheetDataSet>
      <sheetData sheetId="0">
        <row r="5">
          <cell r="C5" t="str">
            <v>DUKE ENERGY OHIO, INC.</v>
          </cell>
        </row>
      </sheetData>
      <sheetData sheetId="1">
        <row r="2">
          <cell r="A2" t="str">
            <v>C229</v>
          </cell>
        </row>
      </sheetData>
      <sheetData sheetId="2"/>
      <sheetData sheetId="3"/>
      <sheetData sheetId="4">
        <row r="1">
          <cell r="D1">
            <v>5.4250000000000001E-3</v>
          </cell>
        </row>
        <row r="16">
          <cell r="D16">
            <v>0.83499999999999996</v>
          </cell>
        </row>
      </sheetData>
      <sheetData sheetId="5"/>
      <sheetData sheetId="6"/>
      <sheetData sheetId="7"/>
      <sheetData sheetId="8">
        <row r="12">
          <cell r="A12">
            <v>403400</v>
          </cell>
        </row>
      </sheetData>
      <sheetData sheetId="9">
        <row r="12">
          <cell r="A12">
            <v>440000</v>
          </cell>
        </row>
      </sheetData>
      <sheetData sheetId="10">
        <row r="2">
          <cell r="A2" t="str">
            <v>Account</v>
          </cell>
        </row>
      </sheetData>
      <sheetData sheetId="11"/>
      <sheetData sheetId="12"/>
      <sheetData sheetId="13">
        <row r="37">
          <cell r="H37">
            <v>1.5650023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42">
          <cell r="AK142">
            <v>15568360</v>
          </cell>
        </row>
      </sheetData>
      <sheetData sheetId="33"/>
      <sheetData sheetId="34">
        <row r="104">
          <cell r="AA104">
            <v>-7270777</v>
          </cell>
        </row>
      </sheetData>
      <sheetData sheetId="35"/>
      <sheetData sheetId="36"/>
      <sheetData sheetId="37">
        <row r="23">
          <cell r="G23">
            <v>447125</v>
          </cell>
        </row>
      </sheetData>
      <sheetData sheetId="38"/>
      <sheetData sheetId="39">
        <row r="54">
          <cell r="J54">
            <v>515397375</v>
          </cell>
        </row>
      </sheetData>
      <sheetData sheetId="40">
        <row r="20">
          <cell r="E20">
            <v>-150838097</v>
          </cell>
        </row>
      </sheetData>
      <sheetData sheetId="41"/>
      <sheetData sheetId="42"/>
      <sheetData sheetId="43"/>
      <sheetData sheetId="44"/>
      <sheetData sheetId="45">
        <row r="19">
          <cell r="K19">
            <v>-5498799</v>
          </cell>
        </row>
      </sheetData>
      <sheetData sheetId="46"/>
      <sheetData sheetId="47"/>
      <sheetData sheetId="48"/>
      <sheetData sheetId="49"/>
      <sheetData sheetId="50">
        <row r="87">
          <cell r="AI87">
            <v>-26399957</v>
          </cell>
        </row>
      </sheetData>
      <sheetData sheetId="51"/>
      <sheetData sheetId="52"/>
      <sheetData sheetId="53"/>
      <sheetData sheetId="54"/>
      <sheetData sheetId="55"/>
      <sheetData sheetId="56"/>
      <sheetData sheetId="57">
        <row r="57">
          <cell r="W57">
            <v>2392829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2">
          <cell r="O2">
            <v>0.37390000000000001</v>
          </cell>
        </row>
      </sheetData>
      <sheetData sheetId="77"/>
      <sheetData sheetId="78"/>
      <sheetData sheetId="79"/>
      <sheetData sheetId="80"/>
      <sheetData sheetId="81"/>
      <sheetData sheetId="82">
        <row r="16">
          <cell r="M16">
            <v>2.4799999999999999E-2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COSS ALLOC"/>
      <sheetName val="GOTO"/>
      <sheetName val="PRINT"/>
      <sheetName val="INPUT"/>
      <sheetName val="Jan-Jun 04 Budget"/>
      <sheetName val="NON-LABOR"/>
      <sheetName val="Jan-Jun 04 NonLabor Bdgt"/>
      <sheetName val="ACCTTABLE"/>
      <sheetName val="REV by PRODUCT"/>
      <sheetName val="LABOR"/>
      <sheetName val="Jan-Jun 04 Labor Bdgt"/>
      <sheetName val="SCH_A1"/>
      <sheetName val="SCH_A2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2.5b"/>
      <sheetName val="SCH_B-3"/>
      <sheetName val="SCH_B-3.1"/>
      <sheetName val="SCH_B-3.2 - Proposed Accrual"/>
      <sheetName val="SCH_B-3.2a - Current Accrual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9"/>
      <sheetName val="SCH_C1"/>
      <sheetName val="SCH_C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3.22"/>
      <sheetName val="SCH_C3.23"/>
      <sheetName val="SCH_C3.24"/>
      <sheetName val="SCH_C3.25"/>
      <sheetName val="SCH_C3.26"/>
      <sheetName val="SCH_C3.27"/>
      <sheetName val="SCH_C3.28"/>
      <sheetName val="SCH_C3.29"/>
      <sheetName val="SCH_C3.30"/>
      <sheetName val="SCH_C4"/>
      <sheetName val="SCH_C5"/>
      <sheetName val="SCH_C6"/>
      <sheetName val="SCH_C7"/>
      <sheetName val="SCH_C8"/>
      <sheetName val="SCH_C9"/>
      <sheetName val="SCH_C9.1"/>
      <sheetName val="SCH C10.1"/>
      <sheetName val="SCH C10.2"/>
      <sheetName val="SCH_C11"/>
      <sheetName val="SCH_C12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UPP (C)(7)"/>
      <sheetName val="SUPP (C)(9)"/>
      <sheetName val="SUPP (C)(23)"/>
      <sheetName val="SUPP (C)(25)"/>
    </sheetNames>
    <sheetDataSet>
      <sheetData sheetId="0"/>
      <sheetData sheetId="1">
        <row r="2">
          <cell r="A2" t="str">
            <v>C229</v>
          </cell>
          <cell r="B2">
            <v>0.44821</v>
          </cell>
          <cell r="C2" t="str">
            <v>WTD Net C &amp; O Plant Ratios</v>
          </cell>
          <cell r="D2" t="str">
            <v>Per B-7</v>
          </cell>
        </row>
        <row r="3">
          <cell r="A3" t="str">
            <v>DALL</v>
          </cell>
          <cell r="B3">
            <v>1</v>
          </cell>
          <cell r="C3" t="str">
            <v>All Jurisdictional</v>
          </cell>
        </row>
        <row r="4">
          <cell r="A4" t="str">
            <v>DNON</v>
          </cell>
          <cell r="B4">
            <v>0</v>
          </cell>
          <cell r="C4" t="str">
            <v>Non-Jurisdictional</v>
          </cell>
        </row>
        <row r="5">
          <cell r="A5" t="str">
            <v>G229</v>
          </cell>
          <cell r="B5">
            <v>0.92257</v>
          </cell>
          <cell r="C5" t="str">
            <v>WTD Net G &amp; I Plant Ratios (T&amp;D Only)</v>
          </cell>
          <cell r="D5" t="str">
            <v>Per B-7</v>
          </cell>
        </row>
        <row r="6">
          <cell r="A6" t="str">
            <v>D595</v>
          </cell>
          <cell r="B6">
            <v>0.54069999999999996</v>
          </cell>
          <cell r="C6" t="str">
            <v>Distribution Revenue ratio</v>
          </cell>
          <cell r="D6" t="str">
            <v>Per WPB-5.1c</v>
          </cell>
        </row>
        <row r="7">
          <cell r="A7" t="str">
            <v>DLAB</v>
          </cell>
          <cell r="B7">
            <v>0.87319000000000002</v>
          </cell>
          <cell r="C7" t="str">
            <v>Labor Distribution</v>
          </cell>
          <cell r="D7" t="str">
            <v>FERC Pages 354 &amp; 355</v>
          </cell>
        </row>
        <row r="8">
          <cell r="A8" t="str">
            <v>DPTX</v>
          </cell>
          <cell r="B8">
            <v>0.79</v>
          </cell>
          <cell r="C8" t="str">
            <v>Distribution Property Tax Split based on 3 months actual</v>
          </cell>
          <cell r="D8" t="str">
            <v>Per Tax Department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Inputs"/>
      <sheetName val="Plant Data (Mar15)"/>
      <sheetName val="Accum Depr (Mar15)"/>
      <sheetName val="Accum Def Inc Tax (Mar15)"/>
    </sheetNames>
    <sheetDataSet>
      <sheetData sheetId="0" refreshError="1"/>
      <sheetData sheetId="1">
        <row r="6">
          <cell r="C6">
            <v>8.9569999999999997E-2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view="pageLayout" topLeftCell="A7" zoomScaleNormal="90" workbookViewId="0">
      <selection activeCell="F8" sqref="F8"/>
    </sheetView>
  </sheetViews>
  <sheetFormatPr defaultRowHeight="14.4" x14ac:dyDescent="0.3"/>
  <cols>
    <col min="2" max="2" width="2" customWidth="1"/>
    <col min="3" max="3" width="46" customWidth="1"/>
    <col min="4" max="5" width="1.6640625" customWidth="1"/>
    <col min="6" max="6" width="14.6640625" customWidth="1"/>
    <col min="7" max="7" width="1.6640625" customWidth="1"/>
  </cols>
  <sheetData>
    <row r="1" spans="1:7" x14ac:dyDescent="0.3">
      <c r="A1" s="84" t="s">
        <v>75</v>
      </c>
      <c r="B1" s="30"/>
    </row>
    <row r="2" spans="1:7" x14ac:dyDescent="0.3">
      <c r="A2" s="30" t="s">
        <v>74</v>
      </c>
      <c r="B2" s="30"/>
    </row>
    <row r="3" spans="1:7" x14ac:dyDescent="0.3">
      <c r="A3" s="30" t="s">
        <v>115</v>
      </c>
      <c r="B3" s="30"/>
    </row>
    <row r="4" spans="1:7" ht="18.600000000000001" thickBot="1" x14ac:dyDescent="0.4">
      <c r="A4" s="69"/>
      <c r="B4" s="69"/>
      <c r="C4" s="70"/>
      <c r="D4" s="71"/>
      <c r="E4" s="72"/>
      <c r="F4" s="72"/>
      <c r="G4" s="72"/>
    </row>
    <row r="5" spans="1:7" ht="18" x14ac:dyDescent="0.35">
      <c r="C5" s="33"/>
      <c r="D5" s="32"/>
      <c r="E5" s="33"/>
      <c r="F5" s="33"/>
      <c r="G5" s="33"/>
    </row>
    <row r="6" spans="1:7" x14ac:dyDescent="0.3">
      <c r="A6" s="73" t="s">
        <v>68</v>
      </c>
      <c r="B6" s="74"/>
      <c r="C6" s="73" t="s">
        <v>69</v>
      </c>
      <c r="E6" s="82"/>
      <c r="F6" s="75" t="s">
        <v>80</v>
      </c>
      <c r="G6" s="82"/>
    </row>
    <row r="8" spans="1:7" ht="16.2" x14ac:dyDescent="0.3">
      <c r="A8" s="76">
        <v>1</v>
      </c>
      <c r="C8" s="1" t="s">
        <v>76</v>
      </c>
      <c r="E8" s="28"/>
      <c r="F8" s="163">
        <f>'13 month average calc'!D14</f>
        <v>2653553</v>
      </c>
      <c r="G8" s="28"/>
    </row>
    <row r="9" spans="1:7" x14ac:dyDescent="0.3">
      <c r="A9" s="76">
        <f>MAX(A8:A$8)+1</f>
        <v>2</v>
      </c>
      <c r="C9" s="1" t="s">
        <v>71</v>
      </c>
      <c r="E9" s="85"/>
      <c r="F9" s="85">
        <f>'Details 15 yr'!M14+'Details 5 yr'!M14</f>
        <v>-521749.98867417371</v>
      </c>
      <c r="G9" s="31"/>
    </row>
    <row r="10" spans="1:7" x14ac:dyDescent="0.3">
      <c r="A10" s="76">
        <f>MAX(A$8:A9)+1</f>
        <v>3</v>
      </c>
      <c r="C10" s="1" t="s">
        <v>77</v>
      </c>
      <c r="E10" s="83"/>
      <c r="F10" s="173">
        <f>+F8+F9</f>
        <v>2131803.0113258264</v>
      </c>
      <c r="G10" s="88"/>
    </row>
    <row r="11" spans="1:7" x14ac:dyDescent="0.3">
      <c r="A11" s="76"/>
      <c r="E11" s="87"/>
      <c r="F11" s="88"/>
      <c r="G11" s="88"/>
    </row>
    <row r="12" spans="1:7" ht="16.2" x14ac:dyDescent="0.3">
      <c r="A12" s="76">
        <f>MAX(A$8:A11)+1</f>
        <v>4</v>
      </c>
      <c r="C12" s="1" t="s">
        <v>83</v>
      </c>
      <c r="E12" s="83"/>
      <c r="F12" s="174">
        <f>'Details 15 yr'!M16+'Details 5 yr'!M16</f>
        <v>-30198</v>
      </c>
      <c r="G12" s="31"/>
    </row>
    <row r="13" spans="1:7" x14ac:dyDescent="0.3">
      <c r="A13" s="76"/>
      <c r="E13" s="87"/>
      <c r="F13" s="88"/>
      <c r="G13" s="88"/>
    </row>
    <row r="14" spans="1:7" ht="15" thickBot="1" x14ac:dyDescent="0.35">
      <c r="A14" s="76">
        <f>MAX(A$8:A13)+1</f>
        <v>5</v>
      </c>
      <c r="C14" s="1" t="s">
        <v>78</v>
      </c>
      <c r="E14" s="89"/>
      <c r="F14" s="175">
        <f>+F10+F12</f>
        <v>2101605.0113258264</v>
      </c>
      <c r="G14" s="31"/>
    </row>
    <row r="15" spans="1:7" ht="15" thickTop="1" x14ac:dyDescent="0.3">
      <c r="A15" s="76"/>
      <c r="E15" s="90"/>
      <c r="F15" s="87"/>
      <c r="G15" s="87"/>
    </row>
    <row r="16" spans="1:7" ht="16.2" x14ac:dyDescent="0.3">
      <c r="A16" s="76">
        <f>MAX(A$8:A15)+1</f>
        <v>6</v>
      </c>
      <c r="C16" s="1" t="s">
        <v>82</v>
      </c>
      <c r="E16" s="91"/>
      <c r="F16" s="91">
        <v>8.8099999999999998E-2</v>
      </c>
      <c r="G16" s="88"/>
    </row>
    <row r="17" spans="1:10" x14ac:dyDescent="0.3">
      <c r="A17" s="76"/>
      <c r="E17" s="87"/>
      <c r="F17" s="88"/>
      <c r="G17" s="88"/>
    </row>
    <row r="18" spans="1:10" x14ac:dyDescent="0.3">
      <c r="A18" s="76">
        <f>MAX(A$8:A17)+1</f>
        <v>7</v>
      </c>
      <c r="C18" s="1" t="s">
        <v>0</v>
      </c>
      <c r="E18" s="92"/>
      <c r="F18" s="176">
        <f>+F14*F16</f>
        <v>185151.40149780529</v>
      </c>
      <c r="G18" s="88"/>
    </row>
    <row r="19" spans="1:10" x14ac:dyDescent="0.3">
      <c r="A19" s="76"/>
      <c r="C19" s="1"/>
      <c r="E19" s="87"/>
      <c r="F19" s="88"/>
      <c r="G19" s="88"/>
    </row>
    <row r="20" spans="1:10" x14ac:dyDescent="0.3">
      <c r="A20" s="76">
        <f>MAX(A$8:A19)+1</f>
        <v>8</v>
      </c>
      <c r="C20" s="1" t="s">
        <v>72</v>
      </c>
      <c r="E20" s="85"/>
      <c r="F20" s="85">
        <f>'Details 15 yr'!M12+'Details 5 yr'!M12</f>
        <v>207380.05734084043</v>
      </c>
      <c r="G20" s="93"/>
    </row>
    <row r="21" spans="1:10" ht="16.2" x14ac:dyDescent="0.3">
      <c r="A21" s="76">
        <f>MAX(A$8:A20)+1</f>
        <v>9</v>
      </c>
      <c r="C21" s="1" t="s">
        <v>81</v>
      </c>
      <c r="E21" s="94"/>
      <c r="F21" s="94">
        <f>0.0076*F10</f>
        <v>16201.70288607628</v>
      </c>
      <c r="G21" s="95"/>
    </row>
    <row r="22" spans="1:10" x14ac:dyDescent="0.3">
      <c r="A22" s="76"/>
      <c r="E22" s="96"/>
      <c r="F22" s="97"/>
      <c r="G22" s="98"/>
    </row>
    <row r="23" spans="1:10" ht="15" thickBot="1" x14ac:dyDescent="0.35">
      <c r="A23" s="76">
        <f>MAX(A$8:A22)+1</f>
        <v>10</v>
      </c>
      <c r="C23" s="1" t="s">
        <v>79</v>
      </c>
      <c r="E23" s="92"/>
      <c r="F23" s="177">
        <f>SUM(F18:F21)</f>
        <v>408733.16172472201</v>
      </c>
      <c r="G23" s="101"/>
      <c r="J23" s="28"/>
    </row>
    <row r="24" spans="1:10" ht="15" thickTop="1" x14ac:dyDescent="0.3">
      <c r="A24" s="76"/>
    </row>
    <row r="26" spans="1:10" ht="14.25" customHeight="1" x14ac:dyDescent="0.3">
      <c r="A26" s="77"/>
      <c r="C26" s="86" t="s">
        <v>73</v>
      </c>
      <c r="D26" s="86"/>
      <c r="E26" s="68"/>
      <c r="F26" s="68"/>
      <c r="G26" s="68"/>
    </row>
    <row r="27" spans="1:10" ht="16.2" x14ac:dyDescent="0.3">
      <c r="C27" s="99" t="s">
        <v>113</v>
      </c>
    </row>
    <row r="28" spans="1:10" ht="16.2" x14ac:dyDescent="0.3">
      <c r="C28" s="99" t="s">
        <v>116</v>
      </c>
    </row>
    <row r="29" spans="1:10" ht="16.2" x14ac:dyDescent="0.3">
      <c r="C29" s="100" t="s">
        <v>111</v>
      </c>
    </row>
    <row r="30" spans="1:10" ht="16.2" x14ac:dyDescent="0.3">
      <c r="C30" s="99" t="s">
        <v>117</v>
      </c>
    </row>
    <row r="31" spans="1:10" x14ac:dyDescent="0.3">
      <c r="C31" s="140"/>
    </row>
    <row r="32" spans="1:10" x14ac:dyDescent="0.3">
      <c r="C32" s="102"/>
    </row>
    <row r="33" spans="3:3" x14ac:dyDescent="0.3">
      <c r="C33" s="102"/>
    </row>
  </sheetData>
  <pageMargins left="0.7" right="0.7" top="0.75" bottom="0.75" header="0.3" footer="0.3"/>
  <pageSetup orientation="landscape" r:id="rId1"/>
  <headerFooter>
    <oddHeader>&amp;R&amp;"Times New Roman,Bold"&amp;10KyPSC Case No. 2021-00190
AG-DR-01-019(e)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4"/>
  <sheetViews>
    <sheetView view="pageLayout" zoomScaleNormal="100" workbookViewId="0">
      <selection activeCell="D10" sqref="D10"/>
    </sheetView>
  </sheetViews>
  <sheetFormatPr defaultRowHeight="14.4" x14ac:dyDescent="0.3"/>
  <cols>
    <col min="1" max="1" width="8.33203125" customWidth="1"/>
    <col min="2" max="2" width="37" bestFit="1" customWidth="1"/>
    <col min="3" max="3" width="1.44140625" style="42" customWidth="1"/>
    <col min="4" max="4" width="12.88671875" bestFit="1" customWidth="1"/>
    <col min="5" max="8" width="11.5546875" bestFit="1" customWidth="1"/>
    <col min="9" max="16" width="12.5546875" bestFit="1" customWidth="1"/>
  </cols>
  <sheetData>
    <row r="1" spans="1:16" x14ac:dyDescent="0.3">
      <c r="A1" s="84" t="str">
        <f>'Rev Req Summary'!A1</f>
        <v>Duke Energy Kentucky</v>
      </c>
      <c r="B1" s="30"/>
      <c r="C1" s="108"/>
    </row>
    <row r="2" spans="1:16" x14ac:dyDescent="0.3">
      <c r="A2" s="84" t="str">
        <f>'Rev Req Summary'!A2</f>
        <v xml:space="preserve">Estimated Revenue Requirement </v>
      </c>
      <c r="B2" s="30"/>
      <c r="C2" s="108"/>
    </row>
    <row r="3" spans="1:16" x14ac:dyDescent="0.3">
      <c r="A3" s="84" t="str">
        <f>'Rev Req Summary'!A3</f>
        <v>CIS Replacement</v>
      </c>
      <c r="B3" s="30"/>
      <c r="C3" s="108"/>
    </row>
    <row r="4" spans="1:16" ht="18.600000000000001" thickBot="1" x14ac:dyDescent="0.4">
      <c r="A4" s="69"/>
      <c r="B4" s="69"/>
      <c r="C4" s="69"/>
      <c r="D4" s="70"/>
      <c r="E4" s="71"/>
      <c r="F4" s="72"/>
      <c r="G4" s="72"/>
      <c r="H4" s="69"/>
      <c r="I4" s="69"/>
      <c r="J4" s="69"/>
      <c r="K4" s="69"/>
      <c r="L4" s="69"/>
      <c r="M4" s="69"/>
      <c r="N4" s="69"/>
      <c r="O4" s="69"/>
      <c r="P4" s="69"/>
    </row>
    <row r="5" spans="1:16" ht="18" x14ac:dyDescent="0.35">
      <c r="D5" s="33"/>
      <c r="E5" s="32"/>
      <c r="F5" s="33"/>
      <c r="G5" s="33"/>
    </row>
    <row r="6" spans="1:16" x14ac:dyDescent="0.3">
      <c r="A6" s="73" t="s">
        <v>68</v>
      </c>
      <c r="B6" s="73" t="s">
        <v>69</v>
      </c>
      <c r="C6" s="109"/>
      <c r="D6" s="103" t="s">
        <v>80</v>
      </c>
      <c r="E6" s="104"/>
      <c r="F6" s="105"/>
      <c r="G6" s="104"/>
      <c r="H6" s="104"/>
      <c r="I6" s="104"/>
      <c r="J6" s="104"/>
      <c r="K6" s="104"/>
      <c r="L6" s="104"/>
      <c r="M6" s="104"/>
      <c r="N6" s="104"/>
      <c r="O6" s="104"/>
      <c r="P6" s="106"/>
    </row>
    <row r="8" spans="1:16" x14ac:dyDescent="0.3">
      <c r="D8" s="157">
        <v>44531</v>
      </c>
      <c r="E8" s="157">
        <v>44562</v>
      </c>
      <c r="F8" s="157">
        <v>44593</v>
      </c>
      <c r="G8" s="157">
        <v>44621</v>
      </c>
      <c r="H8" s="157">
        <v>44652</v>
      </c>
      <c r="I8" s="157">
        <v>44682</v>
      </c>
      <c r="J8" s="157">
        <v>44713</v>
      </c>
      <c r="K8" s="157">
        <v>44743</v>
      </c>
      <c r="L8" s="157">
        <v>44774</v>
      </c>
      <c r="M8" s="157">
        <v>44805</v>
      </c>
      <c r="N8" s="157">
        <v>44835</v>
      </c>
      <c r="O8" s="157">
        <v>44866</v>
      </c>
      <c r="P8" s="157">
        <v>44896</v>
      </c>
    </row>
    <row r="9" spans="1:16" x14ac:dyDescent="0.3">
      <c r="A9" s="76">
        <v>1</v>
      </c>
      <c r="B9" t="s">
        <v>114</v>
      </c>
    </row>
    <row r="10" spans="1:16" x14ac:dyDescent="0.3">
      <c r="A10" s="76">
        <v>2</v>
      </c>
      <c r="B10" s="96" t="s">
        <v>119</v>
      </c>
      <c r="D10" s="160">
        <v>805016.74999999988</v>
      </c>
      <c r="E10" s="160">
        <v>805016.74999999988</v>
      </c>
      <c r="F10" s="160">
        <v>805016.74999999988</v>
      </c>
      <c r="G10" s="160">
        <v>805016.74999999988</v>
      </c>
      <c r="H10" s="160">
        <v>2818319.870225213</v>
      </c>
      <c r="I10" s="160">
        <v>2818319.870225213</v>
      </c>
      <c r="J10" s="160">
        <v>2818319.870225213</v>
      </c>
      <c r="K10" s="160">
        <v>2818319.870225213</v>
      </c>
      <c r="L10" s="160">
        <v>2818319.870225213</v>
      </c>
      <c r="M10" s="160">
        <v>2818319.870225213</v>
      </c>
      <c r="N10" s="160">
        <v>2818319.870225213</v>
      </c>
      <c r="O10" s="160">
        <v>2818319.870225213</v>
      </c>
      <c r="P10" s="160">
        <v>2818319.870225213</v>
      </c>
    </row>
    <row r="11" spans="1:16" x14ac:dyDescent="0.3">
      <c r="A11" s="76">
        <v>3</v>
      </c>
      <c r="B11" s="96" t="s">
        <v>118</v>
      </c>
      <c r="D11" s="158">
        <v>376591.35000000009</v>
      </c>
      <c r="E11" s="158">
        <v>376591.35000000009</v>
      </c>
      <c r="F11" s="158">
        <v>376591.35000000009</v>
      </c>
      <c r="G11" s="158">
        <v>376591.35000000009</v>
      </c>
      <c r="H11" s="158">
        <v>489430.35000000009</v>
      </c>
      <c r="I11" s="158">
        <v>489430.35000000009</v>
      </c>
      <c r="J11" s="158">
        <v>489430.35000000009</v>
      </c>
      <c r="K11" s="158">
        <v>489430.35000000009</v>
      </c>
      <c r="L11" s="158">
        <v>489430.35000000009</v>
      </c>
      <c r="M11" s="158">
        <v>489430.35000000009</v>
      </c>
      <c r="N11" s="158">
        <v>489430.35000000009</v>
      </c>
      <c r="O11" s="158">
        <v>489430.35000000009</v>
      </c>
      <c r="P11" s="158">
        <v>489430.35000000009</v>
      </c>
    </row>
    <row r="12" spans="1:16" ht="16.2" x14ac:dyDescent="0.3">
      <c r="A12" s="76">
        <v>4</v>
      </c>
      <c r="B12" t="s">
        <v>112</v>
      </c>
      <c r="D12" s="161">
        <f t="shared" ref="D12:P12" si="0">SUM(D10:D11)</f>
        <v>1181608.1000000001</v>
      </c>
      <c r="E12" s="161">
        <f t="shared" si="0"/>
        <v>1181608.1000000001</v>
      </c>
      <c r="F12" s="161">
        <f t="shared" si="0"/>
        <v>1181608.1000000001</v>
      </c>
      <c r="G12" s="161">
        <f t="shared" si="0"/>
        <v>1181608.1000000001</v>
      </c>
      <c r="H12" s="161">
        <f t="shared" si="0"/>
        <v>3307750.2202252131</v>
      </c>
      <c r="I12" s="161">
        <f t="shared" si="0"/>
        <v>3307750.2202252131</v>
      </c>
      <c r="J12" s="161">
        <f t="shared" si="0"/>
        <v>3307750.2202252131</v>
      </c>
      <c r="K12" s="161">
        <f t="shared" si="0"/>
        <v>3307750.2202252131</v>
      </c>
      <c r="L12" s="161">
        <f t="shared" si="0"/>
        <v>3307750.2202252131</v>
      </c>
      <c r="M12" s="161">
        <f t="shared" si="0"/>
        <v>3307750.2202252131</v>
      </c>
      <c r="N12" s="161">
        <f t="shared" si="0"/>
        <v>3307750.2202252131</v>
      </c>
      <c r="O12" s="161">
        <f t="shared" si="0"/>
        <v>3307750.2202252131</v>
      </c>
      <c r="P12" s="161">
        <f t="shared" si="0"/>
        <v>3307750.2202252131</v>
      </c>
    </row>
    <row r="13" spans="1:16" x14ac:dyDescent="0.3">
      <c r="A13" s="76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16" ht="15" thickBot="1" x14ac:dyDescent="0.35">
      <c r="A14" s="76">
        <v>5</v>
      </c>
      <c r="B14" t="s">
        <v>84</v>
      </c>
      <c r="D14" s="159">
        <f>ROUND(AVERAGE(D12:P12),0)</f>
        <v>2653553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16" ht="15" thickTop="1" x14ac:dyDescent="0.3"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7" spans="2:14" x14ac:dyDescent="0.3">
      <c r="B17" s="99"/>
    </row>
    <row r="18" spans="2:14" x14ac:dyDescent="0.3">
      <c r="B18" s="107"/>
      <c r="C18" s="110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</row>
    <row r="19" spans="2:14" x14ac:dyDescent="0.3">
      <c r="B19" s="107"/>
      <c r="C19" s="110"/>
      <c r="D19" s="107"/>
      <c r="E19" s="107"/>
      <c r="F19" s="107"/>
      <c r="G19" s="107"/>
    </row>
    <row r="20" spans="2:14" x14ac:dyDescent="0.3">
      <c r="B20" s="107"/>
      <c r="C20" s="110"/>
      <c r="D20" s="107"/>
      <c r="E20" s="107"/>
      <c r="F20" s="107"/>
      <c r="G20" s="107"/>
    </row>
    <row r="21" spans="2:14" x14ac:dyDescent="0.3">
      <c r="B21" s="107"/>
      <c r="C21" s="110"/>
      <c r="D21" s="107"/>
      <c r="E21" s="107"/>
      <c r="F21" s="107"/>
      <c r="G21" s="107"/>
    </row>
    <row r="22" spans="2:14" x14ac:dyDescent="0.3">
      <c r="B22" s="107"/>
      <c r="C22" s="110"/>
      <c r="D22" s="107"/>
      <c r="E22" s="107"/>
      <c r="F22" s="107"/>
      <c r="G22" s="107"/>
    </row>
    <row r="23" spans="2:14" x14ac:dyDescent="0.3">
      <c r="B23" s="107"/>
      <c r="C23" s="110"/>
      <c r="D23" s="107"/>
      <c r="E23" s="107"/>
      <c r="F23" s="107"/>
      <c r="G23" s="107"/>
    </row>
    <row r="24" spans="2:14" x14ac:dyDescent="0.3">
      <c r="B24" s="107"/>
      <c r="C24" s="110"/>
      <c r="D24" s="107"/>
      <c r="E24" s="107"/>
      <c r="F24" s="107"/>
      <c r="G24" s="107"/>
    </row>
  </sheetData>
  <pageMargins left="0.7" right="0.7" top="0.75" bottom="0.75" header="0.3" footer="0.3"/>
  <pageSetup scale="59" orientation="landscape" r:id="rId1"/>
  <headerFooter>
    <oddHeader>&amp;R&amp;"Times New Roman,Bold"&amp;10KyPSC Case No. 2021-00190
AG-DR-01-019(e)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CE067-5989-4B62-ADAA-FCE1E12946C1}">
  <sheetPr>
    <pageSetUpPr fitToPage="1"/>
  </sheetPr>
  <dimension ref="A1:AC69"/>
  <sheetViews>
    <sheetView view="pageLayout" topLeftCell="A7" zoomScaleNormal="100" workbookViewId="0">
      <selection activeCell="I40" sqref="I40"/>
    </sheetView>
  </sheetViews>
  <sheetFormatPr defaultRowHeight="14.4" x14ac:dyDescent="0.3"/>
  <cols>
    <col min="1" max="1" width="35.88671875" customWidth="1"/>
    <col min="2" max="2" width="1.6640625" customWidth="1"/>
    <col min="3" max="3" width="15.6640625" customWidth="1"/>
    <col min="4" max="4" width="1.6640625" customWidth="1"/>
    <col min="5" max="5" width="15.6640625" customWidth="1"/>
    <col min="6" max="6" width="1.6640625" customWidth="1"/>
    <col min="7" max="7" width="15.6640625" customWidth="1"/>
    <col min="8" max="8" width="1.6640625" customWidth="1"/>
    <col min="9" max="9" width="15.6640625" customWidth="1"/>
    <col min="10" max="10" width="1.6640625" customWidth="1"/>
    <col min="11" max="11" width="15.6640625" customWidth="1"/>
    <col min="12" max="12" width="1.6640625" customWidth="1"/>
    <col min="13" max="13" width="15.6640625" customWidth="1"/>
    <col min="14" max="14" width="1.6640625" customWidth="1"/>
    <col min="15" max="15" width="15.6640625" customWidth="1"/>
    <col min="16" max="16" width="1.6640625" customWidth="1"/>
    <col min="17" max="17" width="15.6640625" customWidth="1"/>
    <col min="18" max="18" width="1.6640625" customWidth="1"/>
    <col min="19" max="19" width="15.6640625" customWidth="1"/>
    <col min="20" max="20" width="1.6640625" customWidth="1"/>
    <col min="21" max="21" width="15.6640625" customWidth="1"/>
    <col min="22" max="22" width="1.6640625" customWidth="1"/>
    <col min="23" max="23" width="15.6640625" customWidth="1"/>
    <col min="24" max="24" width="1.6640625" customWidth="1"/>
    <col min="25" max="25" width="15.6640625" customWidth="1"/>
    <col min="26" max="26" width="1.6640625" customWidth="1"/>
    <col min="27" max="27" width="15.6640625" customWidth="1"/>
  </cols>
  <sheetData>
    <row r="1" spans="1:21" x14ac:dyDescent="0.3">
      <c r="A1" s="30" t="str">
        <f>'Rev Req Summary'!A1</f>
        <v>Duke Energy Kentucky</v>
      </c>
    </row>
    <row r="2" spans="1:21" x14ac:dyDescent="0.3">
      <c r="A2" s="30" t="str">
        <f>'Rev Req Summary'!A2</f>
        <v xml:space="preserve">Estimated Revenue Requirement </v>
      </c>
    </row>
    <row r="3" spans="1:21" x14ac:dyDescent="0.3">
      <c r="A3" s="30" t="str">
        <f>'Rev Req Summary'!A3</f>
        <v>CIS Replacement</v>
      </c>
      <c r="E3" s="139"/>
    </row>
    <row r="4" spans="1:21" ht="15" thickBot="1" x14ac:dyDescent="0.3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6" spans="1:21" x14ac:dyDescent="0.3">
      <c r="C6" s="141" t="s">
        <v>110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3"/>
    </row>
    <row r="7" spans="1:21" x14ac:dyDescent="0.3">
      <c r="A7" s="73" t="s">
        <v>106</v>
      </c>
      <c r="C7" s="134">
        <v>2017</v>
      </c>
      <c r="D7" s="132"/>
      <c r="E7" s="135">
        <f>C7+1</f>
        <v>2018</v>
      </c>
      <c r="F7" s="133"/>
      <c r="G7" s="135">
        <f>E7+1</f>
        <v>2019</v>
      </c>
      <c r="H7" s="132"/>
      <c r="I7" s="135">
        <f>G7+1</f>
        <v>2020</v>
      </c>
      <c r="J7" s="132"/>
      <c r="K7" s="135">
        <f>I7+1</f>
        <v>2021</v>
      </c>
      <c r="L7" s="132"/>
      <c r="M7" s="135">
        <f>K7+1</f>
        <v>2022</v>
      </c>
      <c r="O7" s="135">
        <f>M7+1</f>
        <v>2023</v>
      </c>
      <c r="P7" s="132"/>
      <c r="Q7" s="135">
        <f>O7+1</f>
        <v>2024</v>
      </c>
      <c r="S7" s="135">
        <f>Q7+1</f>
        <v>2025</v>
      </c>
      <c r="U7" s="135">
        <f>S7+1</f>
        <v>2026</v>
      </c>
    </row>
    <row r="8" spans="1:21" x14ac:dyDescent="0.3">
      <c r="C8" s="87"/>
      <c r="D8" s="87"/>
      <c r="E8" s="87"/>
    </row>
    <row r="9" spans="1:21" x14ac:dyDescent="0.3">
      <c r="A9" s="1" t="str">
        <f>A3</f>
        <v>CIS Replacement</v>
      </c>
      <c r="C9" s="160">
        <v>2466.2800000000002</v>
      </c>
      <c r="D9" s="160"/>
      <c r="E9" s="162">
        <v>108412.87000000001</v>
      </c>
      <c r="F9" s="160"/>
      <c r="G9" s="160">
        <v>290992.42</v>
      </c>
      <c r="H9" s="160"/>
      <c r="I9" s="160">
        <v>403090.51</v>
      </c>
      <c r="J9" s="160"/>
      <c r="K9" s="160">
        <v>54.669999999999995</v>
      </c>
      <c r="L9" s="160"/>
      <c r="M9" s="160">
        <v>2013303.1202252132</v>
      </c>
      <c r="N9" s="160"/>
      <c r="O9" s="160">
        <v>0</v>
      </c>
      <c r="P9" s="160"/>
      <c r="Q9" s="160">
        <v>0</v>
      </c>
      <c r="R9" s="163"/>
      <c r="S9" s="160">
        <v>0</v>
      </c>
      <c r="T9" s="163"/>
      <c r="U9" s="160">
        <v>0</v>
      </c>
    </row>
    <row r="10" spans="1:21" x14ac:dyDescent="0.3">
      <c r="A10" s="1" t="s">
        <v>109</v>
      </c>
      <c r="C10" s="164">
        <f>C9</f>
        <v>2466.2800000000002</v>
      </c>
      <c r="D10" s="160"/>
      <c r="E10" s="164">
        <f>E9+C10</f>
        <v>110879.15000000001</v>
      </c>
      <c r="F10" s="160"/>
      <c r="G10" s="164">
        <f>G9+E10</f>
        <v>401871.57</v>
      </c>
      <c r="H10" s="160"/>
      <c r="I10" s="164">
        <f>I9+G10</f>
        <v>804962.08000000007</v>
      </c>
      <c r="J10" s="160"/>
      <c r="K10" s="164">
        <f>K9+I10</f>
        <v>805016.75000000012</v>
      </c>
      <c r="L10" s="160"/>
      <c r="M10" s="164">
        <f>M9+K10</f>
        <v>2818319.8702252135</v>
      </c>
      <c r="N10" s="160"/>
      <c r="O10" s="164">
        <f>O9+M10</f>
        <v>2818319.8702252135</v>
      </c>
      <c r="P10" s="160"/>
      <c r="Q10" s="164">
        <f>Q9+O10</f>
        <v>2818319.8702252135</v>
      </c>
      <c r="R10" s="163"/>
      <c r="S10" s="164">
        <f>S9+Q10</f>
        <v>2818319.8702252135</v>
      </c>
      <c r="T10" s="163"/>
      <c r="U10" s="164">
        <f>U9+S10</f>
        <v>2818319.8702252135</v>
      </c>
    </row>
    <row r="11" spans="1:21" x14ac:dyDescent="0.3">
      <c r="A11" s="1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</row>
    <row r="12" spans="1:21" x14ac:dyDescent="0.3">
      <c r="A12" s="1" t="s">
        <v>72</v>
      </c>
      <c r="C12" s="160">
        <f>U40</f>
        <v>82.209333333333333</v>
      </c>
      <c r="D12" s="160"/>
      <c r="E12" s="160">
        <f>U41</f>
        <v>3778.181</v>
      </c>
      <c r="F12" s="160"/>
      <c r="G12" s="160">
        <f>U42</f>
        <v>17091.690666666665</v>
      </c>
      <c r="H12" s="160"/>
      <c r="I12" s="160">
        <f>U43</f>
        <v>40227.788333333338</v>
      </c>
      <c r="J12" s="160"/>
      <c r="K12" s="160">
        <f>U44</f>
        <v>53665.961000000003</v>
      </c>
      <c r="L12" s="160"/>
      <c r="M12" s="160">
        <f>U45</f>
        <v>120777.88734084045</v>
      </c>
      <c r="N12" s="160"/>
      <c r="O12" s="160">
        <f>U46</f>
        <v>187887.99134834757</v>
      </c>
      <c r="P12" s="160"/>
      <c r="Q12" s="160">
        <f>U47</f>
        <v>187887.99134834757</v>
      </c>
      <c r="R12" s="163"/>
      <c r="S12" s="160">
        <f>U48</f>
        <v>187887.99134834757</v>
      </c>
      <c r="T12" s="163"/>
      <c r="U12" s="160">
        <f>U49</f>
        <v>187887.99134834757</v>
      </c>
    </row>
    <row r="13" spans="1:21" x14ac:dyDescent="0.3">
      <c r="A13" s="1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3"/>
      <c r="S13" s="160"/>
      <c r="T13" s="163"/>
      <c r="U13" s="160"/>
    </row>
    <row r="14" spans="1:21" x14ac:dyDescent="0.3">
      <c r="A14" s="1" t="s">
        <v>71</v>
      </c>
      <c r="C14" s="160">
        <f>-C12</f>
        <v>-82.209333333333333</v>
      </c>
      <c r="D14" s="160"/>
      <c r="E14" s="160">
        <f>-SUM($C12:E12)</f>
        <v>-3860.3903333333333</v>
      </c>
      <c r="F14" s="160"/>
      <c r="G14" s="160">
        <f>-SUM($C12:G12)</f>
        <v>-20952.080999999998</v>
      </c>
      <c r="H14" s="160"/>
      <c r="I14" s="160">
        <f>-SUM($C12:I12)</f>
        <v>-61179.869333333336</v>
      </c>
      <c r="J14" s="160"/>
      <c r="K14" s="160">
        <f>-SUM($C12:K12)</f>
        <v>-114845.83033333335</v>
      </c>
      <c r="L14" s="160"/>
      <c r="M14" s="160">
        <f>-SUM($C12:M12)</f>
        <v>-235623.71767417379</v>
      </c>
      <c r="N14" s="160"/>
      <c r="O14" s="160">
        <f>-SUM($C12:O12)</f>
        <v>-423511.70902252139</v>
      </c>
      <c r="P14" s="160"/>
      <c r="Q14" s="160">
        <f>-SUM($C12:Q12)</f>
        <v>-611399.7003708689</v>
      </c>
      <c r="R14" s="163"/>
      <c r="S14" s="160">
        <f>-SUM($C12:S12)</f>
        <v>-799287.69171921653</v>
      </c>
      <c r="T14" s="163"/>
      <c r="U14" s="160">
        <f>-SUM($C12:U12)</f>
        <v>-987175.68306756415</v>
      </c>
    </row>
    <row r="15" spans="1:21" x14ac:dyDescent="0.3">
      <c r="A15" s="1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3"/>
      <c r="S15" s="160"/>
      <c r="T15" s="163"/>
      <c r="U15" s="160"/>
    </row>
    <row r="16" spans="1:21" x14ac:dyDescent="0.3">
      <c r="A16" s="1" t="s">
        <v>108</v>
      </c>
      <c r="C16" s="160">
        <f>-+AC40</f>
        <v>-8.631980000000004</v>
      </c>
      <c r="D16" s="160"/>
      <c r="E16" s="160">
        <f>-AC41</f>
        <v>-403</v>
      </c>
      <c r="F16" s="160"/>
      <c r="G16" s="160">
        <f>-AC42</f>
        <v>-2076</v>
      </c>
      <c r="H16" s="160"/>
      <c r="I16" s="160">
        <f>-AC43</f>
        <v>-5652</v>
      </c>
      <c r="J16" s="160"/>
      <c r="K16" s="160">
        <f>-AC44</f>
        <v>-9438</v>
      </c>
      <c r="L16" s="160"/>
      <c r="M16" s="160">
        <f>-AC45</f>
        <v>-18769</v>
      </c>
      <c r="N16" s="160"/>
      <c r="O16" s="160">
        <f>-AC46</f>
        <v>-31680</v>
      </c>
      <c r="P16" s="160"/>
      <c r="Q16" s="160">
        <f>-AC47</f>
        <v>-39421</v>
      </c>
      <c r="R16" s="163"/>
      <c r="S16" s="160">
        <f>AC48</f>
        <v>42773</v>
      </c>
      <c r="T16" s="163"/>
      <c r="U16" s="160">
        <f>AC49</f>
        <v>42593</v>
      </c>
    </row>
    <row r="17" spans="1:21" x14ac:dyDescent="0.3">
      <c r="A17" s="1"/>
    </row>
    <row r="18" spans="1:21" hidden="1" x14ac:dyDescent="0.3"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21" hidden="1" x14ac:dyDescent="0.3">
      <c r="C19" s="144" t="s">
        <v>107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6"/>
    </row>
    <row r="20" spans="1:21" hidden="1" x14ac:dyDescent="0.3">
      <c r="A20" s="73" t="s">
        <v>106</v>
      </c>
      <c r="C20" s="134">
        <f>C7</f>
        <v>2017</v>
      </c>
      <c r="D20" s="132"/>
      <c r="E20" s="131">
        <f>C20+1</f>
        <v>2018</v>
      </c>
      <c r="F20" s="133"/>
      <c r="G20" s="131">
        <f>E20+1</f>
        <v>2019</v>
      </c>
      <c r="H20" s="132"/>
      <c r="I20" s="131">
        <f>G20+1</f>
        <v>2020</v>
      </c>
      <c r="J20" s="132"/>
      <c r="K20" s="131">
        <f>I20+1</f>
        <v>2021</v>
      </c>
      <c r="L20" s="132"/>
      <c r="M20" s="131">
        <f>K20+1</f>
        <v>2022</v>
      </c>
      <c r="O20" s="131">
        <f>M20+1</f>
        <v>2023</v>
      </c>
      <c r="P20" s="132"/>
      <c r="Q20" s="131">
        <f>O20+1</f>
        <v>2024</v>
      </c>
      <c r="S20" s="131">
        <f>Q20+1</f>
        <v>2025</v>
      </c>
      <c r="U20" s="131">
        <f>S20+1</f>
        <v>2026</v>
      </c>
    </row>
    <row r="21" spans="1:21" hidden="1" x14ac:dyDescent="0.3"/>
    <row r="22" spans="1:21" hidden="1" x14ac:dyDescent="0.3">
      <c r="A22" t="s">
        <v>105</v>
      </c>
      <c r="C22" s="129">
        <v>0</v>
      </c>
      <c r="D22" s="129"/>
      <c r="E22" s="129">
        <v>0</v>
      </c>
      <c r="F22" s="129"/>
      <c r="G22" s="129">
        <v>0</v>
      </c>
      <c r="H22" s="129"/>
      <c r="I22" s="129">
        <v>0</v>
      </c>
      <c r="J22" s="129"/>
      <c r="K22" s="129">
        <v>0</v>
      </c>
      <c r="L22" s="129"/>
      <c r="M22" s="129">
        <v>0</v>
      </c>
      <c r="N22" s="129"/>
      <c r="O22" s="129">
        <v>0</v>
      </c>
      <c r="P22" s="129"/>
      <c r="Q22" s="129">
        <v>0</v>
      </c>
      <c r="S22" s="129">
        <v>0</v>
      </c>
      <c r="U22" s="129">
        <v>0</v>
      </c>
    </row>
    <row r="23" spans="1:21" hidden="1" x14ac:dyDescent="0.3">
      <c r="A23" s="1" t="s">
        <v>104</v>
      </c>
    </row>
    <row r="24" spans="1:21" hidden="1" x14ac:dyDescent="0.3">
      <c r="A24" t="s">
        <v>103</v>
      </c>
      <c r="C24" s="129"/>
      <c r="D24" s="129"/>
      <c r="E24" s="129">
        <f>$C$22/5</f>
        <v>0</v>
      </c>
      <c r="F24" s="129"/>
      <c r="G24" s="129">
        <f>$C$22/5</f>
        <v>0</v>
      </c>
      <c r="H24" s="129"/>
      <c r="I24" s="129">
        <f>$C$22/5</f>
        <v>0</v>
      </c>
      <c r="J24" s="129"/>
      <c r="K24" s="129">
        <f>$C$22/5</f>
        <v>0</v>
      </c>
      <c r="L24" s="129"/>
      <c r="M24" s="129">
        <f>$C$22/5</f>
        <v>0</v>
      </c>
      <c r="N24" s="129"/>
      <c r="O24" s="129"/>
      <c r="P24" s="129"/>
      <c r="Q24" s="129"/>
      <c r="R24" s="129"/>
      <c r="S24" s="129"/>
      <c r="T24" s="129"/>
      <c r="U24" s="129"/>
    </row>
    <row r="25" spans="1:21" hidden="1" x14ac:dyDescent="0.3">
      <c r="A25" s="1" t="s">
        <v>102</v>
      </c>
      <c r="C25" s="85"/>
      <c r="D25" s="85"/>
      <c r="E25" s="85"/>
      <c r="F25" s="85"/>
      <c r="G25" s="85">
        <f>$E$22/5</f>
        <v>0</v>
      </c>
      <c r="H25" s="85"/>
      <c r="I25" s="85">
        <f>$E$22/5</f>
        <v>0</v>
      </c>
      <c r="J25" s="85"/>
      <c r="K25" s="85">
        <f>$E$22/5</f>
        <v>0</v>
      </c>
      <c r="L25" s="85"/>
      <c r="M25" s="85">
        <f>$E$22/5</f>
        <v>0</v>
      </c>
      <c r="N25" s="85"/>
      <c r="O25" s="85">
        <f>$E$22/5</f>
        <v>0</v>
      </c>
      <c r="P25" s="85"/>
      <c r="Q25" s="85"/>
      <c r="R25" s="85"/>
      <c r="S25" s="85"/>
      <c r="T25" s="85"/>
      <c r="U25" s="85"/>
    </row>
    <row r="26" spans="1:21" hidden="1" x14ac:dyDescent="0.3">
      <c r="A26" s="1" t="s">
        <v>101</v>
      </c>
      <c r="C26" s="85"/>
      <c r="D26" s="85"/>
      <c r="E26" s="85"/>
      <c r="F26" s="85"/>
      <c r="G26" s="85"/>
      <c r="H26" s="85"/>
      <c r="I26" s="107">
        <f>$G$22/5</f>
        <v>0</v>
      </c>
      <c r="J26" s="85"/>
      <c r="K26" s="107">
        <f>$G$22/5</f>
        <v>0</v>
      </c>
      <c r="L26" s="85"/>
      <c r="M26" s="107">
        <f>$G$22/5</f>
        <v>0</v>
      </c>
      <c r="N26" s="85"/>
      <c r="O26" s="107">
        <f>$G$22/5</f>
        <v>0</v>
      </c>
      <c r="P26" s="85"/>
      <c r="Q26" s="107">
        <f>$G$22/5</f>
        <v>0</v>
      </c>
      <c r="R26" s="107"/>
      <c r="S26" s="107"/>
      <c r="T26" s="107"/>
      <c r="U26" s="107"/>
    </row>
    <row r="27" spans="1:21" hidden="1" x14ac:dyDescent="0.3">
      <c r="A27" s="1" t="s">
        <v>100</v>
      </c>
      <c r="C27" s="85"/>
      <c r="D27" s="85"/>
      <c r="E27" s="85"/>
      <c r="F27" s="85"/>
      <c r="G27" s="85"/>
      <c r="H27" s="85"/>
      <c r="I27" s="107"/>
      <c r="J27" s="85"/>
      <c r="K27" s="130">
        <f>$I$22/5</f>
        <v>0</v>
      </c>
      <c r="L27" s="85"/>
      <c r="M27" s="130">
        <f>$I$22/5</f>
        <v>0</v>
      </c>
      <c r="N27" s="85"/>
      <c r="O27" s="130">
        <f>$I$22/5</f>
        <v>0</v>
      </c>
      <c r="P27" s="85"/>
      <c r="Q27" s="130">
        <f>$I$22/5</f>
        <v>0</v>
      </c>
      <c r="R27" s="107"/>
      <c r="S27" s="130">
        <f>$I$22/5</f>
        <v>0</v>
      </c>
      <c r="T27" s="107"/>
      <c r="U27" s="107"/>
    </row>
    <row r="28" spans="1:21" hidden="1" x14ac:dyDescent="0.3">
      <c r="A28" s="1" t="s">
        <v>99</v>
      </c>
      <c r="C28" s="85"/>
      <c r="D28" s="85"/>
      <c r="E28" s="85"/>
      <c r="F28" s="85"/>
      <c r="G28" s="85"/>
      <c r="H28" s="85"/>
      <c r="I28" s="107"/>
      <c r="J28" s="85"/>
      <c r="K28" s="107"/>
      <c r="L28" s="85"/>
      <c r="M28" s="107">
        <f>$K$22/5</f>
        <v>0</v>
      </c>
      <c r="N28" s="85"/>
      <c r="O28" s="107">
        <f>$K$22/5</f>
        <v>0</v>
      </c>
      <c r="P28" s="85"/>
      <c r="Q28" s="107">
        <f>$K$22/5</f>
        <v>0</v>
      </c>
      <c r="R28" s="107"/>
      <c r="S28" s="107">
        <f>$K$22/5</f>
        <v>0</v>
      </c>
      <c r="T28" s="107"/>
      <c r="U28" s="107">
        <f>$K$22/5</f>
        <v>0</v>
      </c>
    </row>
    <row r="29" spans="1:21" hidden="1" x14ac:dyDescent="0.3">
      <c r="A29" s="1" t="s">
        <v>98</v>
      </c>
      <c r="C29" s="128">
        <f>SUM(C24:C28)</f>
        <v>0</v>
      </c>
      <c r="D29" s="129"/>
      <c r="E29" s="128">
        <f>SUM(E24:E28)</f>
        <v>0</v>
      </c>
      <c r="F29" s="129"/>
      <c r="G29" s="128">
        <f>SUM(G24:G28)</f>
        <v>0</v>
      </c>
      <c r="H29" s="129"/>
      <c r="I29" s="128">
        <f>SUM(I24:I28)</f>
        <v>0</v>
      </c>
      <c r="J29" s="129"/>
      <c r="K29" s="128">
        <f>SUM(K24:K28)</f>
        <v>0</v>
      </c>
      <c r="L29" s="129"/>
      <c r="M29" s="128">
        <f>SUM(M24:M28)</f>
        <v>0</v>
      </c>
      <c r="N29" s="129"/>
      <c r="O29" s="128">
        <f>SUM(O24:O28)</f>
        <v>0</v>
      </c>
      <c r="P29" s="129"/>
      <c r="Q29" s="128">
        <f>SUM(Q24:Q28)</f>
        <v>0</v>
      </c>
      <c r="R29" s="121"/>
      <c r="S29" s="128">
        <f>SUM(S24:S28)</f>
        <v>0</v>
      </c>
      <c r="T29" s="121"/>
      <c r="U29" s="128">
        <f>SUM(U24:U28)</f>
        <v>0</v>
      </c>
    </row>
    <row r="30" spans="1:21" hidden="1" x14ac:dyDescent="0.3">
      <c r="A30" s="1"/>
    </row>
    <row r="32" spans="1:21" x14ac:dyDescent="0.3">
      <c r="C32" s="123" t="s">
        <v>97</v>
      </c>
      <c r="E32" s="123" t="s">
        <v>96</v>
      </c>
      <c r="S32" s="115"/>
    </row>
    <row r="34" spans="1:29" x14ac:dyDescent="0.3">
      <c r="C34" s="127">
        <v>15</v>
      </c>
      <c r="D34" s="127"/>
      <c r="E34" s="127">
        <v>15</v>
      </c>
      <c r="G34" s="126"/>
      <c r="S34" s="114"/>
    </row>
    <row r="35" spans="1:29" x14ac:dyDescent="0.3">
      <c r="C35" s="107"/>
    </row>
    <row r="36" spans="1:29" x14ac:dyDescent="0.3">
      <c r="C36" s="138"/>
    </row>
    <row r="37" spans="1:29" x14ac:dyDescent="0.3">
      <c r="A37" s="111"/>
      <c r="C37" s="107"/>
      <c r="G37" s="147" t="s">
        <v>95</v>
      </c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S37" s="125" t="s">
        <v>94</v>
      </c>
      <c r="U37" s="125" t="s">
        <v>93</v>
      </c>
      <c r="W37" s="125" t="s">
        <v>92</v>
      </c>
      <c r="Y37" s="125" t="s">
        <v>91</v>
      </c>
    </row>
    <row r="38" spans="1:29" x14ac:dyDescent="0.3">
      <c r="A38" s="111"/>
      <c r="C38" s="123" t="str">
        <f>CONCATENATE(E34, " ", "Yr MACRS")</f>
        <v>15 Yr MACRS</v>
      </c>
      <c r="E38" s="123" t="s">
        <v>90</v>
      </c>
      <c r="G38" s="75" t="str">
        <f>CONCATENATE(A40," ","Spend")</f>
        <v>2017 Spend</v>
      </c>
      <c r="H38" s="76"/>
      <c r="I38" s="75" t="str">
        <f>CONCATENATE(A41," ","Spend")</f>
        <v>2018 Spend</v>
      </c>
      <c r="J38" s="76"/>
      <c r="K38" s="75" t="str">
        <f>CONCATENATE(A42," ","Spend")</f>
        <v>2019 Spend</v>
      </c>
      <c r="L38" s="76"/>
      <c r="M38" s="75" t="str">
        <f>CONCATENATE(A43," ","Spend")</f>
        <v>2020 Spend</v>
      </c>
      <c r="N38" s="76"/>
      <c r="O38" s="75" t="str">
        <f>CONCATENATE(A44," ","Spend")</f>
        <v>2021 Spend</v>
      </c>
      <c r="Q38" s="75" t="str">
        <f>CONCATENATE(A45," ","Spend")</f>
        <v>2022 Spend</v>
      </c>
      <c r="S38" s="124" t="s">
        <v>89</v>
      </c>
      <c r="U38" s="124" t="s">
        <v>87</v>
      </c>
      <c r="W38" s="124" t="s">
        <v>88</v>
      </c>
      <c r="Y38" s="124" t="s">
        <v>87</v>
      </c>
      <c r="AA38" s="123" t="s">
        <v>86</v>
      </c>
      <c r="AC38" s="123" t="s">
        <v>85</v>
      </c>
    </row>
    <row r="39" spans="1:29" x14ac:dyDescent="0.3">
      <c r="A39" s="111"/>
      <c r="C39" s="107"/>
      <c r="G39" s="122"/>
      <c r="I39" s="122"/>
      <c r="K39" s="122"/>
      <c r="M39" s="122"/>
      <c r="O39" s="122"/>
    </row>
    <row r="40" spans="1:29" x14ac:dyDescent="0.3">
      <c r="A40" s="113">
        <f>C7</f>
        <v>2017</v>
      </c>
      <c r="C40" s="136">
        <v>0.05</v>
      </c>
      <c r="E40" s="172">
        <f>C9</f>
        <v>2466.2800000000002</v>
      </c>
      <c r="F40" s="165"/>
      <c r="G40" s="172">
        <f>C$9*C40</f>
        <v>123.31400000000002</v>
      </c>
      <c r="H40" s="165"/>
      <c r="I40" s="165"/>
      <c r="J40" s="166"/>
      <c r="K40" s="165"/>
      <c r="L40" s="166"/>
      <c r="M40" s="165"/>
      <c r="N40" s="166"/>
      <c r="O40" s="165"/>
      <c r="P40" s="165"/>
      <c r="Q40" s="165"/>
      <c r="R40" s="165"/>
      <c r="S40" s="172">
        <f>SUM(G40:O40)</f>
        <v>123.31400000000002</v>
      </c>
      <c r="T40" s="163"/>
      <c r="U40" s="172">
        <f>SUM(C9)/C$34-C9/C$34*0.5</f>
        <v>82.209333333333333</v>
      </c>
      <c r="V40" s="163"/>
      <c r="W40" s="172">
        <f>C10</f>
        <v>2466.2800000000002</v>
      </c>
      <c r="X40" s="163"/>
      <c r="Y40" s="172">
        <f>SUM(U40:U$40)</f>
        <v>82.209333333333333</v>
      </c>
      <c r="Z40" s="163"/>
      <c r="AA40" s="172">
        <f>(S40-U40)*0.21</f>
        <v>8.631980000000004</v>
      </c>
      <c r="AB40" s="163"/>
      <c r="AC40" s="172">
        <f>(S40-U40)*0.21</f>
        <v>8.631980000000004</v>
      </c>
    </row>
    <row r="41" spans="1:29" x14ac:dyDescent="0.3">
      <c r="A41" s="113">
        <f>A40+1</f>
        <v>2018</v>
      </c>
      <c r="C41" s="136">
        <v>9.5000000000000001E-2</v>
      </c>
      <c r="E41" s="166">
        <f>E9</f>
        <v>108412.87000000001</v>
      </c>
      <c r="F41" s="165"/>
      <c r="G41" s="166">
        <f>C$9*C41</f>
        <v>234.29660000000001</v>
      </c>
      <c r="H41" s="165"/>
      <c r="I41" s="172">
        <f>E$9*C40</f>
        <v>5420.643500000001</v>
      </c>
      <c r="J41" s="166"/>
      <c r="K41" s="165"/>
      <c r="L41" s="166"/>
      <c r="M41" s="165"/>
      <c r="N41" s="166"/>
      <c r="O41" s="165"/>
      <c r="P41" s="165"/>
      <c r="Q41" s="165"/>
      <c r="R41" s="165"/>
      <c r="S41" s="166">
        <f>SUM(G41:Q41)</f>
        <v>5654.9401000000007</v>
      </c>
      <c r="T41" s="166"/>
      <c r="U41" s="166">
        <f t="shared" ref="U41:U59" si="0">W40/C$34+E41/C$34/2</f>
        <v>3778.181</v>
      </c>
      <c r="V41" s="166"/>
      <c r="W41" s="166">
        <f>E10</f>
        <v>110879.15000000001</v>
      </c>
      <c r="X41" s="165"/>
      <c r="Y41" s="165">
        <f>SUM(U$40:U41)</f>
        <v>3860.3903333333333</v>
      </c>
      <c r="Z41" s="165"/>
      <c r="AA41" s="166">
        <f t="shared" ref="AA41:AA55" si="1">ROUND((S41-U41)*0.21,4)</f>
        <v>394.11939999999998</v>
      </c>
      <c r="AB41" s="165"/>
      <c r="AC41" s="166">
        <f>ROUND(SUM(AA$40:AA41),0)</f>
        <v>403</v>
      </c>
    </row>
    <row r="42" spans="1:29" x14ac:dyDescent="0.3">
      <c r="A42" s="113">
        <f>A41+1</f>
        <v>2019</v>
      </c>
      <c r="C42" s="136">
        <v>8.5500000000000007E-2</v>
      </c>
      <c r="E42" s="166">
        <f>G9</f>
        <v>290992.42</v>
      </c>
      <c r="F42" s="165"/>
      <c r="G42" s="166">
        <f>C$9*C42</f>
        <v>210.86694000000003</v>
      </c>
      <c r="H42" s="165"/>
      <c r="I42" s="166">
        <f>E$9*C41</f>
        <v>10299.222650000002</v>
      </c>
      <c r="J42" s="166"/>
      <c r="K42" s="172">
        <f>G$9*C40</f>
        <v>14549.620999999999</v>
      </c>
      <c r="L42" s="166"/>
      <c r="M42" s="165"/>
      <c r="N42" s="166"/>
      <c r="O42" s="165"/>
      <c r="P42" s="165"/>
      <c r="Q42" s="165"/>
      <c r="R42" s="165"/>
      <c r="S42" s="166">
        <f t="shared" ref="S42:S60" si="2">SUM(G42:Q42)</f>
        <v>25059.710590000002</v>
      </c>
      <c r="T42" s="165"/>
      <c r="U42" s="166">
        <f t="shared" si="0"/>
        <v>17091.690666666665</v>
      </c>
      <c r="V42" s="165"/>
      <c r="W42" s="165">
        <f>G10</f>
        <v>401871.57</v>
      </c>
      <c r="X42" s="165"/>
      <c r="Y42" s="165">
        <f>SUM(U$40:U42)</f>
        <v>20952.080999999998</v>
      </c>
      <c r="Z42" s="165"/>
      <c r="AA42" s="166">
        <f t="shared" si="1"/>
        <v>1673.2842000000001</v>
      </c>
      <c r="AB42" s="165"/>
      <c r="AC42" s="166">
        <f>ROUND(SUM(AA$40:AA42),0)</f>
        <v>2076</v>
      </c>
    </row>
    <row r="43" spans="1:29" x14ac:dyDescent="0.3">
      <c r="A43" s="113">
        <f>A42+1</f>
        <v>2020</v>
      </c>
      <c r="C43" s="136">
        <v>7.6999999999999999E-2</v>
      </c>
      <c r="E43" s="166">
        <f>I9</f>
        <v>403090.51</v>
      </c>
      <c r="F43" s="165"/>
      <c r="G43" s="166">
        <f>C$9*C43</f>
        <v>189.90356</v>
      </c>
      <c r="H43" s="165"/>
      <c r="I43" s="166">
        <f>E$9*C42</f>
        <v>9269.3003850000023</v>
      </c>
      <c r="J43" s="166"/>
      <c r="K43" s="166">
        <f>G$9*C41</f>
        <v>27644.279899999998</v>
      </c>
      <c r="L43" s="166"/>
      <c r="M43" s="172">
        <f>I$9*C40</f>
        <v>20154.525500000003</v>
      </c>
      <c r="N43" s="166"/>
      <c r="O43" s="165"/>
      <c r="P43" s="165"/>
      <c r="Q43" s="165"/>
      <c r="R43" s="165"/>
      <c r="S43" s="166">
        <f t="shared" si="2"/>
        <v>57258.009345000006</v>
      </c>
      <c r="T43" s="165"/>
      <c r="U43" s="166">
        <f t="shared" si="0"/>
        <v>40227.788333333338</v>
      </c>
      <c r="V43" s="165"/>
      <c r="W43" s="165">
        <f>I10</f>
        <v>804962.08000000007</v>
      </c>
      <c r="X43" s="165"/>
      <c r="Y43" s="165">
        <f>SUM(U$40:U43)</f>
        <v>61179.869333333336</v>
      </c>
      <c r="Z43" s="165"/>
      <c r="AA43" s="166">
        <f t="shared" si="1"/>
        <v>3576.3463999999999</v>
      </c>
      <c r="AB43" s="165"/>
      <c r="AC43" s="166">
        <f>ROUND(SUM(AA$40:AA43),0)</f>
        <v>5652</v>
      </c>
    </row>
    <row r="44" spans="1:29" x14ac:dyDescent="0.3">
      <c r="A44" s="113">
        <f>A43+1</f>
        <v>2021</v>
      </c>
      <c r="C44" s="136">
        <v>6.93E-2</v>
      </c>
      <c r="E44" s="166">
        <f>K9</f>
        <v>54.669999999999995</v>
      </c>
      <c r="F44" s="165"/>
      <c r="G44" s="166">
        <f>C$9*C44</f>
        <v>170.91320400000001</v>
      </c>
      <c r="H44" s="165"/>
      <c r="I44" s="166">
        <f>E$9*C43</f>
        <v>8347.7909900000013</v>
      </c>
      <c r="J44" s="166"/>
      <c r="K44" s="166">
        <f>G$9*C42</f>
        <v>24879.851910000001</v>
      </c>
      <c r="L44" s="166"/>
      <c r="M44" s="166">
        <f>I$9*C41</f>
        <v>38293.598450000005</v>
      </c>
      <c r="N44" s="166"/>
      <c r="O44" s="172">
        <f>K$9*C40</f>
        <v>2.7334999999999998</v>
      </c>
      <c r="P44" s="165"/>
      <c r="Q44" s="165"/>
      <c r="R44" s="165"/>
      <c r="S44" s="166">
        <f t="shared" si="2"/>
        <v>71694.88805400001</v>
      </c>
      <c r="T44" s="165"/>
      <c r="U44" s="166">
        <f t="shared" si="0"/>
        <v>53665.961000000003</v>
      </c>
      <c r="V44" s="165"/>
      <c r="W44" s="165">
        <f>K10</f>
        <v>805016.75000000012</v>
      </c>
      <c r="X44" s="165"/>
      <c r="Y44" s="165">
        <f>SUM(U$40:U44)</f>
        <v>114845.83033333335</v>
      </c>
      <c r="Z44" s="165"/>
      <c r="AA44" s="166">
        <f t="shared" si="1"/>
        <v>3786.0747000000001</v>
      </c>
      <c r="AB44" s="165"/>
      <c r="AC44" s="166">
        <f>ROUND(SUM(AA$40:AA44),0)</f>
        <v>9438</v>
      </c>
    </row>
    <row r="45" spans="1:29" x14ac:dyDescent="0.3">
      <c r="A45" s="113">
        <f>A44+1</f>
        <v>2022</v>
      </c>
      <c r="C45" s="136">
        <v>6.2300000000000001E-2</v>
      </c>
      <c r="E45" s="166">
        <f>M9</f>
        <v>2013303.1202252132</v>
      </c>
      <c r="F45" s="165"/>
      <c r="G45" s="166">
        <f>C$9*C45</f>
        <v>153.64924400000001</v>
      </c>
      <c r="H45" s="165"/>
      <c r="I45" s="166">
        <f>E$9*C44</f>
        <v>7513.011891000001</v>
      </c>
      <c r="J45" s="166"/>
      <c r="K45" s="166">
        <f>G$9*C43</f>
        <v>22406.41634</v>
      </c>
      <c r="L45" s="166"/>
      <c r="M45" s="166">
        <f>I$9*C42</f>
        <v>34464.238605000006</v>
      </c>
      <c r="N45" s="166"/>
      <c r="O45" s="166">
        <f>K$9*C41</f>
        <v>5.1936499999999999</v>
      </c>
      <c r="P45" s="165"/>
      <c r="Q45" s="172">
        <f>M$9*C40</f>
        <v>100665.15601126067</v>
      </c>
      <c r="R45" s="165"/>
      <c r="S45" s="166">
        <f t="shared" si="2"/>
        <v>165207.66574126069</v>
      </c>
      <c r="T45" s="165"/>
      <c r="U45" s="166">
        <f t="shared" si="0"/>
        <v>120777.88734084045</v>
      </c>
      <c r="V45" s="165"/>
      <c r="W45" s="165">
        <f>M10</f>
        <v>2818319.8702252135</v>
      </c>
      <c r="X45" s="165"/>
      <c r="Y45" s="165">
        <f>SUM(U$40:U45)</f>
        <v>235623.71767417379</v>
      </c>
      <c r="Z45" s="165"/>
      <c r="AA45" s="166">
        <f t="shared" si="1"/>
        <v>9330.2535000000007</v>
      </c>
      <c r="AB45" s="165"/>
      <c r="AC45" s="166">
        <f>ROUND(SUM(AA$40:AA45),0)</f>
        <v>18769</v>
      </c>
    </row>
    <row r="46" spans="1:29" x14ac:dyDescent="0.3">
      <c r="A46" s="113">
        <f>A45+1</f>
        <v>2023</v>
      </c>
      <c r="C46" s="136">
        <v>5.8999999999999997E-2</v>
      </c>
      <c r="E46" s="166">
        <f>O9</f>
        <v>0</v>
      </c>
      <c r="F46" s="165"/>
      <c r="G46" s="166">
        <f>C$9*C46</f>
        <v>145.51052000000001</v>
      </c>
      <c r="H46" s="165"/>
      <c r="I46" s="166">
        <f>E$9*C45</f>
        <v>6754.1218010000011</v>
      </c>
      <c r="J46" s="166"/>
      <c r="K46" s="166">
        <f>G$9*C44</f>
        <v>20165.774706</v>
      </c>
      <c r="L46" s="166"/>
      <c r="M46" s="166">
        <f>I$9*C43</f>
        <v>31037.969270000001</v>
      </c>
      <c r="N46" s="166"/>
      <c r="O46" s="166">
        <f>K$9*C42</f>
        <v>4.6742850000000002</v>
      </c>
      <c r="P46" s="165"/>
      <c r="Q46" s="166">
        <f>M$9*C41</f>
        <v>191263.79642139527</v>
      </c>
      <c r="R46" s="165"/>
      <c r="S46" s="166">
        <f t="shared" si="2"/>
        <v>249371.84700339526</v>
      </c>
      <c r="T46" s="165"/>
      <c r="U46" s="166">
        <f t="shared" si="0"/>
        <v>187887.99134834757</v>
      </c>
      <c r="V46" s="165"/>
      <c r="W46" s="165">
        <f>O10</f>
        <v>2818319.8702252135</v>
      </c>
      <c r="X46" s="165"/>
      <c r="Y46" s="165">
        <f>SUM(U$40:U46)</f>
        <v>423511.70902252139</v>
      </c>
      <c r="Z46" s="165"/>
      <c r="AA46" s="166">
        <f t="shared" si="1"/>
        <v>12911.609700000001</v>
      </c>
      <c r="AB46" s="165"/>
      <c r="AC46" s="166">
        <f>ROUND(SUM(AA$40:AA46),0)</f>
        <v>31680</v>
      </c>
    </row>
    <row r="47" spans="1:29" x14ac:dyDescent="0.3">
      <c r="A47" s="113">
        <f>A46+1</f>
        <v>2024</v>
      </c>
      <c r="C47" s="136">
        <v>5.8999999999999997E-2</v>
      </c>
      <c r="E47" s="166">
        <f>Q9</f>
        <v>0</v>
      </c>
      <c r="F47" s="165"/>
      <c r="G47" s="166">
        <f>C$9*C47</f>
        <v>145.51052000000001</v>
      </c>
      <c r="H47" s="165"/>
      <c r="I47" s="166">
        <f>E$9*C46</f>
        <v>6396.3593300000002</v>
      </c>
      <c r="J47" s="166"/>
      <c r="K47" s="166">
        <f>G$9*C45</f>
        <v>18128.827765999999</v>
      </c>
      <c r="L47" s="166"/>
      <c r="M47" s="166">
        <f>I$9*C44</f>
        <v>27934.172343000002</v>
      </c>
      <c r="N47" s="166"/>
      <c r="O47" s="166">
        <f>K$9*C43</f>
        <v>4.2095899999999995</v>
      </c>
      <c r="P47" s="165"/>
      <c r="Q47" s="166">
        <f>M$9*C42</f>
        <v>172137.41677925576</v>
      </c>
      <c r="R47" s="165"/>
      <c r="S47" s="166">
        <f t="shared" si="2"/>
        <v>224746.49632825574</v>
      </c>
      <c r="T47" s="165"/>
      <c r="U47" s="167">
        <f t="shared" si="0"/>
        <v>187887.99134834757</v>
      </c>
      <c r="V47" s="165"/>
      <c r="W47" s="165">
        <f>Q10</f>
        <v>2818319.8702252135</v>
      </c>
      <c r="X47" s="165"/>
      <c r="Y47" s="165">
        <f>SUM(U$40:U47)</f>
        <v>611399.7003708689</v>
      </c>
      <c r="Z47" s="165"/>
      <c r="AA47" s="166">
        <f t="shared" si="1"/>
        <v>7740.2860000000001</v>
      </c>
      <c r="AB47" s="165"/>
      <c r="AC47" s="166">
        <f>ROUND(SUM(AA$40:AA47),0)</f>
        <v>39421</v>
      </c>
    </row>
    <row r="48" spans="1:29" x14ac:dyDescent="0.3">
      <c r="A48" s="113">
        <f>A47+1</f>
        <v>2025</v>
      </c>
      <c r="C48" s="136">
        <v>5.91E-2</v>
      </c>
      <c r="E48" s="168">
        <f>S9</f>
        <v>0</v>
      </c>
      <c r="F48" s="165"/>
      <c r="G48" s="168">
        <f>C$9*C48</f>
        <v>145.757148</v>
      </c>
      <c r="H48" s="165"/>
      <c r="I48" s="168">
        <f>E$9*C47</f>
        <v>6396.3593300000002</v>
      </c>
      <c r="J48" s="168"/>
      <c r="K48" s="168">
        <f>G$9*C46</f>
        <v>17168.552779999998</v>
      </c>
      <c r="L48" s="168"/>
      <c r="M48" s="168">
        <f>I$9*C45</f>
        <v>25112.538773</v>
      </c>
      <c r="N48" s="168"/>
      <c r="O48" s="168">
        <f>K$9*C44</f>
        <v>3.7886309999999996</v>
      </c>
      <c r="P48" s="165"/>
      <c r="Q48" s="166">
        <f>M$9*C43</f>
        <v>155024.34025734142</v>
      </c>
      <c r="R48" s="165"/>
      <c r="S48" s="166">
        <f t="shared" si="2"/>
        <v>203851.33691934141</v>
      </c>
      <c r="T48" s="165"/>
      <c r="U48" s="167">
        <f t="shared" si="0"/>
        <v>187887.99134834757</v>
      </c>
      <c r="V48" s="165"/>
      <c r="W48" s="165">
        <f>S10</f>
        <v>2818319.8702252135</v>
      </c>
      <c r="X48" s="165"/>
      <c r="Y48" s="165">
        <f>SUM(U$40:U48)</f>
        <v>799287.69171921653</v>
      </c>
      <c r="Z48" s="165"/>
      <c r="AA48" s="166">
        <f t="shared" si="1"/>
        <v>3352.3026</v>
      </c>
      <c r="AB48" s="165"/>
      <c r="AC48" s="166">
        <f>ROUND(SUM(AA$40:AA48),0)</f>
        <v>42773</v>
      </c>
    </row>
    <row r="49" spans="1:29" x14ac:dyDescent="0.3">
      <c r="A49" s="113">
        <f>A48+1</f>
        <v>2026</v>
      </c>
      <c r="C49" s="136">
        <v>5.8999999999999997E-2</v>
      </c>
      <c r="E49" s="168">
        <f>U9</f>
        <v>0</v>
      </c>
      <c r="F49" s="165"/>
      <c r="G49" s="168">
        <f>C$9*C49</f>
        <v>145.51052000000001</v>
      </c>
      <c r="H49" s="165"/>
      <c r="I49" s="168">
        <f>E$9*C48</f>
        <v>6407.2006170000004</v>
      </c>
      <c r="J49" s="168"/>
      <c r="K49" s="168">
        <f>G$9*C47</f>
        <v>17168.552779999998</v>
      </c>
      <c r="L49" s="168"/>
      <c r="M49" s="168">
        <f>I$9*C46</f>
        <v>23782.340089999998</v>
      </c>
      <c r="N49" s="168"/>
      <c r="O49" s="168">
        <f>K$9*C45</f>
        <v>3.4059409999999999</v>
      </c>
      <c r="P49" s="165"/>
      <c r="Q49" s="166">
        <f>M$9*C44</f>
        <v>139521.90623160728</v>
      </c>
      <c r="R49" s="165"/>
      <c r="S49" s="166">
        <f t="shared" si="2"/>
        <v>187028.91617960727</v>
      </c>
      <c r="T49" s="165"/>
      <c r="U49" s="167">
        <f t="shared" si="0"/>
        <v>187887.99134834757</v>
      </c>
      <c r="V49" s="165"/>
      <c r="W49" s="165">
        <f>U10</f>
        <v>2818319.8702252135</v>
      </c>
      <c r="X49" s="165"/>
      <c r="Y49" s="165">
        <f>SUM(U$40:U49)</f>
        <v>987175.68306756415</v>
      </c>
      <c r="Z49" s="165"/>
      <c r="AA49" s="166">
        <f t="shared" si="1"/>
        <v>-180.4058</v>
      </c>
      <c r="AB49" s="165"/>
      <c r="AC49" s="166">
        <f>ROUND(SUM(AA$40:AA49),0)</f>
        <v>42593</v>
      </c>
    </row>
    <row r="50" spans="1:29" x14ac:dyDescent="0.3">
      <c r="A50" s="119">
        <f>A49+1</f>
        <v>2027</v>
      </c>
      <c r="B50" s="117"/>
      <c r="C50" s="136">
        <v>5.91E-2</v>
      </c>
      <c r="D50" s="117"/>
      <c r="E50" s="169"/>
      <c r="F50" s="170"/>
      <c r="G50" s="169">
        <f>C$9*C50</f>
        <v>145.757148</v>
      </c>
      <c r="H50" s="170"/>
      <c r="I50" s="169">
        <f>E$9*C49</f>
        <v>6396.3593300000002</v>
      </c>
      <c r="J50" s="169"/>
      <c r="K50" s="169">
        <f>G$9*C48</f>
        <v>17197.652021999998</v>
      </c>
      <c r="L50" s="169"/>
      <c r="M50" s="169">
        <f>I$9*C47</f>
        <v>23782.340089999998</v>
      </c>
      <c r="N50" s="169"/>
      <c r="O50" s="169">
        <f>K$9*C46</f>
        <v>3.2255299999999996</v>
      </c>
      <c r="P50" s="170"/>
      <c r="Q50" s="166">
        <f>M$9*C45</f>
        <v>125428.78439003079</v>
      </c>
      <c r="R50" s="170"/>
      <c r="S50" s="166">
        <f t="shared" si="2"/>
        <v>172954.11851003079</v>
      </c>
      <c r="T50" s="170"/>
      <c r="U50" s="167">
        <f t="shared" si="0"/>
        <v>187887.99134834757</v>
      </c>
      <c r="V50" s="170"/>
      <c r="W50" s="169">
        <f>W49</f>
        <v>2818319.8702252135</v>
      </c>
      <c r="X50" s="170"/>
      <c r="Y50" s="170">
        <f>SUM(U$40:U50)</f>
        <v>1175063.6744159118</v>
      </c>
      <c r="Z50" s="170"/>
      <c r="AA50" s="169">
        <f t="shared" si="1"/>
        <v>-3136.1133</v>
      </c>
      <c r="AB50" s="170"/>
      <c r="AC50" s="169">
        <f>ROUND(SUM(AA$40:AA50),0)</f>
        <v>39456</v>
      </c>
    </row>
    <row r="51" spans="1:29" x14ac:dyDescent="0.3">
      <c r="A51" s="113">
        <f>A50+1</f>
        <v>2028</v>
      </c>
      <c r="C51" s="136">
        <v>5.8999999999999997E-2</v>
      </c>
      <c r="E51" s="166"/>
      <c r="F51" s="165"/>
      <c r="G51" s="166">
        <f>C$9*C51</f>
        <v>145.51052000000001</v>
      </c>
      <c r="H51" s="165"/>
      <c r="I51" s="166">
        <f>E$9*C50</f>
        <v>6407.2006170000004</v>
      </c>
      <c r="J51" s="166"/>
      <c r="K51" s="166">
        <f>G$9*C49</f>
        <v>17168.552779999998</v>
      </c>
      <c r="L51" s="166"/>
      <c r="M51" s="166">
        <f>I$9*C48</f>
        <v>23822.649141000002</v>
      </c>
      <c r="N51" s="166"/>
      <c r="O51" s="166">
        <f>K$9*C47</f>
        <v>3.2255299999999996</v>
      </c>
      <c r="P51" s="165"/>
      <c r="Q51" s="166">
        <f>M$9*C46</f>
        <v>118784.88409328758</v>
      </c>
      <c r="R51" s="165"/>
      <c r="S51" s="166">
        <f t="shared" si="2"/>
        <v>166332.02268128758</v>
      </c>
      <c r="T51" s="165"/>
      <c r="U51" s="167">
        <f t="shared" si="0"/>
        <v>187887.99134834757</v>
      </c>
      <c r="V51" s="165"/>
      <c r="W51" s="166">
        <f>W50</f>
        <v>2818319.8702252135</v>
      </c>
      <c r="X51" s="165"/>
      <c r="Y51" s="165">
        <f>SUM(U$40:U51)</f>
        <v>1362951.6657642594</v>
      </c>
      <c r="Z51" s="165"/>
      <c r="AA51" s="166">
        <f t="shared" si="1"/>
        <v>-4526.7533999999996</v>
      </c>
      <c r="AB51" s="165"/>
      <c r="AC51" s="166">
        <f>ROUND(SUM(AA$40:AA51),0)</f>
        <v>34930</v>
      </c>
    </row>
    <row r="52" spans="1:29" x14ac:dyDescent="0.3">
      <c r="A52" s="113">
        <f>A51+1</f>
        <v>2029</v>
      </c>
      <c r="C52" s="136">
        <v>5.91E-2</v>
      </c>
      <c r="E52" s="166"/>
      <c r="F52" s="165"/>
      <c r="G52" s="166">
        <f>C$9*C52</f>
        <v>145.757148</v>
      </c>
      <c r="H52" s="165"/>
      <c r="I52" s="166">
        <f>E$9*C51</f>
        <v>6396.3593300000002</v>
      </c>
      <c r="J52" s="166"/>
      <c r="K52" s="166">
        <f>G$9*C50</f>
        <v>17197.652021999998</v>
      </c>
      <c r="L52" s="166"/>
      <c r="M52" s="166">
        <f>I$9*C49</f>
        <v>23782.340089999998</v>
      </c>
      <c r="N52" s="166"/>
      <c r="O52" s="166">
        <f>K$9*C48</f>
        <v>3.2309969999999995</v>
      </c>
      <c r="P52" s="165"/>
      <c r="Q52" s="166">
        <f>M$9*C47</f>
        <v>118784.88409328758</v>
      </c>
      <c r="R52" s="165"/>
      <c r="S52" s="166">
        <f t="shared" si="2"/>
        <v>166310.22368028757</v>
      </c>
      <c r="T52" s="165"/>
      <c r="U52" s="167">
        <f t="shared" si="0"/>
        <v>187887.99134834757</v>
      </c>
      <c r="V52" s="165"/>
      <c r="W52" s="166">
        <f>W51</f>
        <v>2818319.8702252135</v>
      </c>
      <c r="X52" s="165"/>
      <c r="Y52" s="165">
        <f>SUM(U$40:U52)</f>
        <v>1550839.657112607</v>
      </c>
      <c r="Z52" s="165"/>
      <c r="AA52" s="166">
        <f t="shared" si="1"/>
        <v>-4531.3311999999996</v>
      </c>
      <c r="AB52" s="165"/>
      <c r="AC52" s="166">
        <f>ROUND(SUM(AA$40:AA52),0)</f>
        <v>30398</v>
      </c>
    </row>
    <row r="53" spans="1:29" x14ac:dyDescent="0.3">
      <c r="A53" s="113">
        <f>A52+1</f>
        <v>2030</v>
      </c>
      <c r="C53" s="136">
        <v>5.8999999999999997E-2</v>
      </c>
      <c r="E53" s="166"/>
      <c r="F53" s="165"/>
      <c r="G53" s="166">
        <f>C$9*C53</f>
        <v>145.51052000000001</v>
      </c>
      <c r="H53" s="165"/>
      <c r="I53" s="166">
        <f>E$9*C52</f>
        <v>6407.2006170000004</v>
      </c>
      <c r="J53" s="166"/>
      <c r="K53" s="166">
        <f>G$9*C51</f>
        <v>17168.552779999998</v>
      </c>
      <c r="L53" s="166"/>
      <c r="M53" s="166">
        <f>I$9*C50</f>
        <v>23822.649141000002</v>
      </c>
      <c r="N53" s="166"/>
      <c r="O53" s="166">
        <f>K$9*C49</f>
        <v>3.2255299999999996</v>
      </c>
      <c r="P53" s="165"/>
      <c r="Q53" s="166">
        <f>M$9*C48</f>
        <v>118986.21440531011</v>
      </c>
      <c r="R53" s="165"/>
      <c r="S53" s="166">
        <f t="shared" si="2"/>
        <v>166533.35299331011</v>
      </c>
      <c r="T53" s="165"/>
      <c r="U53" s="167">
        <f t="shared" si="0"/>
        <v>187887.99134834757</v>
      </c>
      <c r="V53" s="165"/>
      <c r="W53" s="166">
        <f>W52</f>
        <v>2818319.8702252135</v>
      </c>
      <c r="X53" s="165"/>
      <c r="Y53" s="165">
        <f>SUM(U$40:U53)</f>
        <v>1738727.6484609547</v>
      </c>
      <c r="Z53" s="165"/>
      <c r="AA53" s="166">
        <f t="shared" si="1"/>
        <v>-4484.4741000000004</v>
      </c>
      <c r="AB53" s="165"/>
      <c r="AC53" s="166">
        <f>ROUND(SUM(AA$40:AA53),0)</f>
        <v>25914</v>
      </c>
    </row>
    <row r="54" spans="1:29" x14ac:dyDescent="0.3">
      <c r="A54" s="113">
        <f>A53+1</f>
        <v>2031</v>
      </c>
      <c r="C54" s="136">
        <v>5.91E-2</v>
      </c>
      <c r="E54" s="166"/>
      <c r="F54" s="165"/>
      <c r="G54" s="166">
        <f>C$9*C54</f>
        <v>145.757148</v>
      </c>
      <c r="H54" s="165"/>
      <c r="I54" s="166">
        <f>E$9*C53</f>
        <v>6396.3593300000002</v>
      </c>
      <c r="J54" s="166"/>
      <c r="K54" s="166">
        <f>G$9*C52</f>
        <v>17197.652021999998</v>
      </c>
      <c r="L54" s="166"/>
      <c r="M54" s="166">
        <f>I$9*C51</f>
        <v>23782.340089999998</v>
      </c>
      <c r="N54" s="166"/>
      <c r="O54" s="166">
        <f>K$9*C50</f>
        <v>3.2309969999999995</v>
      </c>
      <c r="P54" s="165"/>
      <c r="Q54" s="166">
        <f>M$9*C49</f>
        <v>118784.88409328758</v>
      </c>
      <c r="R54" s="165"/>
      <c r="S54" s="166">
        <f t="shared" si="2"/>
        <v>166310.22368028757</v>
      </c>
      <c r="T54" s="165"/>
      <c r="U54" s="167">
        <f t="shared" si="0"/>
        <v>187887.99134834757</v>
      </c>
      <c r="V54" s="165"/>
      <c r="W54" s="166">
        <f>W53</f>
        <v>2818319.8702252135</v>
      </c>
      <c r="X54" s="165"/>
      <c r="Y54" s="165">
        <f>SUM(U$40:U54)</f>
        <v>1926615.6398093023</v>
      </c>
      <c r="Z54" s="165"/>
      <c r="AA54" s="166">
        <f t="shared" si="1"/>
        <v>-4531.3311999999996</v>
      </c>
      <c r="AB54" s="165"/>
      <c r="AC54" s="166">
        <f>ROUND(SUM(AA$40:AA54),0)</f>
        <v>21382</v>
      </c>
    </row>
    <row r="55" spans="1:29" x14ac:dyDescent="0.3">
      <c r="A55" s="113">
        <f>A54+1</f>
        <v>2032</v>
      </c>
      <c r="C55" s="136">
        <v>2.9499999999999998E-2</v>
      </c>
      <c r="E55" s="166"/>
      <c r="F55" s="165"/>
      <c r="G55" s="166">
        <f>C$9*C55</f>
        <v>72.755260000000007</v>
      </c>
      <c r="H55" s="165"/>
      <c r="I55" s="166">
        <f>E$9*C54</f>
        <v>6407.2006170000004</v>
      </c>
      <c r="J55" s="166"/>
      <c r="K55" s="166">
        <f>G$9*C53</f>
        <v>17168.552779999998</v>
      </c>
      <c r="L55" s="166"/>
      <c r="M55" s="166">
        <f>I$9*C52</f>
        <v>23822.649141000002</v>
      </c>
      <c r="N55" s="166"/>
      <c r="O55" s="166">
        <f>K$9*C51</f>
        <v>3.2255299999999996</v>
      </c>
      <c r="P55" s="165"/>
      <c r="Q55" s="166">
        <f>M$9*C50</f>
        <v>118986.21440531011</v>
      </c>
      <c r="R55" s="165"/>
      <c r="S55" s="166">
        <f t="shared" si="2"/>
        <v>166460.5977333101</v>
      </c>
      <c r="T55" s="165"/>
      <c r="U55" s="167">
        <f t="shared" si="0"/>
        <v>187887.99134834757</v>
      </c>
      <c r="V55" s="165"/>
      <c r="W55" s="166">
        <f>W54</f>
        <v>2818319.8702252135</v>
      </c>
      <c r="X55" s="165"/>
      <c r="Y55" s="165">
        <f>SUM(U$40:U55)</f>
        <v>2114503.6311576497</v>
      </c>
      <c r="Z55" s="165"/>
      <c r="AA55" s="166">
        <f t="shared" si="1"/>
        <v>-4499.7527</v>
      </c>
      <c r="AB55" s="165"/>
      <c r="AC55" s="166">
        <f>ROUND(SUM(AA$40:AA55),0)</f>
        <v>16883</v>
      </c>
    </row>
    <row r="56" spans="1:29" x14ac:dyDescent="0.3">
      <c r="A56" s="113">
        <f>A55+1</f>
        <v>2033</v>
      </c>
      <c r="C56" s="116"/>
      <c r="E56" s="166"/>
      <c r="F56" s="165"/>
      <c r="G56" s="166">
        <f>C$9*C56</f>
        <v>0</v>
      </c>
      <c r="H56" s="165"/>
      <c r="I56" s="166">
        <f>E$9*C55</f>
        <v>3198.1796650000001</v>
      </c>
      <c r="J56" s="166"/>
      <c r="K56" s="166">
        <f>G$9*C54</f>
        <v>17197.652021999998</v>
      </c>
      <c r="L56" s="166"/>
      <c r="M56" s="166">
        <f>I$9*C53</f>
        <v>23782.340089999998</v>
      </c>
      <c r="N56" s="166"/>
      <c r="O56" s="166">
        <f>K$9*C52</f>
        <v>3.2309969999999995</v>
      </c>
      <c r="P56" s="165"/>
      <c r="Q56" s="166">
        <f>M$9*C51</f>
        <v>118784.88409328758</v>
      </c>
      <c r="R56" s="165"/>
      <c r="S56" s="166">
        <f t="shared" si="2"/>
        <v>162966.28686728756</v>
      </c>
      <c r="T56" s="165"/>
      <c r="U56" s="167">
        <f t="shared" si="0"/>
        <v>187887.99134834757</v>
      </c>
      <c r="V56" s="165"/>
      <c r="W56" s="166">
        <f>W55</f>
        <v>2818319.8702252135</v>
      </c>
      <c r="X56" s="165"/>
      <c r="Y56" s="165">
        <f>SUM(U$40:U56)</f>
        <v>2302391.6225059973</v>
      </c>
      <c r="Z56" s="165"/>
      <c r="AA56" s="166">
        <f t="shared" ref="AA56:AA60" si="3">ROUND((S56-U56)*0.21,4)</f>
        <v>-5233.5578999999998</v>
      </c>
      <c r="AB56" s="165"/>
      <c r="AC56" s="166">
        <f>ROUND(SUM(AA$40:AA56),0)</f>
        <v>11649</v>
      </c>
    </row>
    <row r="57" spans="1:29" x14ac:dyDescent="0.3">
      <c r="A57" s="113">
        <f>A56+1</f>
        <v>2034</v>
      </c>
      <c r="C57" s="116"/>
      <c r="E57" s="166"/>
      <c r="F57" s="165"/>
      <c r="G57" s="166">
        <f>C$9*C57</f>
        <v>0</v>
      </c>
      <c r="H57" s="165"/>
      <c r="I57" s="166">
        <f>E$9*C56</f>
        <v>0</v>
      </c>
      <c r="J57" s="166"/>
      <c r="K57" s="166">
        <f>G$9*C55</f>
        <v>8584.2763899999991</v>
      </c>
      <c r="L57" s="166"/>
      <c r="M57" s="166">
        <f>I$9*C54</f>
        <v>23822.649141000002</v>
      </c>
      <c r="N57" s="166"/>
      <c r="O57" s="166">
        <f>K$9*C53</f>
        <v>3.2255299999999996</v>
      </c>
      <c r="P57" s="165"/>
      <c r="Q57" s="166">
        <f>M$9*C52</f>
        <v>118986.21440531011</v>
      </c>
      <c r="R57" s="165"/>
      <c r="S57" s="166">
        <f t="shared" si="2"/>
        <v>151396.36546631012</v>
      </c>
      <c r="T57" s="165"/>
      <c r="U57" s="167">
        <f t="shared" si="0"/>
        <v>187887.99134834757</v>
      </c>
      <c r="V57" s="165"/>
      <c r="W57" s="166">
        <f>W56</f>
        <v>2818319.8702252135</v>
      </c>
      <c r="X57" s="165"/>
      <c r="Y57" s="165">
        <f>SUM(U$40:U57)</f>
        <v>2490279.6138543449</v>
      </c>
      <c r="Z57" s="165"/>
      <c r="AA57" s="166">
        <f t="shared" si="3"/>
        <v>-7663.2413999999999</v>
      </c>
      <c r="AB57" s="165"/>
      <c r="AC57" s="166">
        <f>ROUND(SUM(AA$40:AA57),0)</f>
        <v>3986</v>
      </c>
    </row>
    <row r="58" spans="1:29" x14ac:dyDescent="0.3">
      <c r="A58" s="113">
        <f>A57+1</f>
        <v>2035</v>
      </c>
      <c r="C58" s="116"/>
      <c r="E58" s="166"/>
      <c r="F58" s="165"/>
      <c r="G58" s="166">
        <f>C$9*C58</f>
        <v>0</v>
      </c>
      <c r="H58" s="165"/>
      <c r="I58" s="166">
        <f>E$9*C57</f>
        <v>0</v>
      </c>
      <c r="J58" s="166"/>
      <c r="K58" s="166">
        <f>G$9*C56</f>
        <v>0</v>
      </c>
      <c r="L58" s="166"/>
      <c r="M58" s="166">
        <f>I$9*C55</f>
        <v>11891.170044999999</v>
      </c>
      <c r="N58" s="166"/>
      <c r="O58" s="166">
        <f>K$9*C54</f>
        <v>3.2309969999999995</v>
      </c>
      <c r="P58" s="165"/>
      <c r="Q58" s="166">
        <f>M$9*C53</f>
        <v>118784.88409328758</v>
      </c>
      <c r="R58" s="165"/>
      <c r="S58" s="166">
        <f t="shared" si="2"/>
        <v>130679.28513528757</v>
      </c>
      <c r="T58" s="165"/>
      <c r="U58" s="167">
        <f t="shared" si="0"/>
        <v>187887.99134834757</v>
      </c>
      <c r="V58" s="165"/>
      <c r="W58" s="166">
        <f>W57</f>
        <v>2818319.8702252135</v>
      </c>
      <c r="X58" s="165"/>
      <c r="Y58" s="165">
        <f>SUM(U$40:U58)</f>
        <v>2678167.6052026926</v>
      </c>
      <c r="Z58" s="165"/>
      <c r="AA58" s="166">
        <f t="shared" si="3"/>
        <v>-12013.828299999999</v>
      </c>
      <c r="AB58" s="165"/>
      <c r="AC58" s="166">
        <f>ROUND(SUM(AA$40:AA58),0)</f>
        <v>-8028</v>
      </c>
    </row>
    <row r="59" spans="1:29" x14ac:dyDescent="0.3">
      <c r="A59" s="113">
        <f>A58+1</f>
        <v>2036</v>
      </c>
      <c r="C59" s="116"/>
      <c r="E59" s="166"/>
      <c r="F59" s="165"/>
      <c r="G59" s="166">
        <f>C$9*C59</f>
        <v>0</v>
      </c>
      <c r="H59" s="165"/>
      <c r="I59" s="166">
        <f>E$9*C58</f>
        <v>0</v>
      </c>
      <c r="J59" s="166"/>
      <c r="K59" s="166">
        <f>G$9*C57</f>
        <v>0</v>
      </c>
      <c r="L59" s="166"/>
      <c r="M59" s="166">
        <f>I$9*C56</f>
        <v>0</v>
      </c>
      <c r="N59" s="166"/>
      <c r="O59" s="166">
        <f>K$9*C55</f>
        <v>1.6127649999999998</v>
      </c>
      <c r="P59" s="165"/>
      <c r="Q59" s="166">
        <f>M$9*C54</f>
        <v>118986.21440531011</v>
      </c>
      <c r="R59" s="165"/>
      <c r="S59" s="166">
        <f t="shared" si="2"/>
        <v>118987.82717031011</v>
      </c>
      <c r="T59" s="165"/>
      <c r="U59" s="167">
        <f t="shared" si="0"/>
        <v>187887.99134834757</v>
      </c>
      <c r="V59" s="165"/>
      <c r="W59" s="166">
        <f>W58</f>
        <v>2818319.8702252135</v>
      </c>
      <c r="X59" s="165"/>
      <c r="Y59" s="165">
        <f>SUM(U$40:U59)</f>
        <v>2866055.5965510402</v>
      </c>
      <c r="Z59" s="165"/>
      <c r="AA59" s="166">
        <f t="shared" si="3"/>
        <v>-14469.0345</v>
      </c>
      <c r="AB59" s="165"/>
      <c r="AC59" s="166">
        <f>ROUND(SUM(AA$40:AA59),0)</f>
        <v>-22497</v>
      </c>
    </row>
    <row r="60" spans="1:29" x14ac:dyDescent="0.3">
      <c r="A60" s="113">
        <f>A59+1</f>
        <v>2037</v>
      </c>
      <c r="C60" s="116"/>
      <c r="E60" s="166"/>
      <c r="F60" s="165"/>
      <c r="G60" s="166">
        <f>C$9*C60</f>
        <v>0</v>
      </c>
      <c r="H60" s="165"/>
      <c r="I60" s="166">
        <f>E$9*C59</f>
        <v>0</v>
      </c>
      <c r="J60" s="166"/>
      <c r="K60" s="166">
        <f>G$9*C58</f>
        <v>0</v>
      </c>
      <c r="L60" s="166"/>
      <c r="M60" s="166">
        <f>I$9*C57</f>
        <v>0</v>
      </c>
      <c r="N60" s="166"/>
      <c r="O60" s="166">
        <f>K$9*C56</f>
        <v>0</v>
      </c>
      <c r="P60" s="165"/>
      <c r="Q60" s="166">
        <f>M$9*C55</f>
        <v>59392.442046643788</v>
      </c>
      <c r="R60" s="165"/>
      <c r="S60" s="166">
        <f t="shared" si="2"/>
        <v>59392.442046643788</v>
      </c>
      <c r="T60" s="165"/>
      <c r="U60" s="167">
        <f>IF(Y59+W59/C$34+E60/C$34/2&lt;W59,Y59+W59/C$34+E60/C$34/2,W59-Y59)</f>
        <v>-47735.726325826719</v>
      </c>
      <c r="V60" s="165"/>
      <c r="W60" s="166">
        <f>W59</f>
        <v>2818319.8702252135</v>
      </c>
      <c r="X60" s="165"/>
      <c r="Y60" s="165">
        <f>SUM(U$40:U60)</f>
        <v>2818319.8702252135</v>
      </c>
      <c r="Z60" s="165"/>
      <c r="AA60" s="166">
        <f t="shared" si="3"/>
        <v>22496.915400000002</v>
      </c>
      <c r="AB60" s="165"/>
      <c r="AC60" s="166">
        <f>ROUND(SUM(AA$40:AA60),0)</f>
        <v>0</v>
      </c>
    </row>
    <row r="61" spans="1:29" x14ac:dyDescent="0.3">
      <c r="A61" s="113"/>
      <c r="C61" s="137">
        <f>SUM(C40:C60)</f>
        <v>1.0000000000000002</v>
      </c>
      <c r="E61" s="171">
        <f>SUM(E40:E60)</f>
        <v>2818319.8702252135</v>
      </c>
      <c r="F61" s="163"/>
      <c r="G61" s="171">
        <f>SUM(G40:G60)</f>
        <v>2466.2799999999997</v>
      </c>
      <c r="H61" s="163"/>
      <c r="I61" s="171">
        <f>SUM(I40:I60)</f>
        <v>108412.87000000001</v>
      </c>
      <c r="J61" s="172"/>
      <c r="K61" s="171">
        <f>SUM(K40:K60)</f>
        <v>290992.42</v>
      </c>
      <c r="L61" s="172"/>
      <c r="M61" s="171">
        <f>SUM(M40:M60)</f>
        <v>403090.51000000007</v>
      </c>
      <c r="N61" s="172"/>
      <c r="O61" s="171">
        <f>SUM(O40:O60)</f>
        <v>54.67</v>
      </c>
      <c r="P61" s="163"/>
      <c r="Q61" s="171">
        <f>SUM(Q40:Q60)</f>
        <v>2013303.1202252135</v>
      </c>
      <c r="R61" s="163"/>
      <c r="S61" s="171">
        <f>SUM(S40:S60)</f>
        <v>2818319.8702252135</v>
      </c>
      <c r="T61" s="163"/>
      <c r="U61" s="171">
        <f>SUM(U40:U60)</f>
        <v>2818319.8702252135</v>
      </c>
      <c r="V61" s="163"/>
      <c r="W61" s="163"/>
      <c r="X61" s="163"/>
      <c r="Y61" s="163"/>
      <c r="Z61" s="163"/>
      <c r="AA61" s="171">
        <f>SUM(AA40:AA60)</f>
        <v>8.0000008892966434E-5</v>
      </c>
      <c r="AB61" s="163"/>
      <c r="AC61" s="171"/>
    </row>
    <row r="62" spans="1:29" x14ac:dyDescent="0.3">
      <c r="A62" s="113"/>
      <c r="C62" s="112"/>
      <c r="G62" s="107"/>
      <c r="I62" s="107"/>
      <c r="J62" s="107"/>
      <c r="K62" s="107"/>
      <c r="L62" s="107"/>
      <c r="M62" s="107"/>
      <c r="N62" s="107"/>
      <c r="O62" s="107"/>
      <c r="S62" s="114"/>
      <c r="U62" s="107"/>
      <c r="Y62" s="114"/>
      <c r="AA62" s="107"/>
    </row>
    <row r="63" spans="1:29" x14ac:dyDescent="0.3">
      <c r="A63" s="113"/>
      <c r="C63" s="112"/>
      <c r="G63" s="107"/>
      <c r="I63" s="107"/>
      <c r="J63" s="107"/>
      <c r="K63" s="107"/>
      <c r="L63" s="107"/>
      <c r="M63" s="107"/>
      <c r="N63" s="107"/>
      <c r="O63" s="107"/>
      <c r="S63" s="114"/>
      <c r="U63" s="107"/>
      <c r="Y63" s="114"/>
      <c r="AA63" s="107"/>
    </row>
    <row r="64" spans="1:29" x14ac:dyDescent="0.3">
      <c r="A64" s="113"/>
      <c r="C64" s="112"/>
      <c r="E64" s="107"/>
      <c r="G64" s="107"/>
      <c r="H64" s="107"/>
      <c r="I64" s="107"/>
      <c r="J64" s="107"/>
      <c r="K64" s="107"/>
      <c r="L64" s="107"/>
      <c r="M64" s="107"/>
      <c r="O64" s="114"/>
      <c r="S64" s="115"/>
      <c r="W64" s="114"/>
      <c r="Y64" s="107"/>
    </row>
    <row r="65" spans="1:5" x14ac:dyDescent="0.3">
      <c r="A65" s="113"/>
      <c r="C65" s="112"/>
      <c r="E65" s="107"/>
    </row>
    <row r="66" spans="1:5" x14ac:dyDescent="0.3">
      <c r="A66" s="111"/>
    </row>
    <row r="67" spans="1:5" x14ac:dyDescent="0.3">
      <c r="A67" s="111"/>
    </row>
    <row r="68" spans="1:5" x14ac:dyDescent="0.3">
      <c r="A68" s="111"/>
    </row>
    <row r="69" spans="1:5" x14ac:dyDescent="0.3">
      <c r="A69" s="111"/>
    </row>
  </sheetData>
  <mergeCells count="3">
    <mergeCell ref="C6:U6"/>
    <mergeCell ref="C19:U19"/>
    <mergeCell ref="G37:Q37"/>
  </mergeCells>
  <pageMargins left="0.7" right="0.7" top="0.75" bottom="0.75" header="0.3" footer="0.3"/>
  <pageSetup scale="43" orientation="landscape" r:id="rId1"/>
  <headerFooter>
    <oddHeader>&amp;R&amp;"Times New Roman,Bold"&amp;10KyPSC Case No. 2021-00190
AG-DR-01-019(e) Attachment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096A5-301D-4719-BAF4-8D0A1BCEA736}">
  <sheetPr>
    <pageSetUpPr fitToPage="1"/>
  </sheetPr>
  <dimension ref="A1:AC59"/>
  <sheetViews>
    <sheetView view="pageLayout" topLeftCell="J34" zoomScaleNormal="100" workbookViewId="0">
      <selection activeCell="AA40" activeCellId="10" sqref="E40:G40 I41 K42 M43 O44 Q45 S40 U40 W40 Y40 AA40"/>
    </sheetView>
  </sheetViews>
  <sheetFormatPr defaultRowHeight="14.4" x14ac:dyDescent="0.3"/>
  <cols>
    <col min="1" max="1" width="35.88671875" customWidth="1"/>
    <col min="2" max="2" width="1.6640625" customWidth="1"/>
    <col min="3" max="3" width="15.6640625" customWidth="1"/>
    <col min="4" max="4" width="1.6640625" customWidth="1"/>
    <col min="5" max="5" width="15.6640625" customWidth="1"/>
    <col min="6" max="6" width="1.6640625" customWidth="1"/>
    <col min="7" max="7" width="15.6640625" customWidth="1"/>
    <col min="8" max="8" width="1.6640625" customWidth="1"/>
    <col min="9" max="9" width="15.6640625" customWidth="1"/>
    <col min="10" max="10" width="1.6640625" customWidth="1"/>
    <col min="11" max="11" width="15.6640625" customWidth="1"/>
    <col min="12" max="12" width="1.6640625" customWidth="1"/>
    <col min="13" max="13" width="15.6640625" customWidth="1"/>
    <col min="14" max="14" width="1.6640625" customWidth="1"/>
    <col min="15" max="15" width="15.6640625" customWidth="1"/>
    <col min="16" max="16" width="1.6640625" customWidth="1"/>
    <col min="17" max="17" width="15.6640625" customWidth="1"/>
    <col min="18" max="18" width="1.6640625" customWidth="1"/>
    <col min="19" max="19" width="15.6640625" customWidth="1"/>
    <col min="20" max="20" width="1.6640625" customWidth="1"/>
    <col min="21" max="21" width="15.6640625" customWidth="1"/>
    <col min="22" max="22" width="1.6640625" customWidth="1"/>
    <col min="23" max="23" width="15.6640625" customWidth="1"/>
    <col min="24" max="24" width="1.6640625" customWidth="1"/>
    <col min="25" max="25" width="15.6640625" customWidth="1"/>
    <col min="26" max="26" width="1.6640625" customWidth="1"/>
    <col min="27" max="27" width="15.6640625" customWidth="1"/>
  </cols>
  <sheetData>
    <row r="1" spans="1:21" x14ac:dyDescent="0.3">
      <c r="A1" s="30" t="str">
        <f>'Rev Req Summary'!A1</f>
        <v>Duke Energy Kentucky</v>
      </c>
    </row>
    <row r="2" spans="1:21" x14ac:dyDescent="0.3">
      <c r="A2" s="30" t="str">
        <f>'Rev Req Summary'!A2</f>
        <v xml:space="preserve">Estimated Revenue Requirement </v>
      </c>
    </row>
    <row r="3" spans="1:21" x14ac:dyDescent="0.3">
      <c r="A3" s="30" t="str">
        <f>'Rev Req Summary'!A3</f>
        <v>CIS Replacement</v>
      </c>
      <c r="E3" s="139"/>
    </row>
    <row r="4" spans="1:21" ht="15" thickBot="1" x14ac:dyDescent="0.3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6" spans="1:21" x14ac:dyDescent="0.3">
      <c r="C6" s="141" t="s">
        <v>110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3"/>
    </row>
    <row r="7" spans="1:21" x14ac:dyDescent="0.3">
      <c r="A7" s="73" t="s">
        <v>106</v>
      </c>
      <c r="C7" s="134">
        <v>2017</v>
      </c>
      <c r="D7" s="132"/>
      <c r="E7" s="135">
        <f>C7+1</f>
        <v>2018</v>
      </c>
      <c r="F7" s="133"/>
      <c r="G7" s="135">
        <f>E7+1</f>
        <v>2019</v>
      </c>
      <c r="H7" s="132"/>
      <c r="I7" s="135">
        <f>G7+1</f>
        <v>2020</v>
      </c>
      <c r="J7" s="132"/>
      <c r="K7" s="135">
        <f>I7+1</f>
        <v>2021</v>
      </c>
      <c r="L7" s="132"/>
      <c r="M7" s="135">
        <f>K7+1</f>
        <v>2022</v>
      </c>
      <c r="O7" s="135">
        <f>M7+1</f>
        <v>2023</v>
      </c>
      <c r="P7" s="132"/>
      <c r="Q7" s="135">
        <f>O7+1</f>
        <v>2024</v>
      </c>
      <c r="S7" s="135">
        <f>Q7+1</f>
        <v>2025</v>
      </c>
      <c r="U7" s="135">
        <f>S7+1</f>
        <v>2026</v>
      </c>
    </row>
    <row r="9" spans="1:21" x14ac:dyDescent="0.3">
      <c r="A9" s="1" t="str">
        <f>A3</f>
        <v>CIS Replacement</v>
      </c>
      <c r="C9" s="160">
        <v>0</v>
      </c>
      <c r="D9" s="160"/>
      <c r="E9" s="162">
        <v>166712.26999999999</v>
      </c>
      <c r="F9" s="160"/>
      <c r="G9" s="160">
        <v>99308.939999999988</v>
      </c>
      <c r="H9" s="160"/>
      <c r="I9" s="160">
        <v>110570.14</v>
      </c>
      <c r="J9" s="160"/>
      <c r="K9" s="160">
        <v>0</v>
      </c>
      <c r="L9" s="160"/>
      <c r="M9" s="160">
        <v>112839</v>
      </c>
      <c r="N9" s="160"/>
      <c r="O9" s="160">
        <v>0</v>
      </c>
      <c r="P9" s="160"/>
      <c r="Q9" s="160">
        <v>0</v>
      </c>
      <c r="R9" s="163"/>
      <c r="S9" s="160">
        <v>0</v>
      </c>
      <c r="T9" s="163"/>
      <c r="U9" s="160">
        <v>0</v>
      </c>
    </row>
    <row r="10" spans="1:21" x14ac:dyDescent="0.3">
      <c r="A10" s="1" t="s">
        <v>109</v>
      </c>
      <c r="C10" s="164">
        <f>C9</f>
        <v>0</v>
      </c>
      <c r="D10" s="160"/>
      <c r="E10" s="164">
        <f>E9+C10</f>
        <v>166712.26999999999</v>
      </c>
      <c r="F10" s="160"/>
      <c r="G10" s="164">
        <f>G9+E10</f>
        <v>266021.20999999996</v>
      </c>
      <c r="H10" s="160"/>
      <c r="I10" s="164">
        <f>I9+G10</f>
        <v>376591.35</v>
      </c>
      <c r="J10" s="160"/>
      <c r="K10" s="164">
        <f>K9+I10</f>
        <v>376591.35</v>
      </c>
      <c r="L10" s="160"/>
      <c r="M10" s="164">
        <f>M9+K10</f>
        <v>489430.35</v>
      </c>
      <c r="N10" s="160"/>
      <c r="O10" s="164">
        <f>O9+M10</f>
        <v>489430.35</v>
      </c>
      <c r="P10" s="160"/>
      <c r="Q10" s="164">
        <f>Q9+O10</f>
        <v>489430.35</v>
      </c>
      <c r="R10" s="163"/>
      <c r="S10" s="164">
        <f>S9+Q10</f>
        <v>489430.35</v>
      </c>
      <c r="T10" s="163"/>
      <c r="U10" s="164">
        <f>U9+S10</f>
        <v>489430.35</v>
      </c>
    </row>
    <row r="11" spans="1:21" x14ac:dyDescent="0.3">
      <c r="A11" s="1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</row>
    <row r="12" spans="1:21" x14ac:dyDescent="0.3">
      <c r="A12" s="1" t="s">
        <v>72</v>
      </c>
      <c r="C12" s="160">
        <f>U40</f>
        <v>0</v>
      </c>
      <c r="D12" s="160"/>
      <c r="E12" s="160">
        <f>U41</f>
        <v>16671.226999999999</v>
      </c>
      <c r="F12" s="160"/>
      <c r="G12" s="160">
        <f>U42</f>
        <v>43273.347999999998</v>
      </c>
      <c r="H12" s="160"/>
      <c r="I12" s="160">
        <f>U43</f>
        <v>64261.255999999994</v>
      </c>
      <c r="J12" s="160"/>
      <c r="K12" s="160">
        <f>U44</f>
        <v>75318.26999999999</v>
      </c>
      <c r="L12" s="160"/>
      <c r="M12" s="160">
        <f>U45</f>
        <v>86602.169999999984</v>
      </c>
      <c r="N12" s="160"/>
      <c r="O12" s="160">
        <f>U46</f>
        <v>97886.069999999992</v>
      </c>
      <c r="P12" s="160"/>
      <c r="Q12" s="160">
        <f>U47</f>
        <v>97886.069999999992</v>
      </c>
      <c r="R12" s="163"/>
      <c r="S12" s="160">
        <f>U48</f>
        <v>7531.939000000013</v>
      </c>
      <c r="T12" s="163"/>
      <c r="U12" s="160">
        <f>U49</f>
        <v>0</v>
      </c>
    </row>
    <row r="13" spans="1:21" x14ac:dyDescent="0.3">
      <c r="A13" s="1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3"/>
      <c r="S13" s="160"/>
      <c r="T13" s="163"/>
      <c r="U13" s="160"/>
    </row>
    <row r="14" spans="1:21" x14ac:dyDescent="0.3">
      <c r="A14" s="1" t="s">
        <v>71</v>
      </c>
      <c r="C14" s="160">
        <f>-C12</f>
        <v>0</v>
      </c>
      <c r="D14" s="160"/>
      <c r="E14" s="160">
        <f>-SUM($C12:E12)</f>
        <v>-16671.226999999999</v>
      </c>
      <c r="F14" s="160"/>
      <c r="G14" s="160">
        <f>-SUM($C12:G12)</f>
        <v>-59944.574999999997</v>
      </c>
      <c r="H14" s="160"/>
      <c r="I14" s="160">
        <f>-SUM($C12:I12)</f>
        <v>-124205.83099999999</v>
      </c>
      <c r="J14" s="160"/>
      <c r="K14" s="160">
        <f>-SUM($C12:K12)</f>
        <v>-199524.10099999997</v>
      </c>
      <c r="L14" s="160"/>
      <c r="M14" s="160">
        <f>-SUM($C12:M12)</f>
        <v>-286126.27099999995</v>
      </c>
      <c r="N14" s="160"/>
      <c r="O14" s="160">
        <f>-SUM($C12:O12)</f>
        <v>-384012.34099999996</v>
      </c>
      <c r="P14" s="160"/>
      <c r="Q14" s="160">
        <f>-SUM($C12:Q12)</f>
        <v>-481898.41099999996</v>
      </c>
      <c r="R14" s="163"/>
      <c r="S14" s="160">
        <f>-SUM($C12:S12)</f>
        <v>-489430.35</v>
      </c>
      <c r="T14" s="163"/>
      <c r="U14" s="160">
        <f>-SUM($C12:U12)</f>
        <v>-489430.35</v>
      </c>
    </row>
    <row r="15" spans="1:21" x14ac:dyDescent="0.3">
      <c r="A15" s="1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3"/>
      <c r="S15" s="160"/>
      <c r="T15" s="163"/>
      <c r="U15" s="160"/>
    </row>
    <row r="16" spans="1:21" x14ac:dyDescent="0.3">
      <c r="A16" s="1" t="s">
        <v>108</v>
      </c>
      <c r="C16" s="160">
        <f>-+AC40</f>
        <v>0</v>
      </c>
      <c r="D16" s="160"/>
      <c r="E16" s="160">
        <f>-AC41</f>
        <v>-3501</v>
      </c>
      <c r="F16" s="160"/>
      <c r="G16" s="160">
        <f>-AC42</f>
        <v>-9788</v>
      </c>
      <c r="H16" s="160"/>
      <c r="I16" s="160">
        <f>-AC43</f>
        <v>-14332</v>
      </c>
      <c r="J16" s="160"/>
      <c r="K16" s="160">
        <f>-AC44</f>
        <v>-13983</v>
      </c>
      <c r="L16" s="160"/>
      <c r="M16" s="160">
        <f>-AC45</f>
        <v>-11429</v>
      </c>
      <c r="N16" s="160"/>
      <c r="O16" s="160">
        <f>-AC46</f>
        <v>-5550</v>
      </c>
      <c r="P16" s="160"/>
      <c r="Q16" s="160">
        <f>-AC47</f>
        <v>6580</v>
      </c>
      <c r="R16" s="163"/>
      <c r="S16" s="160">
        <f>AC48</f>
        <v>-4095</v>
      </c>
      <c r="T16" s="163"/>
      <c r="U16" s="160">
        <f>AC49</f>
        <v>-1365</v>
      </c>
    </row>
    <row r="17" spans="1:21" x14ac:dyDescent="0.3">
      <c r="A17" s="1"/>
    </row>
    <row r="18" spans="1:21" hidden="1" x14ac:dyDescent="0.3"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21" hidden="1" x14ac:dyDescent="0.3">
      <c r="C19" s="144" t="s">
        <v>107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6"/>
    </row>
    <row r="20" spans="1:21" hidden="1" x14ac:dyDescent="0.3">
      <c r="A20" s="73" t="s">
        <v>106</v>
      </c>
      <c r="C20" s="134">
        <f>C7</f>
        <v>2017</v>
      </c>
      <c r="D20" s="132"/>
      <c r="E20" s="131">
        <f>C20+1</f>
        <v>2018</v>
      </c>
      <c r="F20" s="133"/>
      <c r="G20" s="131">
        <f>E20+1</f>
        <v>2019</v>
      </c>
      <c r="H20" s="132"/>
      <c r="I20" s="131">
        <f>G20+1</f>
        <v>2020</v>
      </c>
      <c r="J20" s="132"/>
      <c r="K20" s="131">
        <f>I20+1</f>
        <v>2021</v>
      </c>
      <c r="L20" s="132"/>
      <c r="M20" s="131">
        <f>K20+1</f>
        <v>2022</v>
      </c>
      <c r="O20" s="131">
        <f>M20+1</f>
        <v>2023</v>
      </c>
      <c r="P20" s="132"/>
      <c r="Q20" s="131">
        <f>O20+1</f>
        <v>2024</v>
      </c>
      <c r="S20" s="131">
        <f>Q20+1</f>
        <v>2025</v>
      </c>
      <c r="U20" s="131">
        <f>S20+1</f>
        <v>2026</v>
      </c>
    </row>
    <row r="21" spans="1:21" hidden="1" x14ac:dyDescent="0.3"/>
    <row r="22" spans="1:21" hidden="1" x14ac:dyDescent="0.3">
      <c r="A22" t="s">
        <v>105</v>
      </c>
      <c r="C22" s="129">
        <v>0</v>
      </c>
      <c r="D22" s="129"/>
      <c r="E22" s="129">
        <v>0</v>
      </c>
      <c r="F22" s="129"/>
      <c r="G22" s="129">
        <v>0</v>
      </c>
      <c r="H22" s="129"/>
      <c r="I22" s="129">
        <v>0</v>
      </c>
      <c r="J22" s="129"/>
      <c r="K22" s="129">
        <v>0</v>
      </c>
      <c r="L22" s="129"/>
      <c r="M22" s="129">
        <v>0</v>
      </c>
      <c r="N22" s="129"/>
      <c r="O22" s="129">
        <v>0</v>
      </c>
      <c r="P22" s="129"/>
      <c r="Q22" s="129">
        <v>0</v>
      </c>
      <c r="S22" s="129">
        <v>0</v>
      </c>
      <c r="U22" s="129">
        <v>0</v>
      </c>
    </row>
    <row r="23" spans="1:21" hidden="1" x14ac:dyDescent="0.3">
      <c r="A23" s="1" t="s">
        <v>104</v>
      </c>
    </row>
    <row r="24" spans="1:21" hidden="1" x14ac:dyDescent="0.3">
      <c r="A24" t="s">
        <v>103</v>
      </c>
      <c r="C24" s="129"/>
      <c r="D24" s="129"/>
      <c r="E24" s="129">
        <f>$C$22/5</f>
        <v>0</v>
      </c>
      <c r="F24" s="129"/>
      <c r="G24" s="129">
        <f>$C$22/5</f>
        <v>0</v>
      </c>
      <c r="H24" s="129"/>
      <c r="I24" s="129">
        <f>$C$22/5</f>
        <v>0</v>
      </c>
      <c r="J24" s="129"/>
      <c r="K24" s="129">
        <f>$C$22/5</f>
        <v>0</v>
      </c>
      <c r="L24" s="129"/>
      <c r="M24" s="129">
        <f>$C$22/5</f>
        <v>0</v>
      </c>
      <c r="N24" s="129"/>
      <c r="O24" s="129"/>
      <c r="P24" s="129"/>
      <c r="Q24" s="129"/>
      <c r="R24" s="129"/>
      <c r="S24" s="129"/>
      <c r="T24" s="129"/>
      <c r="U24" s="129"/>
    </row>
    <row r="25" spans="1:21" hidden="1" x14ac:dyDescent="0.3">
      <c r="A25" s="1" t="s">
        <v>102</v>
      </c>
      <c r="C25" s="85"/>
      <c r="D25" s="85"/>
      <c r="E25" s="85"/>
      <c r="F25" s="85"/>
      <c r="G25" s="85">
        <f>$E$22/5</f>
        <v>0</v>
      </c>
      <c r="H25" s="85"/>
      <c r="I25" s="85">
        <f>$E$22/5</f>
        <v>0</v>
      </c>
      <c r="J25" s="85"/>
      <c r="K25" s="85">
        <f>$E$22/5</f>
        <v>0</v>
      </c>
      <c r="L25" s="85"/>
      <c r="M25" s="85">
        <f>$E$22/5</f>
        <v>0</v>
      </c>
      <c r="N25" s="85"/>
      <c r="O25" s="85">
        <f>$E$22/5</f>
        <v>0</v>
      </c>
      <c r="P25" s="85"/>
      <c r="Q25" s="85"/>
      <c r="R25" s="85"/>
      <c r="S25" s="85"/>
      <c r="T25" s="85"/>
      <c r="U25" s="85"/>
    </row>
    <row r="26" spans="1:21" hidden="1" x14ac:dyDescent="0.3">
      <c r="A26" s="1" t="s">
        <v>101</v>
      </c>
      <c r="C26" s="85"/>
      <c r="D26" s="85"/>
      <c r="E26" s="85"/>
      <c r="F26" s="85"/>
      <c r="G26" s="85"/>
      <c r="H26" s="85"/>
      <c r="I26" s="107">
        <f>$G$22/5</f>
        <v>0</v>
      </c>
      <c r="J26" s="85"/>
      <c r="K26" s="107">
        <f>$G$22/5</f>
        <v>0</v>
      </c>
      <c r="L26" s="85"/>
      <c r="M26" s="107">
        <f>$G$22/5</f>
        <v>0</v>
      </c>
      <c r="N26" s="85"/>
      <c r="O26" s="107">
        <f>$G$22/5</f>
        <v>0</v>
      </c>
      <c r="P26" s="85"/>
      <c r="Q26" s="107">
        <f>$G$22/5</f>
        <v>0</v>
      </c>
      <c r="R26" s="107"/>
      <c r="S26" s="107"/>
      <c r="T26" s="107"/>
      <c r="U26" s="107"/>
    </row>
    <row r="27" spans="1:21" hidden="1" x14ac:dyDescent="0.3">
      <c r="A27" s="1" t="s">
        <v>100</v>
      </c>
      <c r="C27" s="85"/>
      <c r="D27" s="85"/>
      <c r="E27" s="85"/>
      <c r="F27" s="85"/>
      <c r="G27" s="85"/>
      <c r="H27" s="85"/>
      <c r="I27" s="107"/>
      <c r="J27" s="85"/>
      <c r="K27" s="130">
        <f>$I$22/5</f>
        <v>0</v>
      </c>
      <c r="L27" s="85"/>
      <c r="M27" s="130">
        <f>$I$22/5</f>
        <v>0</v>
      </c>
      <c r="N27" s="85"/>
      <c r="O27" s="130">
        <f>$I$22/5</f>
        <v>0</v>
      </c>
      <c r="P27" s="85"/>
      <c r="Q27" s="130">
        <f>$I$22/5</f>
        <v>0</v>
      </c>
      <c r="R27" s="107"/>
      <c r="S27" s="130">
        <f>$I$22/5</f>
        <v>0</v>
      </c>
      <c r="T27" s="107"/>
      <c r="U27" s="107"/>
    </row>
    <row r="28" spans="1:21" hidden="1" x14ac:dyDescent="0.3">
      <c r="A28" s="1" t="s">
        <v>99</v>
      </c>
      <c r="C28" s="85"/>
      <c r="D28" s="85"/>
      <c r="E28" s="85"/>
      <c r="F28" s="85"/>
      <c r="G28" s="85"/>
      <c r="H28" s="85"/>
      <c r="I28" s="107"/>
      <c r="J28" s="85"/>
      <c r="K28" s="107"/>
      <c r="L28" s="85"/>
      <c r="M28" s="107">
        <f>$K$22/5</f>
        <v>0</v>
      </c>
      <c r="N28" s="85"/>
      <c r="O28" s="107">
        <f>$K$22/5</f>
        <v>0</v>
      </c>
      <c r="P28" s="85"/>
      <c r="Q28" s="107">
        <f>$K$22/5</f>
        <v>0</v>
      </c>
      <c r="R28" s="107"/>
      <c r="S28" s="107">
        <f>$K$22/5</f>
        <v>0</v>
      </c>
      <c r="T28" s="107"/>
      <c r="U28" s="107">
        <f>$K$22/5</f>
        <v>0</v>
      </c>
    </row>
    <row r="29" spans="1:21" hidden="1" x14ac:dyDescent="0.3">
      <c r="A29" s="1" t="s">
        <v>98</v>
      </c>
      <c r="C29" s="128">
        <f>SUM(C24:C28)</f>
        <v>0</v>
      </c>
      <c r="D29" s="129"/>
      <c r="E29" s="128">
        <f>SUM(E24:E28)</f>
        <v>0</v>
      </c>
      <c r="F29" s="129"/>
      <c r="G29" s="128">
        <f>SUM(G24:G28)</f>
        <v>0</v>
      </c>
      <c r="H29" s="129"/>
      <c r="I29" s="128">
        <f>SUM(I24:I28)</f>
        <v>0</v>
      </c>
      <c r="J29" s="129"/>
      <c r="K29" s="128">
        <f>SUM(K24:K28)</f>
        <v>0</v>
      </c>
      <c r="L29" s="129"/>
      <c r="M29" s="128">
        <f>SUM(M24:M28)</f>
        <v>0</v>
      </c>
      <c r="N29" s="129"/>
      <c r="O29" s="128">
        <f>SUM(O24:O28)</f>
        <v>0</v>
      </c>
      <c r="P29" s="129"/>
      <c r="Q29" s="128">
        <f>SUM(Q24:Q28)</f>
        <v>0</v>
      </c>
      <c r="R29" s="121"/>
      <c r="S29" s="128">
        <f>SUM(S24:S28)</f>
        <v>0</v>
      </c>
      <c r="T29" s="121"/>
      <c r="U29" s="128">
        <f>SUM(U24:U28)</f>
        <v>0</v>
      </c>
    </row>
    <row r="30" spans="1:21" hidden="1" x14ac:dyDescent="0.3">
      <c r="A30" s="1"/>
    </row>
    <row r="32" spans="1:21" x14ac:dyDescent="0.3">
      <c r="C32" s="123" t="s">
        <v>97</v>
      </c>
      <c r="E32" s="123" t="s">
        <v>96</v>
      </c>
      <c r="S32" s="115"/>
    </row>
    <row r="34" spans="1:29" x14ac:dyDescent="0.3">
      <c r="C34" s="127">
        <v>5</v>
      </c>
      <c r="D34" s="127"/>
      <c r="E34" s="127">
        <v>5</v>
      </c>
      <c r="G34" s="126"/>
      <c r="S34" s="114"/>
    </row>
    <row r="35" spans="1:29" x14ac:dyDescent="0.3">
      <c r="C35" s="107"/>
    </row>
    <row r="36" spans="1:29" x14ac:dyDescent="0.3">
      <c r="C36" s="138"/>
    </row>
    <row r="37" spans="1:29" x14ac:dyDescent="0.3">
      <c r="A37" s="111"/>
      <c r="C37" s="107"/>
      <c r="G37" s="147" t="s">
        <v>95</v>
      </c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S37" s="125" t="s">
        <v>94</v>
      </c>
      <c r="U37" s="125" t="s">
        <v>93</v>
      </c>
      <c r="W37" s="125" t="s">
        <v>92</v>
      </c>
      <c r="Y37" s="125" t="s">
        <v>91</v>
      </c>
    </row>
    <row r="38" spans="1:29" x14ac:dyDescent="0.3">
      <c r="A38" s="111"/>
      <c r="C38" s="123" t="str">
        <f>CONCATENATE(E34, " ", "Yr MACRS")</f>
        <v>5 Yr MACRS</v>
      </c>
      <c r="E38" s="123" t="s">
        <v>90</v>
      </c>
      <c r="G38" s="75" t="str">
        <f>CONCATENATE(A40," ","Spend")</f>
        <v>2017 Spend</v>
      </c>
      <c r="H38" s="76"/>
      <c r="I38" s="75" t="str">
        <f>CONCATENATE(A41," ","Spend")</f>
        <v>2018 Spend</v>
      </c>
      <c r="J38" s="76"/>
      <c r="K38" s="75" t="str">
        <f>CONCATENATE(A42," ","Spend")</f>
        <v>2019 Spend</v>
      </c>
      <c r="L38" s="76"/>
      <c r="M38" s="75" t="str">
        <f>CONCATENATE(A43," ","Spend")</f>
        <v>2020 Spend</v>
      </c>
      <c r="N38" s="76"/>
      <c r="O38" s="75" t="str">
        <f>CONCATENATE(A44," ","Spend")</f>
        <v>2021 Spend</v>
      </c>
      <c r="Q38" s="75" t="str">
        <f>CONCATENATE(A45," ","Spend")</f>
        <v>2022 Spend</v>
      </c>
      <c r="S38" s="124" t="s">
        <v>89</v>
      </c>
      <c r="U38" s="124" t="s">
        <v>87</v>
      </c>
      <c r="W38" s="124" t="s">
        <v>88</v>
      </c>
      <c r="Y38" s="124" t="s">
        <v>87</v>
      </c>
      <c r="AA38" s="123" t="s">
        <v>86</v>
      </c>
      <c r="AC38" s="123" t="s">
        <v>85</v>
      </c>
    </row>
    <row r="39" spans="1:29" x14ac:dyDescent="0.3">
      <c r="A39" s="111"/>
      <c r="C39" s="107"/>
      <c r="G39" s="122"/>
      <c r="I39" s="122"/>
      <c r="K39" s="122"/>
      <c r="M39" s="122"/>
      <c r="O39" s="122"/>
    </row>
    <row r="40" spans="1:29" x14ac:dyDescent="0.3">
      <c r="A40" s="113">
        <v>2017</v>
      </c>
      <c r="C40" s="116">
        <v>0.2</v>
      </c>
      <c r="E40" s="163">
        <f>C9</f>
        <v>0</v>
      </c>
      <c r="F40" s="163"/>
      <c r="G40" s="172">
        <f>C$9*C40</f>
        <v>0</v>
      </c>
      <c r="H40" s="165"/>
      <c r="I40" s="165"/>
      <c r="J40" s="166"/>
      <c r="K40" s="165"/>
      <c r="L40" s="166"/>
      <c r="M40" s="165"/>
      <c r="N40" s="166"/>
      <c r="O40" s="165"/>
      <c r="P40" s="165"/>
      <c r="Q40" s="165"/>
      <c r="R40" s="165"/>
      <c r="S40" s="172">
        <f>SUM(G40:Q40)</f>
        <v>0</v>
      </c>
      <c r="T40" s="165"/>
      <c r="U40" s="172">
        <f>SUM(C9)/C$34-C9/C$34*0.5</f>
        <v>0</v>
      </c>
      <c r="V40" s="165"/>
      <c r="W40" s="172">
        <f>C10</f>
        <v>0</v>
      </c>
      <c r="X40" s="165"/>
      <c r="Y40" s="172">
        <f>SUM(U40:U$40)</f>
        <v>0</v>
      </c>
      <c r="Z40" s="165"/>
      <c r="AA40" s="172">
        <f>(S40-U40)*0.21</f>
        <v>0</v>
      </c>
      <c r="AB40" s="165"/>
      <c r="AC40" s="166">
        <f>(S40-U40)*0.21</f>
        <v>0</v>
      </c>
    </row>
    <row r="41" spans="1:29" x14ac:dyDescent="0.3">
      <c r="A41" s="113">
        <f>A40+1</f>
        <v>2018</v>
      </c>
      <c r="C41" s="116">
        <v>0.32</v>
      </c>
      <c r="E41" s="166">
        <f>E9</f>
        <v>166712.26999999999</v>
      </c>
      <c r="F41" s="165"/>
      <c r="G41" s="166">
        <f>C$9*C41</f>
        <v>0</v>
      </c>
      <c r="H41" s="165"/>
      <c r="I41" s="172">
        <f>E$9*C40</f>
        <v>33342.453999999998</v>
      </c>
      <c r="J41" s="166"/>
      <c r="K41" s="165"/>
      <c r="L41" s="166"/>
      <c r="M41" s="165"/>
      <c r="N41" s="166"/>
      <c r="O41" s="165"/>
      <c r="P41" s="165"/>
      <c r="Q41" s="165"/>
      <c r="R41" s="165"/>
      <c r="S41" s="166">
        <f t="shared" ref="S41:S50" si="0">SUM(G41:Q41)</f>
        <v>33342.453999999998</v>
      </c>
      <c r="T41" s="166"/>
      <c r="U41" s="166">
        <f t="shared" ref="U41:U47" si="1">W40/C$34+E41/C$34/2</f>
        <v>16671.226999999999</v>
      </c>
      <c r="V41" s="166"/>
      <c r="W41" s="166">
        <f>E10</f>
        <v>166712.26999999999</v>
      </c>
      <c r="X41" s="165"/>
      <c r="Y41" s="165">
        <f>SUM(U$40:U41)</f>
        <v>16671.226999999999</v>
      </c>
      <c r="Z41" s="165"/>
      <c r="AA41" s="166">
        <f t="shared" ref="AA41:AA50" si="2">ROUND((S41-U41)*0.21,4)</f>
        <v>3500.9576999999999</v>
      </c>
      <c r="AB41" s="165"/>
      <c r="AC41" s="166">
        <f>ROUND(SUM(AA$40:AA41),0)</f>
        <v>3501</v>
      </c>
    </row>
    <row r="42" spans="1:29" x14ac:dyDescent="0.3">
      <c r="A42" s="113">
        <f>A41+1</f>
        <v>2019</v>
      </c>
      <c r="C42" s="116">
        <v>0.192</v>
      </c>
      <c r="E42" s="166">
        <f>G9</f>
        <v>99308.939999999988</v>
      </c>
      <c r="F42" s="165"/>
      <c r="G42" s="166">
        <f>C$9*C42</f>
        <v>0</v>
      </c>
      <c r="H42" s="165"/>
      <c r="I42" s="166">
        <f>E$9*C41</f>
        <v>53347.926399999997</v>
      </c>
      <c r="J42" s="166"/>
      <c r="K42" s="172">
        <f>G$9*C40</f>
        <v>19861.788</v>
      </c>
      <c r="L42" s="166"/>
      <c r="M42" s="165"/>
      <c r="N42" s="166"/>
      <c r="O42" s="165"/>
      <c r="P42" s="165"/>
      <c r="Q42" s="165"/>
      <c r="R42" s="165"/>
      <c r="S42" s="166">
        <f t="shared" si="0"/>
        <v>73209.714399999997</v>
      </c>
      <c r="T42" s="165"/>
      <c r="U42" s="166">
        <f t="shared" si="1"/>
        <v>43273.347999999998</v>
      </c>
      <c r="V42" s="165"/>
      <c r="W42" s="165">
        <f>G10</f>
        <v>266021.20999999996</v>
      </c>
      <c r="X42" s="165"/>
      <c r="Y42" s="165">
        <f>SUM(U$40:U42)</f>
        <v>59944.574999999997</v>
      </c>
      <c r="Z42" s="165"/>
      <c r="AA42" s="166">
        <f t="shared" si="2"/>
        <v>6286.6369000000004</v>
      </c>
      <c r="AB42" s="165"/>
      <c r="AC42" s="166">
        <f>ROUND(SUM(AA$40:AA42),0)</f>
        <v>9788</v>
      </c>
    </row>
    <row r="43" spans="1:29" x14ac:dyDescent="0.3">
      <c r="A43" s="113">
        <f>A42+1</f>
        <v>2020</v>
      </c>
      <c r="C43" s="116">
        <v>0.1152</v>
      </c>
      <c r="E43" s="166">
        <f>I9</f>
        <v>110570.14</v>
      </c>
      <c r="F43" s="165"/>
      <c r="G43" s="166">
        <f>C$9*C43</f>
        <v>0</v>
      </c>
      <c r="H43" s="165"/>
      <c r="I43" s="166">
        <f>E$9*C42</f>
        <v>32008.755839999998</v>
      </c>
      <c r="J43" s="166"/>
      <c r="K43" s="166">
        <f>G$9*C41</f>
        <v>31778.860799999999</v>
      </c>
      <c r="L43" s="166"/>
      <c r="M43" s="172">
        <f>I$9*C40</f>
        <v>22114.028000000002</v>
      </c>
      <c r="N43" s="166"/>
      <c r="O43" s="165"/>
      <c r="P43" s="165"/>
      <c r="Q43" s="165"/>
      <c r="R43" s="165"/>
      <c r="S43" s="166">
        <f t="shared" si="0"/>
        <v>85901.644639999999</v>
      </c>
      <c r="T43" s="165"/>
      <c r="U43" s="166">
        <f t="shared" si="1"/>
        <v>64261.255999999994</v>
      </c>
      <c r="V43" s="165"/>
      <c r="W43" s="165">
        <f>I10</f>
        <v>376591.35</v>
      </c>
      <c r="X43" s="165"/>
      <c r="Y43" s="165">
        <f>SUM(U$40:U43)</f>
        <v>124205.83099999999</v>
      </c>
      <c r="Z43" s="165"/>
      <c r="AA43" s="166">
        <f t="shared" si="2"/>
        <v>4544.4816000000001</v>
      </c>
      <c r="AB43" s="165"/>
      <c r="AC43" s="166">
        <f>ROUND(SUM(AA$40:AA43),0)</f>
        <v>14332</v>
      </c>
    </row>
    <row r="44" spans="1:29" x14ac:dyDescent="0.3">
      <c r="A44" s="113">
        <f>A43+1</f>
        <v>2021</v>
      </c>
      <c r="C44" s="116">
        <v>0.1152</v>
      </c>
      <c r="E44" s="166">
        <f>K9</f>
        <v>0</v>
      </c>
      <c r="F44" s="165"/>
      <c r="G44" s="166">
        <f>C$9*C44</f>
        <v>0</v>
      </c>
      <c r="H44" s="165"/>
      <c r="I44" s="166">
        <f>E$9*C43</f>
        <v>19205.253503999997</v>
      </c>
      <c r="J44" s="166"/>
      <c r="K44" s="166">
        <f>G$9*C42</f>
        <v>19067.316479999998</v>
      </c>
      <c r="L44" s="166"/>
      <c r="M44" s="166">
        <f>I$9*C41</f>
        <v>35382.444799999997</v>
      </c>
      <c r="N44" s="166"/>
      <c r="O44" s="172">
        <f>K$9*C40</f>
        <v>0</v>
      </c>
      <c r="P44" s="165"/>
      <c r="Q44" s="165"/>
      <c r="R44" s="165"/>
      <c r="S44" s="166">
        <f t="shared" si="0"/>
        <v>73655.014783999999</v>
      </c>
      <c r="T44" s="165"/>
      <c r="U44" s="166">
        <f t="shared" si="1"/>
        <v>75318.26999999999</v>
      </c>
      <c r="V44" s="165"/>
      <c r="W44" s="165">
        <f>K10</f>
        <v>376591.35</v>
      </c>
      <c r="X44" s="165"/>
      <c r="Y44" s="165">
        <f>SUM(U$40:U44)</f>
        <v>199524.10099999997</v>
      </c>
      <c r="Z44" s="165"/>
      <c r="AA44" s="166">
        <f t="shared" si="2"/>
        <v>-349.28359999999998</v>
      </c>
      <c r="AB44" s="165"/>
      <c r="AC44" s="166">
        <f>ROUND(SUM(AA$40:AA44),0)</f>
        <v>13983</v>
      </c>
    </row>
    <row r="45" spans="1:29" x14ac:dyDescent="0.3">
      <c r="A45" s="113">
        <f>A44+1</f>
        <v>2022</v>
      </c>
      <c r="C45" s="116">
        <v>5.7599999999999998E-2</v>
      </c>
      <c r="E45" s="166">
        <f>M9</f>
        <v>112839</v>
      </c>
      <c r="F45" s="165"/>
      <c r="G45" s="166">
        <f>C$9*C45</f>
        <v>0</v>
      </c>
      <c r="H45" s="165"/>
      <c r="I45" s="166">
        <f>E$9*C44</f>
        <v>19205.253503999997</v>
      </c>
      <c r="J45" s="166"/>
      <c r="K45" s="166">
        <f>G$9*C43</f>
        <v>11440.389887999998</v>
      </c>
      <c r="L45" s="166"/>
      <c r="M45" s="166">
        <f>I$9*C42</f>
        <v>21229.46688</v>
      </c>
      <c r="N45" s="166"/>
      <c r="O45" s="166">
        <f>K$9*C41</f>
        <v>0</v>
      </c>
      <c r="P45" s="165"/>
      <c r="Q45" s="172">
        <f>M$9*C40</f>
        <v>22567.800000000003</v>
      </c>
      <c r="R45" s="165"/>
      <c r="S45" s="166">
        <f t="shared" si="0"/>
        <v>74442.910271999994</v>
      </c>
      <c r="T45" s="165"/>
      <c r="U45" s="166">
        <f t="shared" si="1"/>
        <v>86602.169999999984</v>
      </c>
      <c r="V45" s="165"/>
      <c r="W45" s="165">
        <f>M10</f>
        <v>489430.35</v>
      </c>
      <c r="X45" s="165"/>
      <c r="Y45" s="165">
        <f>SUM(U$40:U45)</f>
        <v>286126.27099999995</v>
      </c>
      <c r="Z45" s="165"/>
      <c r="AA45" s="166">
        <f t="shared" si="2"/>
        <v>-2553.4445000000001</v>
      </c>
      <c r="AB45" s="165"/>
      <c r="AC45" s="166">
        <f>ROUND(SUM(AA$40:AA45),0)</f>
        <v>11429</v>
      </c>
    </row>
    <row r="46" spans="1:29" x14ac:dyDescent="0.3">
      <c r="A46" s="113">
        <f>A45+1</f>
        <v>2023</v>
      </c>
      <c r="C46" s="116"/>
      <c r="E46" s="166">
        <f>O9</f>
        <v>0</v>
      </c>
      <c r="F46" s="165"/>
      <c r="G46" s="166">
        <f>C$9*C46</f>
        <v>0</v>
      </c>
      <c r="H46" s="165"/>
      <c r="I46" s="166">
        <f>E$9*C45</f>
        <v>9602.6267519999983</v>
      </c>
      <c r="J46" s="166"/>
      <c r="K46" s="166">
        <f>G$9*C44</f>
        <v>11440.389887999998</v>
      </c>
      <c r="L46" s="166"/>
      <c r="M46" s="166">
        <f>I$9*C43</f>
        <v>12737.680128</v>
      </c>
      <c r="N46" s="166"/>
      <c r="O46" s="166">
        <f>K$9*C42</f>
        <v>0</v>
      </c>
      <c r="P46" s="165"/>
      <c r="Q46" s="166">
        <f>M$9*C41</f>
        <v>36108.480000000003</v>
      </c>
      <c r="R46" s="165"/>
      <c r="S46" s="166">
        <f t="shared" si="0"/>
        <v>69889.176768000005</v>
      </c>
      <c r="T46" s="165"/>
      <c r="U46" s="166">
        <f t="shared" si="1"/>
        <v>97886.069999999992</v>
      </c>
      <c r="V46" s="165"/>
      <c r="W46" s="165">
        <f>O10</f>
        <v>489430.35</v>
      </c>
      <c r="X46" s="165"/>
      <c r="Y46" s="165">
        <f>SUM(U$40:U46)</f>
        <v>384012.34099999996</v>
      </c>
      <c r="Z46" s="165"/>
      <c r="AA46" s="166">
        <f t="shared" si="2"/>
        <v>-5879.3476000000001</v>
      </c>
      <c r="AB46" s="165"/>
      <c r="AC46" s="166">
        <f>ROUND(SUM(AA$40:AA46),0)</f>
        <v>5550</v>
      </c>
    </row>
    <row r="47" spans="1:29" x14ac:dyDescent="0.3">
      <c r="A47" s="113">
        <f>A46+1</f>
        <v>2024</v>
      </c>
      <c r="C47" s="116"/>
      <c r="E47" s="166">
        <f>Q9</f>
        <v>0</v>
      </c>
      <c r="F47" s="165"/>
      <c r="G47" s="166">
        <f>C$9*C47</f>
        <v>0</v>
      </c>
      <c r="H47" s="165"/>
      <c r="I47" s="166">
        <f>E$9*C46</f>
        <v>0</v>
      </c>
      <c r="J47" s="166"/>
      <c r="K47" s="166">
        <f>G$9*C45</f>
        <v>5720.1949439999989</v>
      </c>
      <c r="L47" s="166"/>
      <c r="M47" s="166">
        <f>I$9*C44</f>
        <v>12737.680128</v>
      </c>
      <c r="N47" s="166"/>
      <c r="O47" s="166">
        <f>K$9*C43</f>
        <v>0</v>
      </c>
      <c r="P47" s="165"/>
      <c r="Q47" s="166">
        <f>M$9*C42</f>
        <v>21665.088</v>
      </c>
      <c r="R47" s="165"/>
      <c r="S47" s="166">
        <f t="shared" si="0"/>
        <v>40122.963071999999</v>
      </c>
      <c r="T47" s="165"/>
      <c r="U47" s="166">
        <f t="shared" si="1"/>
        <v>97886.069999999992</v>
      </c>
      <c r="V47" s="165"/>
      <c r="W47" s="165">
        <f>Q10</f>
        <v>489430.35</v>
      </c>
      <c r="X47" s="165"/>
      <c r="Y47" s="165">
        <f>SUM(U$40:U47)</f>
        <v>481898.41099999996</v>
      </c>
      <c r="Z47" s="165"/>
      <c r="AA47" s="166">
        <f t="shared" si="2"/>
        <v>-12130.252500000001</v>
      </c>
      <c r="AB47" s="165"/>
      <c r="AC47" s="166">
        <f>ROUND(SUM(AA$40:AA47),0)</f>
        <v>-6580</v>
      </c>
    </row>
    <row r="48" spans="1:29" x14ac:dyDescent="0.3">
      <c r="A48" s="113">
        <f>A47+1</f>
        <v>2025</v>
      </c>
      <c r="C48" s="120"/>
      <c r="E48" s="168">
        <f>S9</f>
        <v>0</v>
      </c>
      <c r="F48" s="165"/>
      <c r="G48" s="168">
        <f>C$9*C48</f>
        <v>0</v>
      </c>
      <c r="H48" s="165"/>
      <c r="I48" s="168">
        <f>E$9*C47</f>
        <v>0</v>
      </c>
      <c r="J48" s="168"/>
      <c r="K48" s="168">
        <f>G$9*C46</f>
        <v>0</v>
      </c>
      <c r="L48" s="168"/>
      <c r="M48" s="168">
        <f>I$9*C45</f>
        <v>6368.840064</v>
      </c>
      <c r="N48" s="168"/>
      <c r="O48" s="168">
        <f>K$9*C44</f>
        <v>0</v>
      </c>
      <c r="P48" s="165"/>
      <c r="Q48" s="166">
        <f>M$9*C43</f>
        <v>12999.052799999999</v>
      </c>
      <c r="R48" s="165"/>
      <c r="S48" s="166">
        <f t="shared" si="0"/>
        <v>19367.892864000001</v>
      </c>
      <c r="T48" s="165"/>
      <c r="U48" s="167">
        <f>IF(Y47+W47/C$34+E48/C$34/2&lt;W47,Y47+W47/C$34+E48/C$34/2,W47-Y47)</f>
        <v>7531.939000000013</v>
      </c>
      <c r="V48" s="165"/>
      <c r="W48" s="165">
        <f>S10</f>
        <v>489430.35</v>
      </c>
      <c r="X48" s="165"/>
      <c r="Y48" s="165">
        <f>SUM(U$40:U48)</f>
        <v>489430.35</v>
      </c>
      <c r="Z48" s="165"/>
      <c r="AA48" s="166">
        <f t="shared" si="2"/>
        <v>2485.5502999999999</v>
      </c>
      <c r="AB48" s="165"/>
      <c r="AC48" s="166">
        <f>ROUND(SUM(AA$40:AA48),0)</f>
        <v>-4095</v>
      </c>
    </row>
    <row r="49" spans="1:29" x14ac:dyDescent="0.3">
      <c r="A49" s="113">
        <f>A48+1</f>
        <v>2026</v>
      </c>
      <c r="C49" s="120"/>
      <c r="E49" s="168">
        <f>U9</f>
        <v>0</v>
      </c>
      <c r="F49" s="165"/>
      <c r="G49" s="168">
        <f>C$9*C49</f>
        <v>0</v>
      </c>
      <c r="H49" s="165"/>
      <c r="I49" s="168">
        <f>E$9*C48</f>
        <v>0</v>
      </c>
      <c r="J49" s="168"/>
      <c r="K49" s="168">
        <f>G$9*C47</f>
        <v>0</v>
      </c>
      <c r="L49" s="168"/>
      <c r="M49" s="168">
        <f>I$9*C46</f>
        <v>0</v>
      </c>
      <c r="N49" s="168"/>
      <c r="O49" s="168">
        <f>K$9*C45</f>
        <v>0</v>
      </c>
      <c r="P49" s="165"/>
      <c r="Q49" s="166">
        <f>M$9*C44</f>
        <v>12999.052799999999</v>
      </c>
      <c r="R49" s="165"/>
      <c r="S49" s="166">
        <f t="shared" si="0"/>
        <v>12999.052799999999</v>
      </c>
      <c r="T49" s="165"/>
      <c r="U49" s="167">
        <f>IF(Y48+W48/C$34+E49/C$34/2&lt;W48,Y48+W48/C$34+E49/C$34/2,W48-Y48)</f>
        <v>0</v>
      </c>
      <c r="V49" s="165"/>
      <c r="W49" s="165">
        <f>U10</f>
        <v>489430.35</v>
      </c>
      <c r="X49" s="165"/>
      <c r="Y49" s="165">
        <f>SUM(U$40:U49)</f>
        <v>489430.35</v>
      </c>
      <c r="Z49" s="165"/>
      <c r="AA49" s="166">
        <f t="shared" si="2"/>
        <v>2729.8011000000001</v>
      </c>
      <c r="AB49" s="165"/>
      <c r="AC49" s="166">
        <f>ROUND(SUM(AA$40:AA49),0)</f>
        <v>-1365</v>
      </c>
    </row>
    <row r="50" spans="1:29" x14ac:dyDescent="0.3">
      <c r="A50" s="119">
        <f>A49+1</f>
        <v>2027</v>
      </c>
      <c r="B50" s="117"/>
      <c r="C50" s="118"/>
      <c r="D50" s="117"/>
      <c r="E50" s="169"/>
      <c r="F50" s="170"/>
      <c r="G50" s="169">
        <f>C$9*C50</f>
        <v>0</v>
      </c>
      <c r="H50" s="170"/>
      <c r="I50" s="169">
        <f>E$9*C49</f>
        <v>0</v>
      </c>
      <c r="J50" s="169"/>
      <c r="K50" s="169">
        <f>G$9*C48</f>
        <v>0</v>
      </c>
      <c r="L50" s="169"/>
      <c r="M50" s="169">
        <f>I$9*C47</f>
        <v>0</v>
      </c>
      <c r="N50" s="169"/>
      <c r="O50" s="169">
        <f>K$9*C46</f>
        <v>0</v>
      </c>
      <c r="P50" s="170"/>
      <c r="Q50" s="166">
        <f>M$9*C45</f>
        <v>6499.5263999999997</v>
      </c>
      <c r="R50" s="170"/>
      <c r="S50" s="166">
        <f t="shared" si="0"/>
        <v>6499.5263999999997</v>
      </c>
      <c r="T50" s="170"/>
      <c r="U50" s="167">
        <f>IF(Y49+W49/C$34+E50/C$34/2&lt;W49,Y49+W49/C$34+E50/C$34/2,W49-Y49)</f>
        <v>0</v>
      </c>
      <c r="V50" s="170"/>
      <c r="W50" s="169">
        <f>W49</f>
        <v>489430.35</v>
      </c>
      <c r="X50" s="170"/>
      <c r="Y50" s="170">
        <f>SUM(U$40:U50)</f>
        <v>489430.35</v>
      </c>
      <c r="Z50" s="170"/>
      <c r="AA50" s="169">
        <f t="shared" si="2"/>
        <v>1364.9005</v>
      </c>
      <c r="AB50" s="170"/>
      <c r="AC50" s="169">
        <f>ROUND(SUM(AA$40:AA50),0)</f>
        <v>0</v>
      </c>
    </row>
    <row r="51" spans="1:29" x14ac:dyDescent="0.3">
      <c r="A51" s="113"/>
      <c r="C51" s="137">
        <f>SUM(C40:C50)</f>
        <v>0.99999999999999989</v>
      </c>
      <c r="E51" s="171">
        <f>SUM(E40:E50)</f>
        <v>489430.35</v>
      </c>
      <c r="F51" s="163"/>
      <c r="G51" s="171">
        <f>SUM(G40:G50)</f>
        <v>0</v>
      </c>
      <c r="H51" s="163"/>
      <c r="I51" s="171">
        <f>SUM(I40:I50)</f>
        <v>166712.26999999999</v>
      </c>
      <c r="J51" s="172"/>
      <c r="K51" s="171">
        <f>SUM(K40:K50)</f>
        <v>99308.939999999988</v>
      </c>
      <c r="L51" s="172"/>
      <c r="M51" s="171">
        <f>SUM(M40:M50)</f>
        <v>110570.14000000003</v>
      </c>
      <c r="N51" s="172"/>
      <c r="O51" s="171">
        <f>SUM(O40:O50)</f>
        <v>0</v>
      </c>
      <c r="P51" s="163"/>
      <c r="Q51" s="171">
        <f>SUM(Q40:Q50)</f>
        <v>112839.00000000001</v>
      </c>
      <c r="R51" s="163"/>
      <c r="S51" s="171">
        <f>SUM(S40:S50)</f>
        <v>489430.35</v>
      </c>
      <c r="T51" s="163"/>
      <c r="U51" s="171">
        <f>SUM(U40:U50)</f>
        <v>489430.35</v>
      </c>
      <c r="V51" s="163"/>
      <c r="W51" s="163"/>
      <c r="X51" s="163"/>
      <c r="Y51" s="163"/>
      <c r="Z51" s="163"/>
      <c r="AA51" s="171">
        <f>SUM(AA40:AA50)</f>
        <v>-1.0000000133914E-4</v>
      </c>
      <c r="AB51" s="163"/>
      <c r="AC51" s="171"/>
    </row>
    <row r="52" spans="1:29" x14ac:dyDescent="0.3">
      <c r="A52" s="113"/>
      <c r="C52" s="112"/>
      <c r="G52" s="107"/>
      <c r="I52" s="107"/>
      <c r="J52" s="107"/>
      <c r="K52" s="107"/>
      <c r="L52" s="107"/>
      <c r="M52" s="107"/>
      <c r="N52" s="107"/>
      <c r="O52" s="107"/>
      <c r="Q52" s="114"/>
      <c r="S52" s="107"/>
      <c r="W52" s="114"/>
      <c r="Y52" s="107"/>
    </row>
    <row r="53" spans="1:29" x14ac:dyDescent="0.3">
      <c r="A53" s="113"/>
      <c r="C53" s="112"/>
      <c r="G53" s="107"/>
      <c r="I53" s="107"/>
      <c r="J53" s="107"/>
      <c r="K53" s="107"/>
      <c r="L53" s="107"/>
      <c r="M53" s="107"/>
      <c r="N53" s="107"/>
      <c r="O53" s="107"/>
      <c r="Q53" s="114"/>
      <c r="S53" s="107"/>
      <c r="W53" s="114"/>
      <c r="Y53" s="107"/>
    </row>
    <row r="54" spans="1:29" x14ac:dyDescent="0.3">
      <c r="A54" s="113"/>
      <c r="C54" s="112"/>
      <c r="E54" s="107"/>
      <c r="G54" s="107"/>
      <c r="H54" s="107"/>
      <c r="I54" s="107"/>
      <c r="J54" s="107"/>
      <c r="K54" s="107"/>
      <c r="L54" s="107"/>
      <c r="M54" s="107"/>
      <c r="O54" s="114"/>
      <c r="Q54" s="115"/>
      <c r="U54" s="114"/>
      <c r="W54" s="107"/>
    </row>
    <row r="55" spans="1:29" x14ac:dyDescent="0.3">
      <c r="A55" s="113"/>
      <c r="C55" s="112"/>
      <c r="E55" s="107"/>
    </row>
    <row r="56" spans="1:29" x14ac:dyDescent="0.3">
      <c r="A56" s="111"/>
    </row>
    <row r="57" spans="1:29" x14ac:dyDescent="0.3">
      <c r="A57" s="111"/>
    </row>
    <row r="58" spans="1:29" x14ac:dyDescent="0.3">
      <c r="A58" s="111"/>
    </row>
    <row r="59" spans="1:29" x14ac:dyDescent="0.3">
      <c r="A59" s="111"/>
    </row>
  </sheetData>
  <mergeCells count="3">
    <mergeCell ref="C6:U6"/>
    <mergeCell ref="C19:U19"/>
    <mergeCell ref="G37:Q37"/>
  </mergeCells>
  <pageMargins left="0.7" right="0.7" top="0.75" bottom="0.75" header="0.3" footer="0.3"/>
  <pageSetup scale="43" orientation="landscape" r:id="rId1"/>
  <headerFooter>
    <oddHeader>&amp;R&amp;"Times New Roman,Bold"&amp;10KyPSC Case No. 2021-00190
AG-DR-01-019(e) Attachment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O260"/>
  <sheetViews>
    <sheetView zoomScaleNormal="100" workbookViewId="0">
      <selection activeCell="I30" sqref="I30"/>
    </sheetView>
  </sheetViews>
  <sheetFormatPr defaultColWidth="12.5546875" defaultRowHeight="15.6" x14ac:dyDescent="0.3"/>
  <cols>
    <col min="1" max="1" width="8" style="2" customWidth="1"/>
    <col min="2" max="3" width="15.6640625" style="2" customWidth="1"/>
    <col min="4" max="4" width="44.88671875" style="2" customWidth="1"/>
    <col min="5" max="7" width="18.6640625" style="2" customWidth="1"/>
    <col min="8" max="12" width="20.33203125" style="2" customWidth="1"/>
    <col min="13" max="13" width="2.33203125" style="2" customWidth="1"/>
    <col min="14" max="14" width="12.5546875" style="2"/>
    <col min="15" max="15" width="15.109375" style="2" customWidth="1"/>
    <col min="16" max="16" width="12.5546875" style="2"/>
    <col min="17" max="17" width="52.44140625" style="2" customWidth="1"/>
    <col min="18" max="20" width="20.33203125" style="2" customWidth="1"/>
    <col min="21" max="21" width="2.33203125" style="2" customWidth="1"/>
    <col min="22" max="22" width="12.5546875" style="2"/>
    <col min="23" max="23" width="15.109375" style="2" customWidth="1"/>
    <col min="24" max="24" width="12.5546875" style="2"/>
    <col min="25" max="25" width="65.33203125" style="2" customWidth="1"/>
    <col min="26" max="30" width="20.33203125" style="2" customWidth="1"/>
    <col min="31" max="31" width="33.109375" style="2" customWidth="1"/>
    <col min="32" max="32" width="20.33203125" style="2" customWidth="1"/>
    <col min="33" max="33" width="2.33203125" style="2" customWidth="1"/>
    <col min="34" max="34" width="15.109375" style="2" customWidth="1"/>
    <col min="35" max="40" width="22.88671875" style="2" customWidth="1"/>
    <col min="41" max="41" width="26.6640625" style="2" customWidth="1"/>
    <col min="42" max="42" width="22.88671875" style="2" customWidth="1"/>
    <col min="43" max="43" width="20.33203125" style="2" customWidth="1"/>
    <col min="44" max="44" width="2.33203125" style="2" customWidth="1"/>
    <col min="45" max="45" width="26.6640625" style="2" customWidth="1"/>
    <col min="46" max="46" width="37" style="2" customWidth="1"/>
    <col min="47" max="47" width="46" style="2" customWidth="1"/>
    <col min="48" max="50" width="15.109375" style="2" customWidth="1"/>
    <col min="51" max="51" width="26.6640625" style="2" customWidth="1"/>
    <col min="52" max="52" width="15.109375" style="2" customWidth="1"/>
    <col min="53" max="53" width="2.33203125" style="2" customWidth="1"/>
    <col min="54" max="54" width="10" style="2" customWidth="1"/>
    <col min="55" max="55" width="12.5546875" style="2"/>
    <col min="56" max="56" width="39.5546875" style="2" customWidth="1"/>
    <col min="57" max="57" width="16.44140625" style="2" customWidth="1"/>
    <col min="58" max="60" width="20.33203125" style="2" customWidth="1"/>
    <col min="61" max="62" width="16.44140625" style="2" customWidth="1"/>
    <col min="63" max="63" width="26.6640625" style="2" customWidth="1"/>
    <col min="64" max="64" width="39.5546875" style="2" customWidth="1"/>
    <col min="65" max="65" width="12.5546875" style="2"/>
    <col min="66" max="66" width="16.44140625" style="2" customWidth="1"/>
    <col min="67" max="67" width="17.6640625" style="2" customWidth="1"/>
    <col min="68" max="16384" width="12.5546875" style="2"/>
  </cols>
  <sheetData>
    <row r="1" spans="1:67" ht="18" x14ac:dyDescent="0.35">
      <c r="A1" s="150" t="s">
        <v>47</v>
      </c>
      <c r="B1" s="151"/>
      <c r="C1" s="151"/>
      <c r="D1" s="151"/>
      <c r="E1" s="151"/>
      <c r="F1" s="151"/>
      <c r="G1" s="151"/>
      <c r="BN1" s="3"/>
      <c r="BO1" s="3"/>
    </row>
    <row r="2" spans="1:67" ht="18" x14ac:dyDescent="0.35">
      <c r="A2" s="150" t="s">
        <v>63</v>
      </c>
      <c r="B2" s="151"/>
      <c r="C2" s="151"/>
      <c r="D2" s="151"/>
      <c r="E2" s="151"/>
      <c r="F2" s="151"/>
      <c r="G2" s="151"/>
      <c r="BN2" s="3"/>
      <c r="BO2" s="3"/>
    </row>
    <row r="3" spans="1:67" ht="16.2" thickBot="1" x14ac:dyDescent="0.35">
      <c r="A3" s="4"/>
      <c r="B3" s="4"/>
      <c r="C3" s="4"/>
      <c r="D3" s="4"/>
      <c r="E3" s="4"/>
      <c r="F3" s="5"/>
      <c r="G3" s="4"/>
      <c r="BN3" s="3"/>
      <c r="BO3" s="3"/>
    </row>
    <row r="4" spans="1:67" x14ac:dyDescent="0.3">
      <c r="A4" s="6"/>
      <c r="B4" s="6"/>
      <c r="C4" s="6"/>
      <c r="D4" s="6"/>
      <c r="E4" s="6"/>
      <c r="F4" s="6"/>
      <c r="G4" s="6"/>
      <c r="BN4" s="3"/>
      <c r="BO4" s="3"/>
    </row>
    <row r="5" spans="1:6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BN5" s="3"/>
      <c r="BO5" s="3"/>
    </row>
    <row r="6" spans="1:67" x14ac:dyDescent="0.3">
      <c r="A6" s="152" t="s">
        <v>52</v>
      </c>
      <c r="B6" s="153" t="s">
        <v>50</v>
      </c>
      <c r="C6" s="154"/>
      <c r="D6" s="8"/>
      <c r="E6" s="8"/>
      <c r="F6" s="8"/>
      <c r="G6" s="9" t="s">
        <v>46</v>
      </c>
    </row>
    <row r="7" spans="1:67" ht="17.399999999999999" x14ac:dyDescent="0.3">
      <c r="A7" s="152"/>
      <c r="B7" s="10" t="s">
        <v>51</v>
      </c>
      <c r="C7" s="10" t="s">
        <v>45</v>
      </c>
      <c r="D7" s="10" t="s">
        <v>53</v>
      </c>
      <c r="E7" s="10" t="s">
        <v>54</v>
      </c>
      <c r="F7" s="11" t="s">
        <v>57</v>
      </c>
      <c r="G7" s="12" t="s">
        <v>55</v>
      </c>
    </row>
    <row r="9" spans="1:67" x14ac:dyDescent="0.3">
      <c r="B9" s="149" t="s">
        <v>56</v>
      </c>
      <c r="C9" s="149"/>
      <c r="D9" s="149"/>
    </row>
    <row r="10" spans="1:67" x14ac:dyDescent="0.3">
      <c r="A10" s="14">
        <f>MAX(A9:A$9)+1</f>
        <v>1</v>
      </c>
      <c r="B10" s="15">
        <v>360</v>
      </c>
      <c r="C10" s="14">
        <v>3600</v>
      </c>
      <c r="D10" s="16" t="s">
        <v>19</v>
      </c>
      <c r="E10" s="34">
        <v>13811257.98</v>
      </c>
      <c r="F10" s="34"/>
      <c r="G10" s="22">
        <f>+E10+F10</f>
        <v>13811257.98</v>
      </c>
    </row>
    <row r="11" spans="1:67" x14ac:dyDescent="0.3">
      <c r="A11" s="14">
        <f>MAX(A$9:A10)+1</f>
        <v>2</v>
      </c>
      <c r="B11" s="15">
        <v>360</v>
      </c>
      <c r="C11" s="14">
        <v>3601</v>
      </c>
      <c r="D11" s="16" t="s">
        <v>20</v>
      </c>
      <c r="E11" s="24">
        <v>26233545.710000001</v>
      </c>
      <c r="F11" s="24"/>
      <c r="G11" s="17">
        <f t="shared" ref="G11:G33" si="0">+E11+F11</f>
        <v>26233545.710000001</v>
      </c>
    </row>
    <row r="12" spans="1:67" x14ac:dyDescent="0.3">
      <c r="A12" s="14">
        <f>MAX(A$9:A11)+1</f>
        <v>3</v>
      </c>
      <c r="B12" s="15">
        <v>361</v>
      </c>
      <c r="C12" s="14">
        <v>3610</v>
      </c>
      <c r="D12" s="16" t="s">
        <v>21</v>
      </c>
      <c r="E12" s="24">
        <v>17295205.030000001</v>
      </c>
      <c r="F12" s="24"/>
      <c r="G12" s="17">
        <f t="shared" si="0"/>
        <v>17295205.030000001</v>
      </c>
    </row>
    <row r="13" spans="1:67" x14ac:dyDescent="0.3">
      <c r="A13" s="14">
        <f>MAX(A$9:A12)+1</f>
        <v>4</v>
      </c>
      <c r="B13" s="15">
        <v>362</v>
      </c>
      <c r="C13" s="14">
        <v>3620</v>
      </c>
      <c r="D13" s="16" t="s">
        <v>22</v>
      </c>
      <c r="E13" s="24">
        <v>206982425.69999999</v>
      </c>
      <c r="F13" s="24">
        <v>-30848428</v>
      </c>
      <c r="G13" s="17">
        <f t="shared" si="0"/>
        <v>176133997.69999999</v>
      </c>
    </row>
    <row r="14" spans="1:67" x14ac:dyDescent="0.3">
      <c r="A14" s="14">
        <f>MAX(A$9:A13)+1</f>
        <v>5</v>
      </c>
      <c r="B14" s="15">
        <v>362</v>
      </c>
      <c r="C14" s="14">
        <v>3622</v>
      </c>
      <c r="D14" s="16" t="s">
        <v>23</v>
      </c>
      <c r="E14" s="24">
        <v>110602629.66</v>
      </c>
      <c r="F14" s="24">
        <v>-3617026</v>
      </c>
      <c r="G14" s="17">
        <f t="shared" si="0"/>
        <v>106985603.66</v>
      </c>
    </row>
    <row r="15" spans="1:67" x14ac:dyDescent="0.3">
      <c r="A15" s="14">
        <f>MAX(A$9:A14)+1</f>
        <v>6</v>
      </c>
      <c r="B15" s="18">
        <v>362</v>
      </c>
      <c r="C15" s="19">
        <v>3635</v>
      </c>
      <c r="D15" s="20" t="s">
        <v>24</v>
      </c>
      <c r="E15" s="24">
        <v>918431.52</v>
      </c>
      <c r="F15" s="24">
        <v>-917190</v>
      </c>
      <c r="G15" s="17">
        <f t="shared" si="0"/>
        <v>1241.5200000000186</v>
      </c>
    </row>
    <row r="16" spans="1:67" x14ac:dyDescent="0.3">
      <c r="A16" s="14">
        <f>MAX(A$9:A15)+1</f>
        <v>7</v>
      </c>
      <c r="B16" s="15">
        <v>364</v>
      </c>
      <c r="C16" s="14">
        <v>3640</v>
      </c>
      <c r="D16" s="16" t="s">
        <v>25</v>
      </c>
      <c r="E16" s="24">
        <v>285124441.00999999</v>
      </c>
      <c r="F16" s="24">
        <v>-3581655</v>
      </c>
      <c r="G16" s="17">
        <f t="shared" si="0"/>
        <v>281542786.00999999</v>
      </c>
    </row>
    <row r="17" spans="1:7" x14ac:dyDescent="0.3">
      <c r="A17" s="14">
        <f>MAX(A$9:A16)+1</f>
        <v>8</v>
      </c>
      <c r="B17" s="15">
        <v>365</v>
      </c>
      <c r="C17" s="14" t="s">
        <v>26</v>
      </c>
      <c r="D17" s="16" t="s">
        <v>27</v>
      </c>
      <c r="E17" s="24">
        <f>496532259.14+14966620.14</f>
        <v>511498879.27999997</v>
      </c>
      <c r="F17" s="24">
        <v>-28765939</v>
      </c>
      <c r="G17" s="17">
        <f t="shared" si="0"/>
        <v>482732940.27999997</v>
      </c>
    </row>
    <row r="18" spans="1:7" x14ac:dyDescent="0.3">
      <c r="A18" s="14">
        <f>MAX(A$9:A17)+1</f>
        <v>9</v>
      </c>
      <c r="B18" s="15">
        <v>366</v>
      </c>
      <c r="C18" s="14">
        <v>3660</v>
      </c>
      <c r="D18" s="16" t="s">
        <v>28</v>
      </c>
      <c r="E18" s="24">
        <v>99489609.010000005</v>
      </c>
      <c r="F18" s="24"/>
      <c r="G18" s="17">
        <f t="shared" si="0"/>
        <v>99489609.010000005</v>
      </c>
    </row>
    <row r="19" spans="1:7" x14ac:dyDescent="0.3">
      <c r="A19" s="14">
        <f>MAX(A$9:A18)+1</f>
        <v>10</v>
      </c>
      <c r="B19" s="15">
        <v>367</v>
      </c>
      <c r="C19" s="14">
        <v>3670</v>
      </c>
      <c r="D19" s="16" t="s">
        <v>29</v>
      </c>
      <c r="E19" s="24">
        <v>311123111.23000002</v>
      </c>
      <c r="F19" s="24"/>
      <c r="G19" s="17">
        <f t="shared" si="0"/>
        <v>311123111.23000002</v>
      </c>
    </row>
    <row r="20" spans="1:7" x14ac:dyDescent="0.3">
      <c r="A20" s="14">
        <f>MAX(A$9:A19)+1</f>
        <v>11</v>
      </c>
      <c r="B20" s="15">
        <v>368</v>
      </c>
      <c r="C20" s="14" t="s">
        <v>30</v>
      </c>
      <c r="D20" s="16" t="s">
        <v>31</v>
      </c>
      <c r="E20" s="24">
        <v>334454432.89999998</v>
      </c>
      <c r="F20" s="24"/>
      <c r="G20" s="17">
        <f t="shared" si="0"/>
        <v>334454432.89999998</v>
      </c>
    </row>
    <row r="21" spans="1:7" x14ac:dyDescent="0.3">
      <c r="A21" s="14">
        <f>MAX(A$9:A20)+1</f>
        <v>12</v>
      </c>
      <c r="B21" s="15">
        <v>368</v>
      </c>
      <c r="C21" s="14">
        <v>3682</v>
      </c>
      <c r="D21" s="16" t="s">
        <v>32</v>
      </c>
      <c r="E21" s="24">
        <v>5183057</v>
      </c>
      <c r="F21" s="24"/>
      <c r="G21" s="17">
        <f t="shared" si="0"/>
        <v>5183057</v>
      </c>
    </row>
    <row r="22" spans="1:7" x14ac:dyDescent="0.3">
      <c r="A22" s="14">
        <f>MAX(A$9:A21)+1</f>
        <v>13</v>
      </c>
      <c r="B22" s="15">
        <v>369</v>
      </c>
      <c r="C22" s="14">
        <v>3691</v>
      </c>
      <c r="D22" s="16" t="s">
        <v>33</v>
      </c>
      <c r="E22" s="24">
        <v>5923249.4800000004</v>
      </c>
      <c r="F22" s="24"/>
      <c r="G22" s="17">
        <f t="shared" si="0"/>
        <v>5923249.4800000004</v>
      </c>
    </row>
    <row r="23" spans="1:7" x14ac:dyDescent="0.3">
      <c r="A23" s="14">
        <f>MAX(A$9:A22)+1</f>
        <v>14</v>
      </c>
      <c r="B23" s="15">
        <v>369</v>
      </c>
      <c r="C23" s="14">
        <v>3692</v>
      </c>
      <c r="D23" s="16" t="s">
        <v>34</v>
      </c>
      <c r="E23" s="24">
        <v>76284822.540000007</v>
      </c>
      <c r="F23" s="24"/>
      <c r="G23" s="17">
        <f t="shared" si="0"/>
        <v>76284822.540000007</v>
      </c>
    </row>
    <row r="24" spans="1:7" x14ac:dyDescent="0.3">
      <c r="A24" s="14">
        <f>MAX(A$9:A23)+1</f>
        <v>15</v>
      </c>
      <c r="B24" s="15">
        <v>370</v>
      </c>
      <c r="C24" s="14">
        <v>3700</v>
      </c>
      <c r="D24" s="16" t="s">
        <v>35</v>
      </c>
      <c r="E24" s="24">
        <f>6038206.97+6485042.98</f>
        <v>12523249.949999999</v>
      </c>
      <c r="F24" s="24"/>
      <c r="G24" s="17">
        <f t="shared" si="0"/>
        <v>12523249.949999999</v>
      </c>
    </row>
    <row r="25" spans="1:7" x14ac:dyDescent="0.3">
      <c r="A25" s="14">
        <f>MAX(A$9:A24)+1</f>
        <v>16</v>
      </c>
      <c r="B25" s="18">
        <v>370</v>
      </c>
      <c r="C25" s="19">
        <v>3701</v>
      </c>
      <c r="D25" s="20" t="s">
        <v>36</v>
      </c>
      <c r="E25" s="24">
        <f>10217982.08+5983622.14</f>
        <v>16201604.219999999</v>
      </c>
      <c r="F25" s="24"/>
      <c r="G25" s="17">
        <f t="shared" si="0"/>
        <v>16201604.219999999</v>
      </c>
    </row>
    <row r="26" spans="1:7" x14ac:dyDescent="0.3">
      <c r="A26" s="14">
        <f>MAX(A$9:A25)+1</f>
        <v>17</v>
      </c>
      <c r="B26" s="18">
        <v>370</v>
      </c>
      <c r="C26" s="19">
        <v>3702</v>
      </c>
      <c r="D26" s="20" t="s">
        <v>37</v>
      </c>
      <c r="E26" s="24">
        <v>65188887.079999998</v>
      </c>
      <c r="F26" s="24">
        <f>-E26</f>
        <v>-65188887.079999998</v>
      </c>
      <c r="G26" s="17">
        <f t="shared" si="0"/>
        <v>0</v>
      </c>
    </row>
    <row r="27" spans="1:7" x14ac:dyDescent="0.3">
      <c r="A27" s="14">
        <f>MAX(A$9:A26)+1</f>
        <v>18</v>
      </c>
      <c r="B27" s="18">
        <v>371</v>
      </c>
      <c r="C27" s="19">
        <v>3710</v>
      </c>
      <c r="D27" s="20" t="s">
        <v>38</v>
      </c>
      <c r="E27" s="24">
        <v>4658801.83</v>
      </c>
      <c r="F27" s="24"/>
      <c r="G27" s="17">
        <f t="shared" si="0"/>
        <v>4658801.83</v>
      </c>
    </row>
    <row r="28" spans="1:7" x14ac:dyDescent="0.3">
      <c r="A28" s="14">
        <f>MAX(A$9:A27)+1</f>
        <v>19</v>
      </c>
      <c r="B28" s="18">
        <v>371</v>
      </c>
      <c r="C28" s="19">
        <v>3712</v>
      </c>
      <c r="D28" s="20" t="s">
        <v>48</v>
      </c>
      <c r="E28" s="24">
        <v>1016162.03</v>
      </c>
      <c r="F28" s="24">
        <f>-E28</f>
        <v>-1016162.03</v>
      </c>
      <c r="G28" s="17">
        <f t="shared" si="0"/>
        <v>0</v>
      </c>
    </row>
    <row r="29" spans="1:7" x14ac:dyDescent="0.3">
      <c r="A29" s="14">
        <f>MAX(A$9:A28)+1</f>
        <v>20</v>
      </c>
      <c r="B29" s="18">
        <v>372</v>
      </c>
      <c r="C29" s="19">
        <v>3720</v>
      </c>
      <c r="D29" s="20" t="s">
        <v>39</v>
      </c>
      <c r="E29" s="24">
        <v>102503</v>
      </c>
      <c r="F29" s="24"/>
      <c r="G29" s="17">
        <f t="shared" si="0"/>
        <v>102503</v>
      </c>
    </row>
    <row r="30" spans="1:7" x14ac:dyDescent="0.3">
      <c r="A30" s="14">
        <f>MAX(A$9:A29)+1</f>
        <v>21</v>
      </c>
      <c r="B30" s="18">
        <v>373</v>
      </c>
      <c r="C30" s="19" t="s">
        <v>40</v>
      </c>
      <c r="D30" s="20" t="s">
        <v>49</v>
      </c>
      <c r="E30" s="24">
        <f>4690589.43+15760319.02</f>
        <v>20450908.449999999</v>
      </c>
      <c r="F30" s="24"/>
      <c r="G30" s="17">
        <f t="shared" si="0"/>
        <v>20450908.449999999</v>
      </c>
    </row>
    <row r="31" spans="1:7" x14ac:dyDescent="0.3">
      <c r="A31" s="14">
        <f>MAX(A$9:A30)+1</f>
        <v>22</v>
      </c>
      <c r="B31" s="18">
        <v>373</v>
      </c>
      <c r="C31" s="19">
        <v>3732</v>
      </c>
      <c r="D31" s="20" t="s">
        <v>42</v>
      </c>
      <c r="E31" s="24">
        <v>27635978.190000001</v>
      </c>
      <c r="F31" s="24"/>
      <c r="G31" s="17">
        <f t="shared" si="0"/>
        <v>27635978.190000001</v>
      </c>
    </row>
    <row r="32" spans="1:7" x14ac:dyDescent="0.3">
      <c r="A32" s="14">
        <f>MAX(A$9:A31)+1</f>
        <v>23</v>
      </c>
      <c r="B32" s="18">
        <v>373</v>
      </c>
      <c r="C32" s="19">
        <v>3733</v>
      </c>
      <c r="D32" s="20" t="s">
        <v>43</v>
      </c>
      <c r="E32" s="24">
        <v>15084071.32</v>
      </c>
      <c r="F32" s="24"/>
      <c r="G32" s="17">
        <f t="shared" si="0"/>
        <v>15084071.32</v>
      </c>
    </row>
    <row r="33" spans="1:7" x14ac:dyDescent="0.3">
      <c r="A33" s="14">
        <f>MAX(A$9:A32)+1</f>
        <v>24</v>
      </c>
      <c r="B33" s="18">
        <v>373</v>
      </c>
      <c r="C33" s="19">
        <v>3734</v>
      </c>
      <c r="D33" s="20" t="s">
        <v>44</v>
      </c>
      <c r="E33" s="24">
        <v>6225676.25</v>
      </c>
      <c r="F33" s="24">
        <f>-E33</f>
        <v>-6225676.25</v>
      </c>
      <c r="G33" s="17">
        <f t="shared" si="0"/>
        <v>0</v>
      </c>
    </row>
    <row r="34" spans="1:7" x14ac:dyDescent="0.3">
      <c r="A34" s="14"/>
      <c r="B34" s="18"/>
      <c r="C34" s="19"/>
      <c r="D34" s="20"/>
      <c r="E34" s="78"/>
      <c r="F34" s="78"/>
      <c r="G34" s="78"/>
    </row>
    <row r="35" spans="1:7" ht="16.2" thickBot="1" x14ac:dyDescent="0.35">
      <c r="A35" s="14">
        <f>MAX(A$9:A33)+1</f>
        <v>25</v>
      </c>
      <c r="C35" s="13"/>
      <c r="D35" s="13"/>
      <c r="E35" s="29">
        <f>SUM(E10:E33)</f>
        <v>2174012940.3699999</v>
      </c>
      <c r="F35" s="29">
        <f>SUM(F10:F33)</f>
        <v>-140160963.36000001</v>
      </c>
      <c r="G35" s="29">
        <f>SUM(G10:G33)</f>
        <v>2033851977.0099998</v>
      </c>
    </row>
    <row r="36" spans="1:7" ht="16.2" thickTop="1" x14ac:dyDescent="0.3">
      <c r="A36" s="80"/>
      <c r="B36" s="80"/>
      <c r="C36" s="80"/>
      <c r="D36" s="80"/>
      <c r="E36" s="80"/>
      <c r="F36" s="80"/>
      <c r="G36" s="80"/>
    </row>
    <row r="37" spans="1:7" x14ac:dyDescent="0.3">
      <c r="A37" s="61"/>
    </row>
    <row r="38" spans="1:7" x14ac:dyDescent="0.3">
      <c r="B38" s="79" t="s">
        <v>70</v>
      </c>
    </row>
    <row r="187" spans="2:2" x14ac:dyDescent="0.3">
      <c r="B187" s="3"/>
    </row>
    <row r="188" spans="2:2" x14ac:dyDescent="0.3">
      <c r="B188" s="3"/>
    </row>
    <row r="189" spans="2:2" x14ac:dyDescent="0.3">
      <c r="B189" s="3"/>
    </row>
    <row r="190" spans="2:2" x14ac:dyDescent="0.3">
      <c r="B190" s="3"/>
    </row>
    <row r="191" spans="2:2" x14ac:dyDescent="0.3">
      <c r="B191" s="3"/>
    </row>
    <row r="192" spans="2:2" x14ac:dyDescent="0.3">
      <c r="B192" s="3"/>
    </row>
    <row r="193" spans="2:2" x14ac:dyDescent="0.3">
      <c r="B193" s="3"/>
    </row>
    <row r="194" spans="2:2" x14ac:dyDescent="0.3">
      <c r="B194" s="3"/>
    </row>
    <row r="195" spans="2:2" x14ac:dyDescent="0.3">
      <c r="B195" s="3"/>
    </row>
    <row r="196" spans="2:2" x14ac:dyDescent="0.3">
      <c r="B196" s="3"/>
    </row>
    <row r="197" spans="2:2" x14ac:dyDescent="0.3">
      <c r="B197" s="3"/>
    </row>
    <row r="198" spans="2:2" x14ac:dyDescent="0.3">
      <c r="B198" s="3"/>
    </row>
    <row r="199" spans="2:2" x14ac:dyDescent="0.3">
      <c r="B199" s="3"/>
    </row>
    <row r="200" spans="2:2" x14ac:dyDescent="0.3">
      <c r="B200" s="3"/>
    </row>
    <row r="201" spans="2:2" x14ac:dyDescent="0.3">
      <c r="B201" s="3"/>
    </row>
    <row r="202" spans="2:2" x14ac:dyDescent="0.3">
      <c r="B202" s="3"/>
    </row>
    <row r="203" spans="2:2" x14ac:dyDescent="0.3">
      <c r="B203" s="3"/>
    </row>
    <row r="204" spans="2:2" x14ac:dyDescent="0.3">
      <c r="B204" s="3"/>
    </row>
    <row r="205" spans="2:2" x14ac:dyDescent="0.3">
      <c r="B205" s="3"/>
    </row>
    <row r="206" spans="2:2" x14ac:dyDescent="0.3">
      <c r="B206" s="3"/>
    </row>
    <row r="207" spans="2:2" x14ac:dyDescent="0.3">
      <c r="B207" s="3"/>
    </row>
    <row r="208" spans="2:2" x14ac:dyDescent="0.3">
      <c r="B208" s="3"/>
    </row>
    <row r="209" spans="2:2" x14ac:dyDescent="0.3">
      <c r="B209" s="3"/>
    </row>
    <row r="210" spans="2:2" x14ac:dyDescent="0.3">
      <c r="B210" s="3"/>
    </row>
    <row r="211" spans="2:2" x14ac:dyDescent="0.3">
      <c r="B211" s="3"/>
    </row>
    <row r="212" spans="2:2" x14ac:dyDescent="0.3">
      <c r="B212" s="3"/>
    </row>
    <row r="213" spans="2:2" x14ac:dyDescent="0.3">
      <c r="B213" s="3"/>
    </row>
    <row r="214" spans="2:2" x14ac:dyDescent="0.3">
      <c r="B214" s="3"/>
    </row>
    <row r="215" spans="2:2" x14ac:dyDescent="0.3">
      <c r="B215" s="3"/>
    </row>
    <row r="216" spans="2:2" x14ac:dyDescent="0.3">
      <c r="B216" s="3"/>
    </row>
    <row r="217" spans="2:2" x14ac:dyDescent="0.3">
      <c r="B217" s="3"/>
    </row>
    <row r="218" spans="2:2" x14ac:dyDescent="0.3">
      <c r="B218" s="3"/>
    </row>
    <row r="219" spans="2:2" x14ac:dyDescent="0.3">
      <c r="B219" s="3"/>
    </row>
    <row r="220" spans="2:2" x14ac:dyDescent="0.3">
      <c r="B220" s="3"/>
    </row>
    <row r="221" spans="2:2" x14ac:dyDescent="0.3">
      <c r="B221" s="3"/>
    </row>
    <row r="222" spans="2:2" x14ac:dyDescent="0.3">
      <c r="B222" s="3"/>
    </row>
    <row r="223" spans="2:2" x14ac:dyDescent="0.3">
      <c r="B223" s="3"/>
    </row>
    <row r="225" spans="2:2" x14ac:dyDescent="0.3">
      <c r="B225" s="3"/>
    </row>
    <row r="226" spans="2:2" x14ac:dyDescent="0.3">
      <c r="B226" s="3"/>
    </row>
    <row r="227" spans="2:2" x14ac:dyDescent="0.3">
      <c r="B227" s="3"/>
    </row>
    <row r="228" spans="2:2" x14ac:dyDescent="0.3">
      <c r="B228" s="3"/>
    </row>
    <row r="229" spans="2:2" x14ac:dyDescent="0.3">
      <c r="B229" s="3"/>
    </row>
    <row r="230" spans="2:2" x14ac:dyDescent="0.3">
      <c r="B230" s="3"/>
    </row>
    <row r="231" spans="2:2" x14ac:dyDescent="0.3">
      <c r="B231" s="3"/>
    </row>
    <row r="232" spans="2:2" x14ac:dyDescent="0.3">
      <c r="B232" s="3"/>
    </row>
    <row r="233" spans="2:2" x14ac:dyDescent="0.3">
      <c r="B233" s="3"/>
    </row>
    <row r="234" spans="2:2" x14ac:dyDescent="0.3">
      <c r="B234" s="3"/>
    </row>
    <row r="235" spans="2:2" x14ac:dyDescent="0.3">
      <c r="B235" s="3"/>
    </row>
    <row r="236" spans="2:2" x14ac:dyDescent="0.3">
      <c r="B236" s="3"/>
    </row>
    <row r="245" spans="1:2" x14ac:dyDescent="0.3">
      <c r="A245" s="3" t="s">
        <v>1</v>
      </c>
      <c r="B245" s="3"/>
    </row>
    <row r="247" spans="1:2" x14ac:dyDescent="0.3">
      <c r="A247" s="3" t="s">
        <v>2</v>
      </c>
      <c r="B247" s="3"/>
    </row>
    <row r="249" spans="1:2" x14ac:dyDescent="0.3">
      <c r="A249" s="3" t="s">
        <v>3</v>
      </c>
      <c r="B249" s="3"/>
    </row>
    <row r="251" spans="1:2" x14ac:dyDescent="0.3">
      <c r="A251" s="3" t="s">
        <v>4</v>
      </c>
      <c r="B251" s="3"/>
    </row>
    <row r="252" spans="1:2" x14ac:dyDescent="0.3">
      <c r="B252" s="3"/>
    </row>
    <row r="253" spans="1:2" x14ac:dyDescent="0.3">
      <c r="B253" s="3"/>
    </row>
    <row r="254" spans="1:2" x14ac:dyDescent="0.3">
      <c r="B254" s="3"/>
    </row>
    <row r="255" spans="1:2" x14ac:dyDescent="0.3">
      <c r="B255" s="3"/>
    </row>
    <row r="258" spans="1:2" x14ac:dyDescent="0.3">
      <c r="A258" s="3" t="s">
        <v>5</v>
      </c>
      <c r="B258" s="3"/>
    </row>
    <row r="260" spans="1:2" x14ac:dyDescent="0.3">
      <c r="A260" s="3" t="s">
        <v>6</v>
      </c>
      <c r="B260" s="3"/>
    </row>
  </sheetData>
  <mergeCells count="5">
    <mergeCell ref="B9:D9"/>
    <mergeCell ref="A1:G1"/>
    <mergeCell ref="A2:G2"/>
    <mergeCell ref="A6:A7"/>
    <mergeCell ref="B6:C6"/>
  </mergeCells>
  <pageMargins left="0.2" right="0.2" top="0.75" bottom="0.75" header="0.3" footer="0.3"/>
  <pageSetup scale="85" orientation="landscape" r:id="rId1"/>
  <headerFooter>
    <oddHeader>&amp;RPUCO CaseNo. 15-795-EL-RDR
Attachment B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85"/>
  <sheetViews>
    <sheetView topLeftCell="A31" zoomScaleNormal="100" workbookViewId="0">
      <selection activeCell="G32" sqref="G32"/>
    </sheetView>
  </sheetViews>
  <sheetFormatPr defaultColWidth="12.5546875" defaultRowHeight="15.6" x14ac:dyDescent="0.3"/>
  <cols>
    <col min="1" max="1" width="7.5546875" style="2" customWidth="1"/>
    <col min="2" max="3" width="15.6640625" style="2" customWidth="1"/>
    <col min="4" max="4" width="44.88671875" style="2" customWidth="1"/>
    <col min="5" max="7" width="18.6640625" style="2" customWidth="1"/>
    <col min="8" max="8" width="20.33203125" style="2" customWidth="1"/>
    <col min="9" max="9" width="2.33203125" style="2" customWidth="1"/>
    <col min="10" max="10" width="12.5546875" style="2"/>
    <col min="11" max="11" width="15.109375" style="2" customWidth="1"/>
    <col min="12" max="12" width="12.5546875" style="2"/>
    <col min="13" max="13" width="65.33203125" style="2" customWidth="1"/>
    <col min="14" max="18" width="20.33203125" style="2" customWidth="1"/>
    <col min="19" max="19" width="33.109375" style="2" customWidth="1"/>
    <col min="20" max="20" width="20.33203125" style="2" customWidth="1"/>
    <col min="21" max="21" width="2.33203125" style="2" customWidth="1"/>
    <col min="22" max="22" width="15.109375" style="2" customWidth="1"/>
    <col min="23" max="28" width="22.88671875" style="2" customWidth="1"/>
    <col min="29" max="29" width="26.6640625" style="2" customWidth="1"/>
    <col min="30" max="30" width="22.88671875" style="2" customWidth="1"/>
    <col min="31" max="31" width="20.33203125" style="2" customWidth="1"/>
    <col min="32" max="32" width="2.33203125" style="2" customWidth="1"/>
    <col min="33" max="33" width="26.6640625" style="2" customWidth="1"/>
    <col min="34" max="34" width="37" style="2" customWidth="1"/>
    <col min="35" max="35" width="46" style="2" customWidth="1"/>
    <col min="36" max="38" width="15.109375" style="2" customWidth="1"/>
    <col min="39" max="39" width="26.6640625" style="2" customWidth="1"/>
    <col min="40" max="40" width="15.109375" style="2" customWidth="1"/>
    <col min="41" max="41" width="2.33203125" style="2" customWidth="1"/>
    <col min="42" max="42" width="10" style="2" customWidth="1"/>
    <col min="43" max="43" width="12.5546875" style="2"/>
    <col min="44" max="44" width="39.5546875" style="2" customWidth="1"/>
    <col min="45" max="45" width="16.44140625" style="2" customWidth="1"/>
    <col min="46" max="48" width="20.33203125" style="2" customWidth="1"/>
    <col min="49" max="50" width="16.44140625" style="2" customWidth="1"/>
    <col min="51" max="51" width="26.6640625" style="2" customWidth="1"/>
    <col min="52" max="52" width="39.5546875" style="2" customWidth="1"/>
    <col min="53" max="53" width="12.5546875" style="2"/>
    <col min="54" max="54" width="16.44140625" style="2" customWidth="1"/>
    <col min="55" max="55" width="17.6640625" style="2" customWidth="1"/>
    <col min="56" max="16384" width="12.5546875" style="2"/>
  </cols>
  <sheetData>
    <row r="1" spans="1:7" x14ac:dyDescent="0.3">
      <c r="A1" s="155" t="s">
        <v>47</v>
      </c>
      <c r="B1" s="156"/>
      <c r="C1" s="156"/>
      <c r="D1" s="156"/>
      <c r="E1" s="156"/>
      <c r="F1" s="156"/>
      <c r="G1" s="156"/>
    </row>
    <row r="2" spans="1:7" x14ac:dyDescent="0.3">
      <c r="A2" s="155" t="s">
        <v>64</v>
      </c>
      <c r="B2" s="156"/>
      <c r="C2" s="156"/>
      <c r="D2" s="156"/>
      <c r="E2" s="156"/>
      <c r="F2" s="156"/>
      <c r="G2" s="156"/>
    </row>
    <row r="3" spans="1:7" ht="16.2" thickBot="1" x14ac:dyDescent="0.35">
      <c r="A3" s="4"/>
      <c r="B3" s="4"/>
      <c r="C3" s="4"/>
      <c r="D3" s="4"/>
      <c r="E3" s="4"/>
      <c r="F3" s="5"/>
      <c r="G3" s="4"/>
    </row>
    <row r="4" spans="1:7" x14ac:dyDescent="0.3">
      <c r="A4" s="6"/>
      <c r="B4" s="6"/>
      <c r="C4" s="6"/>
      <c r="D4" s="6"/>
      <c r="E4" s="6"/>
      <c r="F4" s="6"/>
      <c r="G4" s="6"/>
    </row>
    <row r="5" spans="1:7" x14ac:dyDescent="0.3">
      <c r="A5" s="152" t="s">
        <v>52</v>
      </c>
      <c r="B5" s="153" t="s">
        <v>50</v>
      </c>
      <c r="C5" s="154"/>
      <c r="D5" s="8"/>
      <c r="E5" s="8"/>
      <c r="F5" s="8"/>
      <c r="G5" s="9" t="s">
        <v>46</v>
      </c>
    </row>
    <row r="6" spans="1:7" ht="17.399999999999999" x14ac:dyDescent="0.3">
      <c r="A6" s="152"/>
      <c r="B6" s="10" t="s">
        <v>51</v>
      </c>
      <c r="C6" s="10" t="s">
        <v>45</v>
      </c>
      <c r="D6" s="10" t="s">
        <v>53</v>
      </c>
      <c r="E6" s="10" t="s">
        <v>54</v>
      </c>
      <c r="F6" s="11" t="s">
        <v>57</v>
      </c>
      <c r="G6" s="12" t="s">
        <v>55</v>
      </c>
    </row>
    <row r="8" spans="1:7" x14ac:dyDescent="0.3">
      <c r="B8" s="149" t="s">
        <v>56</v>
      </c>
      <c r="C8" s="149"/>
      <c r="D8" s="149"/>
    </row>
    <row r="9" spans="1:7" x14ac:dyDescent="0.3">
      <c r="A9" s="14">
        <f>MAX(A$8:A8)+1</f>
        <v>1</v>
      </c>
      <c r="B9" s="15">
        <v>360</v>
      </c>
      <c r="C9" s="14">
        <v>3600</v>
      </c>
      <c r="D9" s="16" t="s">
        <v>19</v>
      </c>
      <c r="E9" s="35">
        <v>2772.11</v>
      </c>
      <c r="F9" s="35"/>
      <c r="G9" s="22">
        <f>+E9+F9</f>
        <v>2772.11</v>
      </c>
    </row>
    <row r="10" spans="1:7" x14ac:dyDescent="0.3">
      <c r="A10" s="14">
        <f>MAX(A$8:A9)+1</f>
        <v>2</v>
      </c>
      <c r="B10" s="15">
        <v>360</v>
      </c>
      <c r="C10" s="14">
        <v>3601</v>
      </c>
      <c r="D10" s="16" t="s">
        <v>20</v>
      </c>
      <c r="E10" s="36">
        <v>3564848.22</v>
      </c>
      <c r="F10" s="36"/>
      <c r="G10" s="17">
        <f t="shared" ref="G10:G33" si="0">+E10+F10</f>
        <v>3564848.22</v>
      </c>
    </row>
    <row r="11" spans="1:7" x14ac:dyDescent="0.3">
      <c r="A11" s="14">
        <f>MAX(A$8:A10)+1</f>
        <v>3</v>
      </c>
      <c r="B11" s="15">
        <v>361</v>
      </c>
      <c r="C11" s="14">
        <v>3610</v>
      </c>
      <c r="D11" s="16" t="s">
        <v>21</v>
      </c>
      <c r="E11" s="36">
        <v>4324903.45</v>
      </c>
      <c r="F11" s="36"/>
      <c r="G11" s="17">
        <f t="shared" si="0"/>
        <v>4324903.45</v>
      </c>
    </row>
    <row r="12" spans="1:7" x14ac:dyDescent="0.3">
      <c r="A12" s="14">
        <f>MAX(A$8:A11)+1</f>
        <v>4</v>
      </c>
      <c r="B12" s="15">
        <v>362</v>
      </c>
      <c r="C12" s="14">
        <v>3620</v>
      </c>
      <c r="D12" s="16" t="s">
        <v>22</v>
      </c>
      <c r="E12" s="36">
        <v>77946165.700000003</v>
      </c>
      <c r="F12" s="37">
        <v>-2298117</v>
      </c>
      <c r="G12" s="17">
        <f t="shared" si="0"/>
        <v>75648048.700000003</v>
      </c>
    </row>
    <row r="13" spans="1:7" x14ac:dyDescent="0.3">
      <c r="A13" s="14">
        <f>MAX(A$8:A12)+1</f>
        <v>5</v>
      </c>
      <c r="B13" s="15">
        <v>362</v>
      </c>
      <c r="C13" s="14">
        <v>3622</v>
      </c>
      <c r="D13" s="16" t="s">
        <v>23</v>
      </c>
      <c r="E13" s="36">
        <v>42852707.740000002</v>
      </c>
      <c r="F13" s="37">
        <v>-276191</v>
      </c>
      <c r="G13" s="17">
        <f t="shared" si="0"/>
        <v>42576516.740000002</v>
      </c>
    </row>
    <row r="14" spans="1:7" x14ac:dyDescent="0.3">
      <c r="A14" s="14">
        <f>MAX(A$8:A13)+1</f>
        <v>6</v>
      </c>
      <c r="B14" s="18">
        <v>363</v>
      </c>
      <c r="C14" s="19">
        <v>3635</v>
      </c>
      <c r="D14" s="20" t="s">
        <v>60</v>
      </c>
      <c r="E14" s="37">
        <v>112771.68</v>
      </c>
      <c r="F14" s="37">
        <v>-112502</v>
      </c>
      <c r="G14" s="21">
        <f t="shared" si="0"/>
        <v>269.67999999999302</v>
      </c>
    </row>
    <row r="15" spans="1:7" x14ac:dyDescent="0.3">
      <c r="A15" s="14">
        <f>MAX(A$8:A14)+1</f>
        <v>7</v>
      </c>
      <c r="B15" s="15">
        <v>364</v>
      </c>
      <c r="C15" s="14">
        <v>3640</v>
      </c>
      <c r="D15" s="16" t="s">
        <v>25</v>
      </c>
      <c r="E15" s="36">
        <v>117411737.70999999</v>
      </c>
      <c r="F15" s="37">
        <v>-184693</v>
      </c>
      <c r="G15" s="17">
        <f t="shared" si="0"/>
        <v>117227044.70999999</v>
      </c>
    </row>
    <row r="16" spans="1:7" x14ac:dyDescent="0.3">
      <c r="A16" s="14">
        <f>MAX(A$8:A15)+1</f>
        <v>8</v>
      </c>
      <c r="B16" s="15">
        <v>365</v>
      </c>
      <c r="C16" s="14" t="s">
        <v>26</v>
      </c>
      <c r="D16" s="16" t="s">
        <v>27</v>
      </c>
      <c r="E16" s="36">
        <f>109874194.44+712550.75</f>
        <v>110586745.19</v>
      </c>
      <c r="F16" s="37">
        <v>-2264372</v>
      </c>
      <c r="G16" s="17">
        <f t="shared" si="0"/>
        <v>108322373.19</v>
      </c>
    </row>
    <row r="17" spans="1:7" x14ac:dyDescent="0.3">
      <c r="A17" s="14">
        <f>MAX(A$8:A16)+1</f>
        <v>9</v>
      </c>
      <c r="B17" s="15">
        <v>366</v>
      </c>
      <c r="C17" s="14">
        <v>3660</v>
      </c>
      <c r="D17" s="16" t="s">
        <v>28</v>
      </c>
      <c r="E17" s="36">
        <v>40934953.549999997</v>
      </c>
      <c r="F17" s="36"/>
      <c r="G17" s="17">
        <f t="shared" si="0"/>
        <v>40934953.549999997</v>
      </c>
    </row>
    <row r="18" spans="1:7" x14ac:dyDescent="0.3">
      <c r="A18" s="14">
        <f>MAX(A$8:A17)+1</f>
        <v>10</v>
      </c>
      <c r="B18" s="15">
        <v>367</v>
      </c>
      <c r="C18" s="14">
        <v>3670</v>
      </c>
      <c r="D18" s="16" t="s">
        <v>29</v>
      </c>
      <c r="E18" s="36">
        <v>86291016.260000005</v>
      </c>
      <c r="F18" s="36"/>
      <c r="G18" s="17">
        <f t="shared" si="0"/>
        <v>86291016.260000005</v>
      </c>
    </row>
    <row r="19" spans="1:7" x14ac:dyDescent="0.3">
      <c r="A19" s="14">
        <f>MAX(A$8:A18)+1</f>
        <v>11</v>
      </c>
      <c r="B19" s="15">
        <v>368</v>
      </c>
      <c r="C19" s="14" t="s">
        <v>30</v>
      </c>
      <c r="D19" s="16" t="s">
        <v>31</v>
      </c>
      <c r="E19" s="36">
        <f>143389307.33+304.09</f>
        <v>143389611.42000002</v>
      </c>
      <c r="F19" s="36"/>
      <c r="G19" s="17">
        <f t="shared" si="0"/>
        <v>143389611.42000002</v>
      </c>
    </row>
    <row r="20" spans="1:7" x14ac:dyDescent="0.3">
      <c r="A20" s="14">
        <f>MAX(A$8:A19)+1</f>
        <v>12</v>
      </c>
      <c r="B20" s="15">
        <v>368</v>
      </c>
      <c r="C20" s="14">
        <v>3682</v>
      </c>
      <c r="D20" s="16" t="s">
        <v>32</v>
      </c>
      <c r="E20" s="36">
        <v>2991332.88</v>
      </c>
      <c r="F20" s="36"/>
      <c r="G20" s="17">
        <f t="shared" si="0"/>
        <v>2991332.88</v>
      </c>
    </row>
    <row r="21" spans="1:7" x14ac:dyDescent="0.3">
      <c r="A21" s="14">
        <f>MAX(A$8:A20)+1</f>
        <v>13</v>
      </c>
      <c r="B21" s="15">
        <v>369</v>
      </c>
      <c r="C21" s="14">
        <v>3691</v>
      </c>
      <c r="D21" s="16" t="s">
        <v>33</v>
      </c>
      <c r="E21" s="36">
        <v>2446029.7000000002</v>
      </c>
      <c r="F21" s="36"/>
      <c r="G21" s="17">
        <f t="shared" si="0"/>
        <v>2446029.7000000002</v>
      </c>
    </row>
    <row r="22" spans="1:7" x14ac:dyDescent="0.3">
      <c r="A22" s="14">
        <f>MAX(A$8:A21)+1</f>
        <v>14</v>
      </c>
      <c r="B22" s="15">
        <v>369</v>
      </c>
      <c r="C22" s="14">
        <v>3692</v>
      </c>
      <c r="D22" s="16" t="s">
        <v>34</v>
      </c>
      <c r="E22" s="36">
        <v>43450562.579999998</v>
      </c>
      <c r="F22" s="36"/>
      <c r="G22" s="17">
        <f t="shared" si="0"/>
        <v>43450562.579999998</v>
      </c>
    </row>
    <row r="23" spans="1:7" x14ac:dyDescent="0.3">
      <c r="A23" s="14">
        <f>MAX(A$8:A22)+1</f>
        <v>15</v>
      </c>
      <c r="B23" s="15">
        <v>370</v>
      </c>
      <c r="C23" s="14">
        <v>3700</v>
      </c>
      <c r="D23" s="16" t="s">
        <v>35</v>
      </c>
      <c r="E23" s="36">
        <f>-6593279.28+1580648.53</f>
        <v>-5012630.75</v>
      </c>
      <c r="F23" s="37"/>
      <c r="G23" s="17">
        <f t="shared" si="0"/>
        <v>-5012630.75</v>
      </c>
    </row>
    <row r="24" spans="1:7" x14ac:dyDescent="0.3">
      <c r="A24" s="14">
        <f>MAX(A$8:A23)+1</f>
        <v>16</v>
      </c>
      <c r="B24" s="15">
        <v>370</v>
      </c>
      <c r="C24" s="14">
        <v>3701</v>
      </c>
      <c r="D24" s="16" t="s">
        <v>36</v>
      </c>
      <c r="E24" s="36">
        <f>6137687.03+1095203.96</f>
        <v>7232890.9900000002</v>
      </c>
      <c r="F24" s="37"/>
      <c r="G24" s="17">
        <f t="shared" si="0"/>
        <v>7232890.9900000002</v>
      </c>
    </row>
    <row r="25" spans="1:7" x14ac:dyDescent="0.3">
      <c r="A25" s="14">
        <f>MAX(A$8:A24)+1</f>
        <v>17</v>
      </c>
      <c r="B25" s="15">
        <v>370</v>
      </c>
      <c r="C25" s="14">
        <v>3702</v>
      </c>
      <c r="D25" s="16" t="s">
        <v>37</v>
      </c>
      <c r="E25" s="36">
        <v>13849049.76</v>
      </c>
      <c r="F25" s="37">
        <f>-E25</f>
        <v>-13849049.76</v>
      </c>
      <c r="G25" s="17">
        <f t="shared" si="0"/>
        <v>0</v>
      </c>
    </row>
    <row r="26" spans="1:7" x14ac:dyDescent="0.3">
      <c r="A26" s="14">
        <f>MAX(A$8:A25)+1</f>
        <v>18</v>
      </c>
      <c r="B26" s="15">
        <v>371</v>
      </c>
      <c r="C26" s="14">
        <v>3710</v>
      </c>
      <c r="D26" s="16" t="s">
        <v>38</v>
      </c>
      <c r="E26" s="36">
        <v>304909.43</v>
      </c>
      <c r="F26" s="37"/>
      <c r="G26" s="17">
        <f t="shared" si="0"/>
        <v>304909.43</v>
      </c>
    </row>
    <row r="27" spans="1:7" x14ac:dyDescent="0.3">
      <c r="A27" s="14">
        <f>MAX(A$8:A26)+1</f>
        <v>19</v>
      </c>
      <c r="B27" s="15">
        <v>371</v>
      </c>
      <c r="C27" s="14">
        <v>3712</v>
      </c>
      <c r="D27" s="16" t="s">
        <v>48</v>
      </c>
      <c r="E27" s="36">
        <v>-819947.74</v>
      </c>
      <c r="F27" s="37">
        <f>-E27</f>
        <v>819947.74</v>
      </c>
      <c r="G27" s="17">
        <f t="shared" si="0"/>
        <v>0</v>
      </c>
    </row>
    <row r="28" spans="1:7" x14ac:dyDescent="0.3">
      <c r="A28" s="14">
        <f>MAX(A$8:A27)+1</f>
        <v>20</v>
      </c>
      <c r="B28" s="15">
        <v>372</v>
      </c>
      <c r="C28" s="14">
        <v>3720</v>
      </c>
      <c r="D28" s="16" t="s">
        <v>39</v>
      </c>
      <c r="E28" s="36">
        <v>-63514.74</v>
      </c>
      <c r="F28" s="37"/>
      <c r="G28" s="17">
        <f t="shared" si="0"/>
        <v>-63514.74</v>
      </c>
    </row>
    <row r="29" spans="1:7" x14ac:dyDescent="0.3">
      <c r="A29" s="14">
        <f>MAX(A$8:A28)+1</f>
        <v>21</v>
      </c>
      <c r="B29" s="15">
        <v>373</v>
      </c>
      <c r="C29" s="14" t="s">
        <v>40</v>
      </c>
      <c r="D29" s="16" t="s">
        <v>41</v>
      </c>
      <c r="E29" s="36">
        <f>-1614384.9+11740642.47</f>
        <v>10126257.57</v>
      </c>
      <c r="F29" s="37"/>
      <c r="G29" s="17">
        <f t="shared" si="0"/>
        <v>10126257.57</v>
      </c>
    </row>
    <row r="30" spans="1:7" x14ac:dyDescent="0.3">
      <c r="A30" s="14">
        <f>MAX(A$8:A29)+1</f>
        <v>22</v>
      </c>
      <c r="B30" s="15">
        <v>373</v>
      </c>
      <c r="C30" s="14">
        <v>3732</v>
      </c>
      <c r="D30" s="16" t="s">
        <v>42</v>
      </c>
      <c r="E30" s="36">
        <v>7891550.1299999999</v>
      </c>
      <c r="F30" s="37"/>
      <c r="G30" s="17">
        <f t="shared" si="0"/>
        <v>7891550.1299999999</v>
      </c>
    </row>
    <row r="31" spans="1:7" x14ac:dyDescent="0.3">
      <c r="A31" s="14">
        <f>MAX(A$8:A30)+1</f>
        <v>23</v>
      </c>
      <c r="B31" s="15">
        <v>373</v>
      </c>
      <c r="C31" s="14">
        <v>3733</v>
      </c>
      <c r="D31" s="16" t="s">
        <v>43</v>
      </c>
      <c r="E31" s="36">
        <v>7428638.8499999996</v>
      </c>
      <c r="F31" s="37"/>
      <c r="G31" s="17">
        <f t="shared" si="0"/>
        <v>7428638.8499999996</v>
      </c>
    </row>
    <row r="32" spans="1:7" x14ac:dyDescent="0.3">
      <c r="A32" s="14">
        <f>MAX(A$8:A31)+1</f>
        <v>24</v>
      </c>
      <c r="B32" s="15">
        <v>373</v>
      </c>
      <c r="C32" s="14">
        <v>3734</v>
      </c>
      <c r="D32" s="16" t="s">
        <v>44</v>
      </c>
      <c r="E32" s="36">
        <v>-115827.84</v>
      </c>
      <c r="F32" s="37">
        <f>-E32</f>
        <v>115827.84</v>
      </c>
      <c r="G32" s="17">
        <f t="shared" si="0"/>
        <v>0</v>
      </c>
    </row>
    <row r="33" spans="1:7" x14ac:dyDescent="0.3">
      <c r="A33" s="14">
        <f>MAX(A$8:A32)+1</f>
        <v>25</v>
      </c>
      <c r="C33" s="15">
        <v>108</v>
      </c>
      <c r="D33" s="2" t="s">
        <v>61</v>
      </c>
      <c r="E33" s="37">
        <f>-13910.32-2241620.27</f>
        <v>-2255530.59</v>
      </c>
      <c r="F33" s="37"/>
      <c r="G33" s="17">
        <f t="shared" si="0"/>
        <v>-2255530.59</v>
      </c>
    </row>
    <row r="34" spans="1:7" x14ac:dyDescent="0.3">
      <c r="C34" s="13"/>
      <c r="D34" s="13"/>
      <c r="E34" s="78"/>
      <c r="F34" s="78"/>
      <c r="G34" s="78"/>
    </row>
    <row r="35" spans="1:7" x14ac:dyDescent="0.3">
      <c r="A35" s="14">
        <f>MAX(A$8:A33)+1</f>
        <v>26</v>
      </c>
      <c r="C35" s="13"/>
      <c r="D35" s="13"/>
      <c r="E35" s="58">
        <f>SUM(E9:E33)</f>
        <v>714872003.25999999</v>
      </c>
      <c r="F35" s="59">
        <f>SUM(F9:F33)</f>
        <v>-18049149.18</v>
      </c>
      <c r="G35" s="58">
        <f>SUM(G9:G33)</f>
        <v>696822854.08000004</v>
      </c>
    </row>
    <row r="36" spans="1:7" x14ac:dyDescent="0.3">
      <c r="A36" s="80"/>
      <c r="B36" s="80"/>
      <c r="C36" s="80"/>
      <c r="D36" s="80"/>
      <c r="E36" s="80"/>
      <c r="F36" s="80"/>
      <c r="G36" s="80"/>
    </row>
    <row r="37" spans="1:7" s="6" customFormat="1" x14ac:dyDescent="0.3">
      <c r="A37" s="62"/>
      <c r="B37" s="63"/>
      <c r="C37" s="43"/>
      <c r="D37" s="45"/>
      <c r="E37" s="46"/>
      <c r="F37" s="47"/>
      <c r="G37" s="27"/>
    </row>
    <row r="38" spans="1:7" s="6" customFormat="1" x14ac:dyDescent="0.3">
      <c r="A38" s="43"/>
      <c r="B38" s="79" t="s">
        <v>70</v>
      </c>
      <c r="C38" s="43"/>
      <c r="D38" s="45"/>
      <c r="E38" s="48"/>
      <c r="F38" s="48"/>
      <c r="G38" s="27"/>
    </row>
    <row r="39" spans="1:7" s="6" customFormat="1" x14ac:dyDescent="0.3">
      <c r="A39" s="43"/>
      <c r="B39" s="44"/>
      <c r="C39" s="43"/>
      <c r="D39" s="45"/>
      <c r="E39" s="48"/>
      <c r="F39" s="49"/>
      <c r="G39" s="27"/>
    </row>
    <row r="40" spans="1:7" s="6" customFormat="1" x14ac:dyDescent="0.3">
      <c r="A40" s="43"/>
      <c r="B40" s="44"/>
      <c r="C40" s="43"/>
      <c r="D40" s="45"/>
      <c r="E40" s="48"/>
      <c r="F40" s="48"/>
      <c r="G40" s="27"/>
    </row>
    <row r="41" spans="1:7" s="6" customFormat="1" x14ac:dyDescent="0.3">
      <c r="A41" s="43"/>
      <c r="B41" s="44"/>
      <c r="C41" s="43"/>
      <c r="D41" s="45"/>
      <c r="E41" s="48"/>
      <c r="F41" s="49"/>
      <c r="G41" s="27"/>
    </row>
    <row r="42" spans="1:7" s="6" customFormat="1" x14ac:dyDescent="0.3">
      <c r="A42" s="43"/>
      <c r="B42" s="50"/>
      <c r="C42" s="51"/>
      <c r="D42" s="52"/>
      <c r="E42" s="48"/>
      <c r="F42" s="48"/>
      <c r="G42" s="27"/>
    </row>
    <row r="43" spans="1:7" s="6" customFormat="1" x14ac:dyDescent="0.3">
      <c r="A43" s="43"/>
      <c r="B43" s="44"/>
      <c r="C43" s="43"/>
      <c r="D43" s="45"/>
      <c r="E43" s="48"/>
      <c r="F43" s="48"/>
      <c r="G43" s="27"/>
    </row>
    <row r="44" spans="1:7" s="6" customFormat="1" x14ac:dyDescent="0.3">
      <c r="A44" s="43"/>
      <c r="B44" s="44"/>
      <c r="C44" s="43"/>
      <c r="D44" s="45"/>
      <c r="E44" s="48"/>
      <c r="F44" s="48"/>
      <c r="G44" s="27"/>
    </row>
    <row r="45" spans="1:7" s="6" customFormat="1" x14ac:dyDescent="0.3">
      <c r="A45" s="43"/>
      <c r="B45" s="44"/>
      <c r="C45" s="43"/>
      <c r="D45" s="45"/>
      <c r="E45" s="48"/>
      <c r="F45" s="48"/>
      <c r="G45" s="27"/>
    </row>
    <row r="46" spans="1:7" s="6" customFormat="1" x14ac:dyDescent="0.3">
      <c r="A46" s="43"/>
      <c r="B46" s="44"/>
      <c r="C46" s="43"/>
      <c r="D46" s="45"/>
      <c r="E46" s="48"/>
      <c r="F46" s="48"/>
      <c r="G46" s="27"/>
    </row>
    <row r="47" spans="1:7" s="6" customFormat="1" x14ac:dyDescent="0.3">
      <c r="A47" s="43"/>
      <c r="B47" s="44"/>
      <c r="C47" s="43"/>
      <c r="D47" s="45"/>
      <c r="E47" s="48"/>
      <c r="F47" s="48"/>
      <c r="G47" s="27"/>
    </row>
    <row r="48" spans="1:7" s="6" customFormat="1" x14ac:dyDescent="0.3">
      <c r="A48" s="43"/>
      <c r="B48" s="44"/>
      <c r="C48" s="43"/>
      <c r="D48" s="45"/>
      <c r="E48" s="48"/>
      <c r="F48" s="49"/>
      <c r="G48" s="27"/>
    </row>
    <row r="49" spans="1:7" s="6" customFormat="1" x14ac:dyDescent="0.3">
      <c r="A49" s="43"/>
      <c r="B49" s="44"/>
      <c r="C49" s="43"/>
      <c r="D49" s="45"/>
      <c r="E49" s="48"/>
      <c r="F49" s="49"/>
      <c r="G49" s="27"/>
    </row>
    <row r="50" spans="1:7" s="6" customFormat="1" x14ac:dyDescent="0.3">
      <c r="A50" s="43"/>
      <c r="B50" s="44"/>
      <c r="C50" s="43"/>
      <c r="D50" s="45"/>
      <c r="E50" s="48"/>
      <c r="F50" s="49"/>
      <c r="G50" s="27"/>
    </row>
    <row r="51" spans="1:7" s="6" customFormat="1" x14ac:dyDescent="0.3">
      <c r="A51" s="43"/>
      <c r="B51" s="44"/>
      <c r="C51" s="43"/>
      <c r="D51" s="45"/>
      <c r="E51" s="48"/>
      <c r="F51" s="49"/>
      <c r="G51" s="27"/>
    </row>
    <row r="52" spans="1:7" s="6" customFormat="1" x14ac:dyDescent="0.3">
      <c r="A52" s="43"/>
      <c r="B52" s="44"/>
      <c r="C52" s="43"/>
      <c r="D52" s="45"/>
      <c r="E52" s="48"/>
      <c r="F52" s="48"/>
      <c r="G52" s="27"/>
    </row>
    <row r="53" spans="1:7" s="6" customFormat="1" x14ac:dyDescent="0.3">
      <c r="A53" s="43"/>
      <c r="B53" s="44"/>
      <c r="E53" s="48"/>
      <c r="F53" s="48"/>
      <c r="G53" s="27"/>
    </row>
    <row r="54" spans="1:7" s="6" customFormat="1" x14ac:dyDescent="0.3">
      <c r="A54" s="43"/>
      <c r="B54" s="44"/>
      <c r="C54" s="43"/>
      <c r="D54" s="45"/>
      <c r="E54" s="27"/>
      <c r="F54" s="27"/>
      <c r="G54" s="27"/>
    </row>
    <row r="55" spans="1:7" s="6" customFormat="1" x14ac:dyDescent="0.3">
      <c r="C55" s="53"/>
      <c r="D55" s="53"/>
      <c r="E55" s="53"/>
    </row>
    <row r="56" spans="1:7" s="6" customFormat="1" x14ac:dyDescent="0.3">
      <c r="A56" s="43"/>
      <c r="B56" s="44"/>
      <c r="C56" s="43"/>
      <c r="D56" s="45"/>
      <c r="E56" s="46"/>
      <c r="F56" s="46"/>
      <c r="G56" s="27"/>
    </row>
    <row r="57" spans="1:7" s="6" customFormat="1" x14ac:dyDescent="0.3">
      <c r="A57" s="43"/>
      <c r="B57" s="44"/>
      <c r="C57" s="43"/>
      <c r="D57" s="45"/>
      <c r="E57" s="48"/>
      <c r="F57" s="48"/>
      <c r="G57" s="54"/>
    </row>
    <row r="58" spans="1:7" s="6" customFormat="1" x14ac:dyDescent="0.3">
      <c r="A58" s="43"/>
      <c r="B58" s="44"/>
      <c r="C58" s="43"/>
      <c r="D58" s="45"/>
      <c r="E58" s="48"/>
      <c r="F58" s="48"/>
      <c r="G58" s="54"/>
    </row>
    <row r="59" spans="1:7" s="6" customFormat="1" x14ac:dyDescent="0.3">
      <c r="A59" s="43"/>
      <c r="B59" s="44"/>
      <c r="C59" s="43"/>
      <c r="D59" s="45"/>
      <c r="E59" s="48"/>
      <c r="F59" s="48"/>
      <c r="G59" s="54"/>
    </row>
    <row r="60" spans="1:7" s="6" customFormat="1" x14ac:dyDescent="0.3">
      <c r="A60" s="43"/>
      <c r="B60" s="44"/>
      <c r="C60" s="43"/>
      <c r="D60" s="45"/>
      <c r="E60" s="48"/>
      <c r="F60" s="48"/>
      <c r="G60" s="54"/>
    </row>
    <row r="61" spans="1:7" s="6" customFormat="1" x14ac:dyDescent="0.3">
      <c r="A61" s="43"/>
      <c r="B61" s="44"/>
      <c r="C61" s="43"/>
      <c r="D61" s="45"/>
      <c r="E61" s="48"/>
      <c r="F61" s="49"/>
      <c r="G61" s="54"/>
    </row>
    <row r="62" spans="1:7" s="6" customFormat="1" x14ac:dyDescent="0.3">
      <c r="A62" s="43"/>
      <c r="B62" s="44"/>
      <c r="C62" s="43"/>
      <c r="D62" s="45"/>
      <c r="E62" s="49"/>
      <c r="F62" s="49"/>
      <c r="G62" s="54"/>
    </row>
    <row r="63" spans="1:7" s="6" customFormat="1" x14ac:dyDescent="0.3">
      <c r="A63" s="43"/>
      <c r="B63" s="44"/>
      <c r="C63" s="43"/>
      <c r="D63" s="45"/>
      <c r="E63" s="48"/>
      <c r="F63" s="49"/>
      <c r="G63" s="54"/>
    </row>
    <row r="64" spans="1:7" s="6" customFormat="1" x14ac:dyDescent="0.3">
      <c r="A64" s="43"/>
      <c r="B64" s="44"/>
      <c r="C64" s="43"/>
      <c r="D64" s="45"/>
      <c r="E64" s="48"/>
      <c r="F64" s="49"/>
      <c r="G64" s="54"/>
    </row>
    <row r="65" spans="1:7" s="6" customFormat="1" x14ac:dyDescent="0.3">
      <c r="A65" s="43"/>
      <c r="B65" s="44"/>
      <c r="C65" s="43"/>
      <c r="D65" s="45"/>
      <c r="E65" s="48"/>
      <c r="F65" s="49"/>
      <c r="G65" s="54"/>
    </row>
    <row r="66" spans="1:7" s="6" customFormat="1" x14ac:dyDescent="0.3">
      <c r="A66" s="43"/>
      <c r="B66" s="50"/>
      <c r="C66" s="51"/>
      <c r="D66" s="52"/>
      <c r="E66" s="49"/>
      <c r="F66" s="49"/>
      <c r="G66" s="54"/>
    </row>
    <row r="67" spans="1:7" s="6" customFormat="1" x14ac:dyDescent="0.3">
      <c r="A67" s="43"/>
      <c r="B67" s="44"/>
      <c r="C67" s="43"/>
      <c r="D67" s="45"/>
      <c r="E67" s="48"/>
      <c r="F67" s="49"/>
      <c r="G67" s="54"/>
    </row>
    <row r="68" spans="1:7" s="6" customFormat="1" x14ac:dyDescent="0.3">
      <c r="A68" s="43"/>
      <c r="B68" s="44"/>
      <c r="C68" s="43"/>
      <c r="D68" s="45"/>
      <c r="E68" s="48"/>
      <c r="F68" s="49"/>
      <c r="G68" s="54"/>
    </row>
    <row r="69" spans="1:7" s="6" customFormat="1" x14ac:dyDescent="0.3">
      <c r="A69" s="43"/>
      <c r="B69" s="44"/>
      <c r="C69" s="43"/>
      <c r="D69" s="45"/>
      <c r="E69" s="48"/>
      <c r="F69" s="49"/>
      <c r="G69" s="54"/>
    </row>
    <row r="70" spans="1:7" s="6" customFormat="1" x14ac:dyDescent="0.3">
      <c r="A70" s="43"/>
      <c r="B70" s="44"/>
      <c r="C70" s="43"/>
      <c r="D70" s="45"/>
      <c r="E70" s="48"/>
      <c r="F70" s="49"/>
      <c r="G70" s="54"/>
    </row>
    <row r="71" spans="1:7" s="6" customFormat="1" x14ac:dyDescent="0.3">
      <c r="A71" s="43"/>
      <c r="B71" s="44"/>
      <c r="C71" s="43"/>
      <c r="D71" s="45"/>
      <c r="E71" s="48"/>
      <c r="F71" s="49"/>
      <c r="G71" s="54"/>
    </row>
    <row r="72" spans="1:7" s="6" customFormat="1" x14ac:dyDescent="0.3">
      <c r="A72" s="43"/>
      <c r="B72" s="44"/>
      <c r="C72" s="43"/>
      <c r="D72" s="45"/>
      <c r="E72" s="48"/>
      <c r="F72" s="49"/>
      <c r="G72" s="54"/>
    </row>
    <row r="73" spans="1:7" s="6" customFormat="1" x14ac:dyDescent="0.3">
      <c r="A73" s="43"/>
      <c r="C73" s="55"/>
      <c r="D73" s="53"/>
      <c r="E73" s="49"/>
      <c r="F73" s="49"/>
      <c r="G73" s="54"/>
    </row>
    <row r="74" spans="1:7" s="6" customFormat="1" x14ac:dyDescent="0.3">
      <c r="A74" s="43"/>
      <c r="C74" s="55"/>
      <c r="D74" s="53"/>
      <c r="E74" s="49"/>
      <c r="F74" s="49"/>
      <c r="G74" s="56"/>
    </row>
    <row r="75" spans="1:7" s="6" customFormat="1" x14ac:dyDescent="0.3">
      <c r="A75" s="43"/>
      <c r="C75" s="55"/>
      <c r="D75" s="53"/>
      <c r="E75" s="48"/>
      <c r="F75" s="49"/>
      <c r="G75" s="56"/>
    </row>
    <row r="76" spans="1:7" s="6" customFormat="1" x14ac:dyDescent="0.3">
      <c r="A76" s="43"/>
      <c r="C76" s="55"/>
      <c r="D76" s="53"/>
      <c r="E76" s="48"/>
      <c r="F76" s="49"/>
      <c r="G76" s="56"/>
    </row>
    <row r="77" spans="1:7" s="6" customFormat="1" x14ac:dyDescent="0.3">
      <c r="A77" s="43"/>
      <c r="E77" s="49"/>
      <c r="F77" s="49"/>
      <c r="G77" s="56"/>
    </row>
    <row r="78" spans="1:7" s="6" customFormat="1" x14ac:dyDescent="0.3">
      <c r="E78" s="27"/>
      <c r="F78" s="41"/>
      <c r="G78" s="41"/>
    </row>
    <row r="79" spans="1:7" s="6" customFormat="1" x14ac:dyDescent="0.3">
      <c r="E79" s="27"/>
      <c r="F79" s="41"/>
      <c r="G79" s="41"/>
    </row>
    <row r="80" spans="1:7" s="6" customFormat="1" x14ac:dyDescent="0.3">
      <c r="A80" s="43"/>
      <c r="C80" s="57"/>
      <c r="D80" s="42"/>
      <c r="E80" s="58"/>
      <c r="F80" s="59"/>
      <c r="G80" s="59"/>
    </row>
    <row r="81" spans="1:7" s="6" customFormat="1" x14ac:dyDescent="0.3">
      <c r="C81" s="53"/>
      <c r="D81" s="53"/>
      <c r="E81" s="53"/>
      <c r="G81" s="27"/>
    </row>
    <row r="82" spans="1:7" s="6" customFormat="1" x14ac:dyDescent="0.3">
      <c r="A82" s="43"/>
      <c r="C82" s="53"/>
      <c r="D82" s="60"/>
      <c r="E82" s="58"/>
      <c r="F82" s="58"/>
      <c r="G82" s="58"/>
    </row>
    <row r="83" spans="1:7" s="6" customFormat="1" x14ac:dyDescent="0.3"/>
    <row r="84" spans="1:7" s="6" customFormat="1" x14ac:dyDescent="0.3"/>
    <row r="85" spans="1:7" x14ac:dyDescent="0.3">
      <c r="E85" s="38"/>
    </row>
  </sheetData>
  <mergeCells count="5">
    <mergeCell ref="B8:D8"/>
    <mergeCell ref="A1:G1"/>
    <mergeCell ref="A2:G2"/>
    <mergeCell ref="A5:A6"/>
    <mergeCell ref="B5:C5"/>
  </mergeCells>
  <pageMargins left="0.2" right="0.2" top="0.75" bottom="0.75" header="0.3" footer="0.3"/>
  <pageSetup scale="86" orientation="landscape" r:id="rId1"/>
  <headerFooter>
    <oddHeader>&amp;RPUCO CaseNo. 15-795-EL-RDR
Attachment B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P28"/>
  <sheetViews>
    <sheetView topLeftCell="A19" zoomScaleNormal="100" workbookViewId="0">
      <selection activeCell="G32" sqref="G32"/>
    </sheetView>
  </sheetViews>
  <sheetFormatPr defaultColWidth="12.5546875" defaultRowHeight="15.6" x14ac:dyDescent="0.3"/>
  <cols>
    <col min="1" max="1" width="8" style="2" customWidth="1"/>
    <col min="2" max="3" width="15.6640625" style="2" customWidth="1"/>
    <col min="4" max="4" width="37.88671875" style="2" customWidth="1"/>
    <col min="5" max="6" width="18.6640625" style="2" customWidth="1"/>
    <col min="7" max="7" width="6.44140625" style="2" customWidth="1"/>
    <col min="8" max="8" width="18.6640625" style="2" customWidth="1"/>
    <col min="9" max="13" width="20.33203125" style="2" customWidth="1"/>
    <col min="14" max="14" width="2.33203125" style="2" customWidth="1"/>
    <col min="15" max="15" width="12.5546875" style="2"/>
    <col min="16" max="16" width="15.109375" style="2" customWidth="1"/>
    <col min="17" max="17" width="12.5546875" style="2"/>
    <col min="18" max="18" width="52.44140625" style="2" customWidth="1"/>
    <col min="19" max="21" width="20.33203125" style="2" customWidth="1"/>
    <col min="22" max="22" width="2.33203125" style="2" customWidth="1"/>
    <col min="23" max="23" width="12.5546875" style="2"/>
    <col min="24" max="24" width="15.109375" style="2" customWidth="1"/>
    <col min="25" max="25" width="12.5546875" style="2"/>
    <col min="26" max="26" width="65.33203125" style="2" customWidth="1"/>
    <col min="27" max="31" width="20.33203125" style="2" customWidth="1"/>
    <col min="32" max="32" width="33.109375" style="2" customWidth="1"/>
    <col min="33" max="33" width="20.33203125" style="2" customWidth="1"/>
    <col min="34" max="34" width="2.33203125" style="2" customWidth="1"/>
    <col min="35" max="35" width="15.109375" style="2" customWidth="1"/>
    <col min="36" max="41" width="22.88671875" style="2" customWidth="1"/>
    <col min="42" max="42" width="26.6640625" style="2" customWidth="1"/>
    <col min="43" max="43" width="22.88671875" style="2" customWidth="1"/>
    <col min="44" max="44" width="20.33203125" style="2" customWidth="1"/>
    <col min="45" max="45" width="2.33203125" style="2" customWidth="1"/>
    <col min="46" max="46" width="26.6640625" style="2" customWidth="1"/>
    <col min="47" max="47" width="37" style="2" customWidth="1"/>
    <col min="48" max="48" width="46" style="2" customWidth="1"/>
    <col min="49" max="51" width="15.109375" style="2" customWidth="1"/>
    <col min="52" max="52" width="26.6640625" style="2" customWidth="1"/>
    <col min="53" max="53" width="15.109375" style="2" customWidth="1"/>
    <col min="54" max="54" width="2.33203125" style="2" customWidth="1"/>
    <col min="55" max="55" width="10" style="2" customWidth="1"/>
    <col min="56" max="56" width="12.5546875" style="2"/>
    <col min="57" max="57" width="39.5546875" style="2" customWidth="1"/>
    <col min="58" max="58" width="16.44140625" style="2" customWidth="1"/>
    <col min="59" max="61" width="20.33203125" style="2" customWidth="1"/>
    <col min="62" max="63" width="16.44140625" style="2" customWidth="1"/>
    <col min="64" max="64" width="26.6640625" style="2" customWidth="1"/>
    <col min="65" max="65" width="39.5546875" style="2" customWidth="1"/>
    <col min="66" max="66" width="12.5546875" style="2"/>
    <col min="67" max="67" width="16.44140625" style="2" customWidth="1"/>
    <col min="68" max="68" width="17.6640625" style="2" customWidth="1"/>
    <col min="69" max="16384" width="12.5546875" style="2"/>
  </cols>
  <sheetData>
    <row r="1" spans="1:68" ht="18" x14ac:dyDescent="0.35">
      <c r="A1" s="151" t="s">
        <v>47</v>
      </c>
      <c r="B1" s="151"/>
      <c r="C1" s="151"/>
      <c r="D1" s="151"/>
      <c r="E1" s="151"/>
      <c r="F1" s="151"/>
      <c r="G1" s="151"/>
      <c r="H1" s="151"/>
      <c r="BO1" s="3"/>
      <c r="BP1" s="3"/>
    </row>
    <row r="2" spans="1:68" ht="18" x14ac:dyDescent="0.35">
      <c r="A2" s="150" t="s">
        <v>65</v>
      </c>
      <c r="B2" s="151"/>
      <c r="C2" s="151"/>
      <c r="D2" s="151"/>
      <c r="E2" s="151"/>
      <c r="F2" s="151"/>
      <c r="G2" s="151"/>
      <c r="H2" s="151"/>
      <c r="BO2" s="3"/>
      <c r="BP2" s="3"/>
    </row>
    <row r="3" spans="1:68" ht="16.2" thickBot="1" x14ac:dyDescent="0.35">
      <c r="A3" s="4"/>
      <c r="B3" s="4"/>
      <c r="C3" s="4"/>
      <c r="D3" s="4"/>
      <c r="E3" s="4"/>
      <c r="F3" s="5"/>
      <c r="G3" s="5"/>
      <c r="H3" s="4"/>
      <c r="BO3" s="3"/>
      <c r="BP3" s="3"/>
    </row>
    <row r="4" spans="1:68" x14ac:dyDescent="0.3">
      <c r="A4" s="6"/>
      <c r="B4" s="6"/>
      <c r="C4" s="6"/>
      <c r="D4" s="6"/>
      <c r="E4" s="6"/>
      <c r="F4" s="6"/>
      <c r="G4" s="6"/>
      <c r="H4" s="6"/>
      <c r="BO4" s="3"/>
      <c r="BP4" s="3"/>
    </row>
    <row r="5" spans="1:68" x14ac:dyDescent="0.3">
      <c r="A5" s="152" t="s">
        <v>52</v>
      </c>
      <c r="B5" s="153" t="s">
        <v>50</v>
      </c>
      <c r="C5" s="154"/>
      <c r="D5" s="8"/>
      <c r="E5" s="8"/>
      <c r="F5" s="8"/>
      <c r="G5" s="8"/>
      <c r="H5" s="9" t="s">
        <v>46</v>
      </c>
    </row>
    <row r="6" spans="1:68" x14ac:dyDescent="0.3">
      <c r="A6" s="152"/>
      <c r="B6" s="10" t="s">
        <v>51</v>
      </c>
      <c r="C6" s="10" t="s">
        <v>45</v>
      </c>
      <c r="D6" s="10" t="s">
        <v>53</v>
      </c>
      <c r="E6" s="10" t="s">
        <v>54</v>
      </c>
      <c r="F6" s="64" t="s">
        <v>67</v>
      </c>
      <c r="G6" s="66"/>
      <c r="H6" s="12" t="s">
        <v>55</v>
      </c>
    </row>
    <row r="8" spans="1:68" x14ac:dyDescent="0.3">
      <c r="B8" s="149" t="s">
        <v>7</v>
      </c>
      <c r="C8" s="149"/>
      <c r="D8" s="149"/>
    </row>
    <row r="9" spans="1:68" x14ac:dyDescent="0.3">
      <c r="A9" s="14">
        <f>MAX(A8:A$8)+1</f>
        <v>1</v>
      </c>
      <c r="B9" s="15">
        <v>282</v>
      </c>
      <c r="C9" s="15" t="s">
        <v>58</v>
      </c>
      <c r="D9" s="16" t="s">
        <v>8</v>
      </c>
      <c r="E9" s="40">
        <v>-42048747.796507388</v>
      </c>
      <c r="F9" s="39">
        <v>0</v>
      </c>
      <c r="G9" s="39"/>
      <c r="H9" s="22">
        <f>+E9+F9</f>
        <v>-42048747.796507388</v>
      </c>
    </row>
    <row r="10" spans="1:68" x14ac:dyDescent="0.3">
      <c r="A10" s="14">
        <f>MAX(A$8:A9)+1</f>
        <v>2</v>
      </c>
      <c r="B10" s="15">
        <v>282</v>
      </c>
      <c r="C10" s="15" t="s">
        <v>58</v>
      </c>
      <c r="D10" s="16" t="s">
        <v>9</v>
      </c>
      <c r="E10" s="37">
        <v>-2061213.1272797743</v>
      </c>
      <c r="F10" s="37">
        <v>0</v>
      </c>
      <c r="G10" s="37"/>
      <c r="H10" s="17">
        <f t="shared" ref="H10:H20" si="0">+E10+F10</f>
        <v>-2061213.1272797743</v>
      </c>
    </row>
    <row r="11" spans="1:68" x14ac:dyDescent="0.3">
      <c r="A11" s="14">
        <f>MAX(A$8:A10)+1</f>
        <v>3</v>
      </c>
      <c r="B11" s="15">
        <v>282</v>
      </c>
      <c r="C11" s="15" t="s">
        <v>58</v>
      </c>
      <c r="D11" s="16" t="s">
        <v>10</v>
      </c>
      <c r="E11" s="37">
        <v>-14304819.103321634</v>
      </c>
      <c r="F11" s="37">
        <v>0</v>
      </c>
      <c r="G11" s="37"/>
      <c r="H11" s="17">
        <f t="shared" si="0"/>
        <v>-14304819.103321634</v>
      </c>
    </row>
    <row r="12" spans="1:68" x14ac:dyDescent="0.3">
      <c r="A12" s="14">
        <f>MAX(A$8:A11)+1</f>
        <v>4</v>
      </c>
      <c r="B12" s="15">
        <v>282</v>
      </c>
      <c r="C12" s="15" t="s">
        <v>58</v>
      </c>
      <c r="D12" s="16" t="s">
        <v>11</v>
      </c>
      <c r="E12" s="37">
        <v>16695826.330966173</v>
      </c>
      <c r="F12" s="37">
        <v>0</v>
      </c>
      <c r="G12" s="37"/>
      <c r="H12" s="17">
        <f t="shared" si="0"/>
        <v>16695826.330966173</v>
      </c>
    </row>
    <row r="13" spans="1:68" x14ac:dyDescent="0.3">
      <c r="A13" s="14">
        <f>MAX(A$8:A12)+1</f>
        <v>5</v>
      </c>
      <c r="B13" s="15">
        <v>282</v>
      </c>
      <c r="C13" s="15" t="s">
        <v>58</v>
      </c>
      <c r="D13" s="16" t="s">
        <v>12</v>
      </c>
      <c r="E13" s="37">
        <v>1236727.8763678644</v>
      </c>
      <c r="F13" s="37">
        <v>0</v>
      </c>
      <c r="G13" s="37"/>
      <c r="H13" s="17">
        <f t="shared" si="0"/>
        <v>1236727.8763678644</v>
      </c>
    </row>
    <row r="14" spans="1:68" x14ac:dyDescent="0.3">
      <c r="A14" s="14">
        <f>MAX(A$8:A13)+1</f>
        <v>6</v>
      </c>
      <c r="B14" s="15">
        <v>282</v>
      </c>
      <c r="C14" s="15" t="s">
        <v>58</v>
      </c>
      <c r="D14" s="20" t="s">
        <v>13</v>
      </c>
      <c r="E14" s="37">
        <v>-36318575.302669622</v>
      </c>
      <c r="F14" s="37">
        <f>-E14</f>
        <v>36318575.302669622</v>
      </c>
      <c r="G14" s="37"/>
      <c r="H14" s="17">
        <f t="shared" si="0"/>
        <v>0</v>
      </c>
    </row>
    <row r="15" spans="1:68" x14ac:dyDescent="0.3">
      <c r="A15" s="14">
        <f>MAX(A$8:A14)+1</f>
        <v>7</v>
      </c>
      <c r="B15" s="15">
        <v>282</v>
      </c>
      <c r="C15" s="15" t="s">
        <v>58</v>
      </c>
      <c r="D15" s="16" t="s">
        <v>14</v>
      </c>
      <c r="E15" s="37">
        <v>3421613.7912844252</v>
      </c>
      <c r="F15" s="37">
        <v>0</v>
      </c>
      <c r="G15" s="37"/>
      <c r="H15" s="17">
        <f t="shared" si="0"/>
        <v>3421613.7912844252</v>
      </c>
    </row>
    <row r="16" spans="1:68" x14ac:dyDescent="0.3">
      <c r="A16" s="14">
        <f>MAX(A$8:A15)+1</f>
        <v>8</v>
      </c>
      <c r="B16" s="15">
        <v>282</v>
      </c>
      <c r="C16" s="15" t="s">
        <v>58</v>
      </c>
      <c r="D16" s="25" t="s">
        <v>15</v>
      </c>
      <c r="E16" s="37">
        <v>21519065.048800845</v>
      </c>
      <c r="F16" s="37">
        <v>0</v>
      </c>
      <c r="G16" s="37"/>
      <c r="H16" s="17">
        <f t="shared" si="0"/>
        <v>21519065.048800845</v>
      </c>
    </row>
    <row r="17" spans="1:8" x14ac:dyDescent="0.3">
      <c r="A17" s="14">
        <f>MAX(A$8:A16)+1</f>
        <v>9</v>
      </c>
      <c r="B17" s="15">
        <v>282</v>
      </c>
      <c r="C17" s="15" t="s">
        <v>58</v>
      </c>
      <c r="D17" s="16" t="s">
        <v>16</v>
      </c>
      <c r="E17" s="37">
        <v>-288569.8378191684</v>
      </c>
      <c r="F17" s="37">
        <f>-E17</f>
        <v>288569.8378191684</v>
      </c>
      <c r="G17" s="37"/>
      <c r="H17" s="17">
        <f t="shared" si="0"/>
        <v>0</v>
      </c>
    </row>
    <row r="18" spans="1:8" x14ac:dyDescent="0.3">
      <c r="A18" s="14">
        <f>MAX(A$8:A17)+1</f>
        <v>10</v>
      </c>
      <c r="B18" s="15">
        <v>282</v>
      </c>
      <c r="C18" s="15" t="s">
        <v>58</v>
      </c>
      <c r="D18" s="16" t="s">
        <v>17</v>
      </c>
      <c r="E18" s="37">
        <v>0</v>
      </c>
      <c r="F18" s="37">
        <v>0</v>
      </c>
      <c r="G18" s="37"/>
      <c r="H18" s="17">
        <f t="shared" si="0"/>
        <v>0</v>
      </c>
    </row>
    <row r="19" spans="1:8" x14ac:dyDescent="0.3">
      <c r="A19" s="14">
        <f>MAX(A$8:A18)+1</f>
        <v>11</v>
      </c>
      <c r="B19" s="15">
        <v>282</v>
      </c>
      <c r="C19" s="15" t="s">
        <v>58</v>
      </c>
      <c r="D19" s="16" t="s">
        <v>18</v>
      </c>
      <c r="E19" s="37">
        <v>-364175135.3277905</v>
      </c>
      <c r="F19" s="37">
        <v>63020426</v>
      </c>
      <c r="G19" s="67" t="s">
        <v>66</v>
      </c>
      <c r="H19" s="17">
        <f t="shared" si="0"/>
        <v>-301154709.3277905</v>
      </c>
    </row>
    <row r="20" spans="1:8" x14ac:dyDescent="0.3">
      <c r="A20" s="14">
        <f>MAX(A$8:A19)+1</f>
        <v>12</v>
      </c>
      <c r="B20" s="15">
        <v>282</v>
      </c>
      <c r="C20" s="15" t="s">
        <v>58</v>
      </c>
      <c r="D20" s="20" t="s">
        <v>62</v>
      </c>
      <c r="E20" s="37">
        <v>4039977.7294683573</v>
      </c>
      <c r="F20" s="37">
        <v>0</v>
      </c>
      <c r="G20" s="37"/>
      <c r="H20" s="17">
        <f t="shared" si="0"/>
        <v>4039977.7294683573</v>
      </c>
    </row>
    <row r="21" spans="1:8" x14ac:dyDescent="0.3">
      <c r="A21" s="14"/>
      <c r="B21" s="15"/>
      <c r="C21" s="14"/>
      <c r="D21" s="16"/>
      <c r="E21" s="23"/>
      <c r="F21" s="23"/>
      <c r="G21" s="27"/>
      <c r="H21" s="23"/>
    </row>
    <row r="22" spans="1:8" ht="16.2" thickBot="1" x14ac:dyDescent="0.35">
      <c r="A22" s="14">
        <f>MAX(A$8:A20)+1</f>
        <v>13</v>
      </c>
      <c r="C22" s="26" t="s">
        <v>59</v>
      </c>
      <c r="E22" s="65">
        <f>SUM(E9:E21)</f>
        <v>-412283849.71850044</v>
      </c>
      <c r="F22" s="65">
        <f>SUM(F9:F21)</f>
        <v>99627571.140488788</v>
      </c>
      <c r="G22" s="65"/>
      <c r="H22" s="65">
        <f>SUM(H9:H21)</f>
        <v>-312656278.57801163</v>
      </c>
    </row>
    <row r="23" spans="1:8" ht="16.2" thickTop="1" x14ac:dyDescent="0.3">
      <c r="A23" s="80"/>
      <c r="B23" s="80"/>
      <c r="C23" s="81"/>
      <c r="D23" s="81"/>
      <c r="E23" s="81"/>
      <c r="F23" s="80"/>
      <c r="G23" s="80"/>
      <c r="H23" s="80"/>
    </row>
    <row r="24" spans="1:8" x14ac:dyDescent="0.3">
      <c r="C24" s="13"/>
      <c r="D24" s="13"/>
      <c r="E24" s="13"/>
    </row>
    <row r="25" spans="1:8" x14ac:dyDescent="0.3">
      <c r="B25" s="79" t="s">
        <v>70</v>
      </c>
      <c r="C25" s="13"/>
      <c r="D25" s="13"/>
      <c r="E25" s="13"/>
    </row>
    <row r="26" spans="1:8" x14ac:dyDescent="0.3">
      <c r="C26" s="13"/>
      <c r="D26" s="13"/>
      <c r="E26" s="13"/>
    </row>
    <row r="27" spans="1:8" x14ac:dyDescent="0.3">
      <c r="C27" s="13"/>
      <c r="D27" s="13"/>
      <c r="E27" s="13"/>
    </row>
    <row r="28" spans="1:8" x14ac:dyDescent="0.3">
      <c r="C28" s="13"/>
      <c r="D28" s="13"/>
      <c r="E28" s="13"/>
    </row>
  </sheetData>
  <mergeCells count="5">
    <mergeCell ref="B8:D8"/>
    <mergeCell ref="A1:H1"/>
    <mergeCell ref="A2:H2"/>
    <mergeCell ref="A5:A6"/>
    <mergeCell ref="B5:C5"/>
  </mergeCells>
  <pageMargins left="0.2" right="0.2" top="0.75" bottom="0.75" header="0.3" footer="0.3"/>
  <pageSetup scale="96" orientation="landscape" r:id="rId1"/>
  <headerFooter>
    <oddHeader>&amp;RPUCO CaseNo. 15-795-EL-RDR
Attachment B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>Brown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EC3E24-2687-4B81-B2BB-20CB1E0720D9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e48392ff-e111-4ddb-bb98-e239aebbafc5"/>
    <ds:schemaRef ds:uri="http://purl.org/dc/terms/"/>
    <ds:schemaRef ds:uri="http://schemas.openxmlformats.org/package/2006/metadata/core-properties"/>
    <ds:schemaRef ds:uri="cf0100b5-1501-4fd1-abc2-4edbffacf322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ABE00E-FF97-4552-BDD9-F8A32851B2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80068F-C99F-45D8-962D-60B16E7A3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Rev Req Summary</vt:lpstr>
      <vt:lpstr>13 month average calc</vt:lpstr>
      <vt:lpstr>Details 15 yr</vt:lpstr>
      <vt:lpstr>Details 5 yr</vt:lpstr>
      <vt:lpstr>Plant Data (Mar15)</vt:lpstr>
      <vt:lpstr>Accum Depr (Mar15)</vt:lpstr>
      <vt:lpstr>Accum Def Inc Tax (Mar15)</vt:lpstr>
      <vt:lpstr>'Plant Data (Mar15)'!Print_Area</vt:lpstr>
      <vt:lpstr>'Rev Req Summary'!Print_Area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CIS rev req</dc:subject>
  <dc:creator>T19577</dc:creator>
  <cp:lastModifiedBy>Czupik, Ted</cp:lastModifiedBy>
  <cp:lastPrinted>2021-07-12T20:36:58Z</cp:lastPrinted>
  <dcterms:created xsi:type="dcterms:W3CDTF">2013-09-30T17:41:08Z</dcterms:created>
  <dcterms:modified xsi:type="dcterms:W3CDTF">2021-07-13T11:25:49Z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0x010100C8EFACE5D00A1E4A87E09B004D05D64D</vt:lpwstr>
  </property>
</Properties>
</file>