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F2876652-DA25-48B8-9D13-5D4EFE321C98}" xr6:coauthVersionLast="45" xr6:coauthVersionMax="45" xr10:uidLastSave="{00000000-0000-0000-0000-000000000000}"/>
  <bookViews>
    <workbookView xWindow="28680" yWindow="-120" windowWidth="29040" windowHeight="15840" tabRatio="807" xr2:uid="{00000000-000D-0000-FFFF-FFFF00000000}"/>
  </bookViews>
  <sheets>
    <sheet name="Rev Req Summary" sheetId="1" r:id="rId1"/>
    <sheet name="13 month average calc" sheetId="14" r:id="rId2"/>
    <sheet name="Depr and ADIT" sheetId="15" r:id="rId3"/>
    <sheet name="Plant Data (Mar15)" sheetId="10" state="hidden" r:id="rId4"/>
    <sheet name="Accum Depr (Mar15)" sheetId="12" state="hidden" r:id="rId5"/>
    <sheet name="Accum Def Inc Tax (Mar15)" sheetId="11" state="hidden" r:id="rId6"/>
  </sheets>
  <externalReferences>
    <externalReference r:id="rId7"/>
    <externalReference r:id="rId8"/>
    <externalReference r:id="rId9"/>
  </externalReferences>
  <definedNames>
    <definedName name="BASE_D_REV">#REF!</definedName>
    <definedName name="CommResAlloc">[1]INPUT!$D$16</definedName>
    <definedName name="COSSALLOC">'[2]COSS ALLOC'!$A$2:$D$8</definedName>
    <definedName name="PRETAX_ROR" localSheetId="2">[3]Inputs!$C$6</definedName>
    <definedName name="PRETAX_ROR">#REF!</definedName>
    <definedName name="_xlnm.Print_Area" localSheetId="3">'Plant Data (Mar15)'!$A$1:$G$38</definedName>
    <definedName name="_xlnm.Print_Area" localSheetId="0">'Rev Req Summary'!$A$1:$G$29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5" l="1"/>
  <c r="O63" i="15"/>
  <c r="O64" i="15"/>
  <c r="M63" i="15"/>
  <c r="M64" i="15"/>
  <c r="K63" i="15"/>
  <c r="Q63" i="15" s="1"/>
  <c r="K64" i="15"/>
  <c r="Q64" i="15" s="1"/>
  <c r="E43" i="15" l="1"/>
  <c r="E44" i="15"/>
  <c r="E45" i="15"/>
  <c r="E46" i="15"/>
  <c r="E47" i="15"/>
  <c r="E48" i="15"/>
  <c r="E49" i="15"/>
  <c r="E42" i="15"/>
  <c r="P13" i="14" l="1"/>
  <c r="O13" i="14"/>
  <c r="N13" i="14"/>
  <c r="M13" i="14"/>
  <c r="L13" i="14"/>
  <c r="K13" i="14"/>
  <c r="J13" i="14"/>
  <c r="I13" i="14"/>
  <c r="H13" i="14"/>
  <c r="G13" i="14"/>
  <c r="F13" i="14"/>
  <c r="E13" i="14"/>
  <c r="D13" i="14"/>
  <c r="A3" i="15" l="1"/>
  <c r="A9" i="15" s="1"/>
  <c r="C38" i="15" l="1"/>
  <c r="G56" i="15"/>
  <c r="M56" i="15"/>
  <c r="O56" i="15"/>
  <c r="G57" i="15"/>
  <c r="M57" i="15"/>
  <c r="O57" i="15"/>
  <c r="G58" i="15"/>
  <c r="M58" i="15"/>
  <c r="O58" i="15"/>
  <c r="G59" i="15"/>
  <c r="M59" i="15"/>
  <c r="O59" i="15"/>
  <c r="G60" i="15"/>
  <c r="M60" i="15"/>
  <c r="O60" i="15"/>
  <c r="G61" i="15"/>
  <c r="M61" i="15"/>
  <c r="O61" i="15"/>
  <c r="G62" i="15"/>
  <c r="M62" i="15"/>
  <c r="O62" i="15"/>
  <c r="C109" i="15"/>
  <c r="G38" i="15"/>
  <c r="C20" i="15"/>
  <c r="A2" i="15" l="1"/>
  <c r="A1" i="15"/>
  <c r="E7" i="15"/>
  <c r="G7" i="15" s="1"/>
  <c r="I7" i="15" s="1"/>
  <c r="K7" i="15" s="1"/>
  <c r="M7" i="15" s="1"/>
  <c r="O7" i="15" s="1"/>
  <c r="Q7" i="15" s="1"/>
  <c r="S7" i="15" s="1"/>
  <c r="U7" i="15" s="1"/>
  <c r="C10" i="15"/>
  <c r="E20" i="15"/>
  <c r="G20" i="15" s="1"/>
  <c r="I20" i="15" s="1"/>
  <c r="K20" i="15" s="1"/>
  <c r="M20" i="15" s="1"/>
  <c r="O20" i="15" s="1"/>
  <c r="Q20" i="15" s="1"/>
  <c r="S20" i="15" s="1"/>
  <c r="U20" i="15" s="1"/>
  <c r="E24" i="15"/>
  <c r="E29" i="15" s="1"/>
  <c r="G24" i="15"/>
  <c r="I24" i="15"/>
  <c r="K24" i="15"/>
  <c r="M24" i="15"/>
  <c r="G25" i="15"/>
  <c r="I25" i="15"/>
  <c r="K25" i="15"/>
  <c r="M25" i="15"/>
  <c r="O25" i="15"/>
  <c r="I26" i="15"/>
  <c r="K26" i="15"/>
  <c r="M26" i="15"/>
  <c r="O26" i="15"/>
  <c r="Q26" i="15"/>
  <c r="K27" i="15"/>
  <c r="M27" i="15"/>
  <c r="O27" i="15"/>
  <c r="Q27" i="15"/>
  <c r="S27" i="15"/>
  <c r="M28" i="15"/>
  <c r="O28" i="15"/>
  <c r="Q28" i="15"/>
  <c r="S28" i="15"/>
  <c r="U28" i="15"/>
  <c r="U29" i="15" s="1"/>
  <c r="C29" i="15"/>
  <c r="S40" i="15"/>
  <c r="E40" i="15"/>
  <c r="G40" i="15"/>
  <c r="Q40" i="15" s="1"/>
  <c r="A41" i="15"/>
  <c r="G41" i="15"/>
  <c r="G42" i="15"/>
  <c r="G43" i="15"/>
  <c r="M43" i="15"/>
  <c r="G44" i="15"/>
  <c r="M44" i="15"/>
  <c r="O44" i="15"/>
  <c r="G45" i="15"/>
  <c r="M45" i="15"/>
  <c r="O45" i="15"/>
  <c r="G46" i="15"/>
  <c r="M46" i="15"/>
  <c r="O46" i="15"/>
  <c r="G47" i="15"/>
  <c r="M47" i="15"/>
  <c r="O47" i="15"/>
  <c r="G48" i="15"/>
  <c r="M48" i="15"/>
  <c r="O48" i="15"/>
  <c r="G49" i="15"/>
  <c r="M49" i="15"/>
  <c r="O49" i="15"/>
  <c r="G50" i="15"/>
  <c r="M50" i="15"/>
  <c r="O50" i="15"/>
  <c r="G51" i="15"/>
  <c r="M51" i="15"/>
  <c r="O51" i="15"/>
  <c r="G52" i="15"/>
  <c r="M52" i="15"/>
  <c r="O52" i="15"/>
  <c r="G53" i="15"/>
  <c r="M53" i="15"/>
  <c r="O53" i="15"/>
  <c r="G54" i="15"/>
  <c r="M54" i="15"/>
  <c r="O54" i="15"/>
  <c r="G55" i="15"/>
  <c r="M55" i="15"/>
  <c r="O55" i="15"/>
  <c r="O29" i="15" l="1"/>
  <c r="G29" i="15"/>
  <c r="M29" i="15"/>
  <c r="U40" i="15"/>
  <c r="S29" i="15"/>
  <c r="O109" i="15"/>
  <c r="A42" i="15"/>
  <c r="I38" i="15"/>
  <c r="M109" i="15"/>
  <c r="Y40" i="15"/>
  <c r="Q29" i="15"/>
  <c r="K29" i="15"/>
  <c r="I29" i="15"/>
  <c r="G109" i="15"/>
  <c r="AA40" i="15"/>
  <c r="C16" i="15" s="1"/>
  <c r="W40" i="15"/>
  <c r="C12" i="15"/>
  <c r="A43" i="15" l="1"/>
  <c r="K38" i="15"/>
  <c r="I58" i="15"/>
  <c r="I60" i="15"/>
  <c r="I57" i="15"/>
  <c r="I59" i="15"/>
  <c r="I56" i="15"/>
  <c r="I61" i="15"/>
  <c r="I62" i="15"/>
  <c r="I52" i="15"/>
  <c r="I42" i="15"/>
  <c r="I45" i="15"/>
  <c r="I49" i="15"/>
  <c r="I44" i="15"/>
  <c r="I48" i="15"/>
  <c r="I51" i="15"/>
  <c r="I43" i="15"/>
  <c r="E41" i="15"/>
  <c r="S41" i="15" s="1"/>
  <c r="I47" i="15"/>
  <c r="I53" i="15"/>
  <c r="I41" i="15"/>
  <c r="I50" i="15"/>
  <c r="I46" i="15"/>
  <c r="I55" i="15"/>
  <c r="I54" i="15"/>
  <c r="E10" i="15"/>
  <c r="C14" i="15"/>
  <c r="A44" i="15" l="1"/>
  <c r="M38" i="15"/>
  <c r="E12" i="15"/>
  <c r="E14" i="15" s="1"/>
  <c r="U41" i="15"/>
  <c r="W41" i="15"/>
  <c r="Q41" i="15"/>
  <c r="I109" i="15"/>
  <c r="A45" i="15" l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O38" i="15"/>
  <c r="Y41" i="15"/>
  <c r="K61" i="15"/>
  <c r="Q61" i="15" s="1"/>
  <c r="K60" i="15"/>
  <c r="Q60" i="15" s="1"/>
  <c r="K62" i="15"/>
  <c r="Q62" i="15" s="1"/>
  <c r="K56" i="15"/>
  <c r="Q56" i="15" s="1"/>
  <c r="K58" i="15"/>
  <c r="Q58" i="15" s="1"/>
  <c r="K57" i="15"/>
  <c r="Q57" i="15" s="1"/>
  <c r="K59" i="15"/>
  <c r="Q59" i="15" s="1"/>
  <c r="K46" i="15"/>
  <c r="Q46" i="15" s="1"/>
  <c r="K55" i="15"/>
  <c r="Q55" i="15" s="1"/>
  <c r="K49" i="15"/>
  <c r="Q49" i="15" s="1"/>
  <c r="K52" i="15"/>
  <c r="Q52" i="15" s="1"/>
  <c r="K47" i="15"/>
  <c r="Q47" i="15" s="1"/>
  <c r="K42" i="15"/>
  <c r="K45" i="15"/>
  <c r="Q45" i="15" s="1"/>
  <c r="K54" i="15"/>
  <c r="Q54" i="15" s="1"/>
  <c r="K44" i="15"/>
  <c r="Q44" i="15" s="1"/>
  <c r="K48" i="15"/>
  <c r="Q48" i="15" s="1"/>
  <c r="K51" i="15"/>
  <c r="Q51" i="15" s="1"/>
  <c r="E109" i="15"/>
  <c r="K43" i="15"/>
  <c r="Q43" i="15" s="1"/>
  <c r="K50" i="15"/>
  <c r="Q50" i="15" s="1"/>
  <c r="K53" i="15"/>
  <c r="Q53" i="15" s="1"/>
  <c r="G10" i="15"/>
  <c r="I10" i="15" s="1"/>
  <c r="K10" i="15" s="1"/>
  <c r="M10" i="15" s="1"/>
  <c r="O10" i="15" s="1"/>
  <c r="Q10" i="15" s="1"/>
  <c r="S10" i="15" s="1"/>
  <c r="U10" i="15" s="1"/>
  <c r="K109" i="15" l="1"/>
  <c r="Q42" i="15"/>
  <c r="S42" i="15"/>
  <c r="U42" i="15"/>
  <c r="S43" i="15" s="1"/>
  <c r="I12" i="15" s="1"/>
  <c r="AA41" i="15"/>
  <c r="E16" i="15" s="1"/>
  <c r="A3" i="14"/>
  <c r="A2" i="14"/>
  <c r="A1" i="14"/>
  <c r="U43" i="15" l="1"/>
  <c r="S44" i="15" s="1"/>
  <c r="K12" i="15" s="1"/>
  <c r="G12" i="15"/>
  <c r="F20" i="1" s="1"/>
  <c r="W42" i="15"/>
  <c r="W43" i="15"/>
  <c r="Y43" i="15"/>
  <c r="Y42" i="15"/>
  <c r="Q109" i="15"/>
  <c r="I14" i="15" l="1"/>
  <c r="K14" i="15"/>
  <c r="W44" i="15"/>
  <c r="Y44" i="15"/>
  <c r="G14" i="15"/>
  <c r="F9" i="1" s="1"/>
  <c r="U44" i="15"/>
  <c r="AA43" i="15"/>
  <c r="I16" i="15" s="1"/>
  <c r="AA42" i="15"/>
  <c r="G16" i="15" s="1"/>
  <c r="F12" i="1" s="1"/>
  <c r="S45" i="15" l="1"/>
  <c r="M12" i="15" s="1"/>
  <c r="U45" i="15"/>
  <c r="S46" i="15" s="1"/>
  <c r="O12" i="15" s="1"/>
  <c r="AA44" i="15"/>
  <c r="K16" i="15" s="1"/>
  <c r="O14" i="15" l="1"/>
  <c r="M14" i="15"/>
  <c r="W46" i="15"/>
  <c r="Y45" i="15"/>
  <c r="W45" i="15"/>
  <c r="U46" i="15"/>
  <c r="S47" i="15" s="1"/>
  <c r="Q12" i="15" s="1"/>
  <c r="Q14" i="15" s="1"/>
  <c r="Y46" i="15"/>
  <c r="AA45" i="15" l="1"/>
  <c r="M16" i="15" s="1"/>
  <c r="AA46" i="15"/>
  <c r="O16" i="15" s="1"/>
  <c r="Y47" i="15"/>
  <c r="AA47" i="15" s="1"/>
  <c r="Q16" i="15" s="1"/>
  <c r="W47" i="15"/>
  <c r="U47" i="15"/>
  <c r="S48" i="15" s="1"/>
  <c r="S12" i="15" s="1"/>
  <c r="S14" i="15" l="1"/>
  <c r="Y48" i="15"/>
  <c r="W48" i="15"/>
  <c r="U48" i="15"/>
  <c r="S49" i="15" s="1"/>
  <c r="U12" i="15" s="1"/>
  <c r="U14" i="15" s="1"/>
  <c r="U49" i="15"/>
  <c r="S50" i="15" s="1"/>
  <c r="AA48" i="15" l="1"/>
  <c r="S16" i="15" s="1"/>
  <c r="Y49" i="15"/>
  <c r="AA49" i="15" s="1"/>
  <c r="U16" i="15" s="1"/>
  <c r="W49" i="15"/>
  <c r="U50" i="15"/>
  <c r="S51" i="15" s="1"/>
  <c r="Y50" i="15"/>
  <c r="D15" i="14"/>
  <c r="F8" i="1" s="1"/>
  <c r="AA50" i="15" l="1"/>
  <c r="U51" i="15"/>
  <c r="S52" i="15" s="1"/>
  <c r="Y51" i="15"/>
  <c r="AA51" i="15" s="1"/>
  <c r="W50" i="15"/>
  <c r="G32" i="10"/>
  <c r="A9" i="1"/>
  <c r="A10" i="1" s="1"/>
  <c r="E22" i="11"/>
  <c r="F26" i="10"/>
  <c r="E33" i="12"/>
  <c r="E29" i="12"/>
  <c r="G29" i="12" s="1"/>
  <c r="E24" i="12"/>
  <c r="G24" i="12" s="1"/>
  <c r="E23" i="12"/>
  <c r="E19" i="12"/>
  <c r="E16" i="12"/>
  <c r="E35" i="12" s="1"/>
  <c r="E30" i="10"/>
  <c r="G30" i="10" s="1"/>
  <c r="E25" i="10"/>
  <c r="E24" i="10"/>
  <c r="E17" i="10"/>
  <c r="G17" i="10" s="1"/>
  <c r="F32" i="12"/>
  <c r="G32" i="12" s="1"/>
  <c r="F27" i="12"/>
  <c r="F28" i="10"/>
  <c r="G28" i="10" s="1"/>
  <c r="F33" i="10"/>
  <c r="G33" i="10" s="1"/>
  <c r="F17" i="11"/>
  <c r="F14" i="11"/>
  <c r="F22" i="11"/>
  <c r="F25" i="12"/>
  <c r="G25" i="12" s="1"/>
  <c r="G11" i="10"/>
  <c r="G12" i="10"/>
  <c r="G13" i="10"/>
  <c r="G15" i="10"/>
  <c r="G16" i="10"/>
  <c r="G18" i="10"/>
  <c r="G19" i="10"/>
  <c r="G20" i="10"/>
  <c r="G21" i="10"/>
  <c r="G22" i="10"/>
  <c r="G23" i="10"/>
  <c r="G27" i="10"/>
  <c r="G29" i="10"/>
  <c r="G31" i="10"/>
  <c r="G14" i="10"/>
  <c r="G25" i="10"/>
  <c r="G24" i="10"/>
  <c r="G26" i="10"/>
  <c r="A10" i="10"/>
  <c r="A12" i="10" s="1"/>
  <c r="G33" i="12"/>
  <c r="G31" i="12"/>
  <c r="G30" i="12"/>
  <c r="G28" i="12"/>
  <c r="G27" i="12"/>
  <c r="G26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A9" i="12"/>
  <c r="H20" i="11"/>
  <c r="H19" i="11"/>
  <c r="H18" i="11"/>
  <c r="H17" i="11"/>
  <c r="H16" i="11"/>
  <c r="H15" i="11"/>
  <c r="H14" i="11"/>
  <c r="H13" i="11"/>
  <c r="H12" i="11"/>
  <c r="H22" i="11" s="1"/>
  <c r="H11" i="11"/>
  <c r="H10" i="11"/>
  <c r="H9" i="11"/>
  <c r="A9" i="11"/>
  <c r="G10" i="10"/>
  <c r="A11" i="10"/>
  <c r="A10" i="12"/>
  <c r="A11" i="12"/>
  <c r="W51" i="15" l="1"/>
  <c r="U52" i="15"/>
  <c r="S53" i="15" s="1"/>
  <c r="Y52" i="15"/>
  <c r="AA52" i="15" s="1"/>
  <c r="G35" i="12"/>
  <c r="G35" i="10"/>
  <c r="A12" i="12"/>
  <c r="A14" i="12" s="1"/>
  <c r="A13" i="12"/>
  <c r="A10" i="11"/>
  <c r="E35" i="10"/>
  <c r="F35" i="12"/>
  <c r="F35" i="10"/>
  <c r="A13" i="10"/>
  <c r="A12" i="1"/>
  <c r="W52" i="15" l="1"/>
  <c r="U53" i="15"/>
  <c r="S54" i="15" s="1"/>
  <c r="A15" i="12"/>
  <c r="A12" i="11"/>
  <c r="A14" i="10"/>
  <c r="A11" i="11"/>
  <c r="A14" i="1"/>
  <c r="W54" i="15" l="1"/>
  <c r="U54" i="15"/>
  <c r="S55" i="15" s="1"/>
  <c r="Y53" i="15"/>
  <c r="AA53" i="15" s="1"/>
  <c r="W53" i="15"/>
  <c r="A15" i="10"/>
  <c r="A13" i="11"/>
  <c r="A14" i="11" s="1"/>
  <c r="A16" i="12"/>
  <c r="A16" i="1"/>
  <c r="A18" i="1" s="1"/>
  <c r="F10" i="1"/>
  <c r="F21" i="1" s="1"/>
  <c r="U55" i="15" l="1"/>
  <c r="S56" i="15" s="1"/>
  <c r="W55" i="15"/>
  <c r="Y54" i="15"/>
  <c r="AA54" i="15" s="1"/>
  <c r="A15" i="11"/>
  <c r="A20" i="12"/>
  <c r="A17" i="12"/>
  <c r="A18" i="12"/>
  <c r="A16" i="10"/>
  <c r="A16" i="11"/>
  <c r="A19" i="12"/>
  <c r="A21" i="12" s="1"/>
  <c r="A20" i="1"/>
  <c r="F14" i="1"/>
  <c r="F18" i="1" s="1"/>
  <c r="F23" i="1" s="1"/>
  <c r="U56" i="15" l="1"/>
  <c r="S57" i="15" s="1"/>
  <c r="W56" i="15"/>
  <c r="Y55" i="15"/>
  <c r="AA55" i="15" s="1"/>
  <c r="A22" i="12"/>
  <c r="A17" i="11"/>
  <c r="A18" i="11" s="1"/>
  <c r="A19" i="11" s="1"/>
  <c r="A20" i="11" s="1"/>
  <c r="A22" i="11" s="1"/>
  <c r="A23" i="12"/>
  <c r="A17" i="10"/>
  <c r="A18" i="10"/>
  <c r="A21" i="1"/>
  <c r="A23" i="1" s="1"/>
  <c r="Y56" i="15" l="1"/>
  <c r="AA56" i="15" s="1"/>
  <c r="U57" i="15"/>
  <c r="S58" i="15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5" i="12" s="1"/>
  <c r="A20" i="10"/>
  <c r="A19" i="10"/>
  <c r="U58" i="15" l="1"/>
  <c r="S59" i="15" s="1"/>
  <c r="Y58" i="15"/>
  <c r="Y57" i="15"/>
  <c r="AA57" i="15" s="1"/>
  <c r="W57" i="15"/>
  <c r="A21" i="10"/>
  <c r="W58" i="15" l="1"/>
  <c r="AA58" i="15"/>
  <c r="U59" i="15"/>
  <c r="S60" i="15" s="1"/>
  <c r="Y59" i="15"/>
  <c r="AA59" i="15" s="1"/>
  <c r="A22" i="10"/>
  <c r="A23" i="10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5" i="10" s="1"/>
  <c r="W59" i="15" l="1"/>
  <c r="U60" i="15"/>
  <c r="S61" i="15" s="1"/>
  <c r="Y61" i="15" s="1"/>
  <c r="U61" i="15" l="1"/>
  <c r="S62" i="15" s="1"/>
  <c r="Y62" i="15" s="1"/>
  <c r="Y60" i="15"/>
  <c r="AA61" i="15" s="1"/>
  <c r="W60" i="15"/>
  <c r="AA62" i="15" l="1"/>
  <c r="U62" i="15"/>
  <c r="AA60" i="15"/>
  <c r="S63" i="15" l="1"/>
  <c r="U63" i="15"/>
  <c r="W61" i="15"/>
  <c r="U64" i="15" l="1"/>
  <c r="S64" i="15"/>
  <c r="Y63" i="15"/>
  <c r="AA63" i="15" s="1"/>
  <c r="W63" i="15"/>
  <c r="W62" i="15"/>
  <c r="Y64" i="15" l="1"/>
  <c r="AA64" i="15" s="1"/>
  <c r="W64" i="15"/>
  <c r="S65" i="15"/>
  <c r="U65" i="15"/>
  <c r="S66" i="15" l="1"/>
  <c r="U66" i="15"/>
  <c r="Y65" i="15"/>
  <c r="W65" i="15"/>
  <c r="AA65" i="15" l="1"/>
  <c r="S67" i="15"/>
  <c r="U67" i="15"/>
  <c r="Y66" i="15"/>
  <c r="AA66" i="15" s="1"/>
  <c r="W66" i="15"/>
  <c r="S68" i="15" l="1"/>
  <c r="U68" i="15"/>
  <c r="Y67" i="15"/>
  <c r="AA67" i="15" s="1"/>
  <c r="W67" i="15"/>
  <c r="S69" i="15" l="1"/>
  <c r="U69" i="15"/>
  <c r="Y68" i="15"/>
  <c r="W68" i="15"/>
  <c r="AA68" i="15" l="1"/>
  <c r="S70" i="15"/>
  <c r="U70" i="15"/>
  <c r="Y69" i="15"/>
  <c r="AA69" i="15" s="1"/>
  <c r="W69" i="15"/>
  <c r="Y70" i="15" l="1"/>
  <c r="AA70" i="15" s="1"/>
  <c r="W70" i="15"/>
  <c r="S71" i="15"/>
  <c r="U71" i="15"/>
  <c r="S72" i="15" l="1"/>
  <c r="U72" i="15"/>
  <c r="Y71" i="15"/>
  <c r="AA71" i="15" s="1"/>
  <c r="W71" i="15"/>
  <c r="S73" i="15" l="1"/>
  <c r="U73" i="15"/>
  <c r="Y72" i="15"/>
  <c r="AA72" i="15" s="1"/>
  <c r="W72" i="15"/>
  <c r="S74" i="15" l="1"/>
  <c r="U74" i="15"/>
  <c r="Y73" i="15"/>
  <c r="AA73" i="15" s="1"/>
  <c r="W73" i="15"/>
  <c r="S75" i="15" l="1"/>
  <c r="U75" i="15"/>
  <c r="Y74" i="15"/>
  <c r="AA74" i="15" s="1"/>
  <c r="W74" i="15"/>
  <c r="S76" i="15" l="1"/>
  <c r="U76" i="15"/>
  <c r="Y75" i="15"/>
  <c r="AA75" i="15" s="1"/>
  <c r="W75" i="15"/>
  <c r="S77" i="15" l="1"/>
  <c r="U77" i="15"/>
  <c r="Y76" i="15"/>
  <c r="AA76" i="15" s="1"/>
  <c r="W76" i="15"/>
  <c r="S78" i="15" l="1"/>
  <c r="U78" i="15"/>
  <c r="Y77" i="15"/>
  <c r="AA77" i="15" s="1"/>
  <c r="W77" i="15"/>
  <c r="S79" i="15" l="1"/>
  <c r="U79" i="15"/>
  <c r="Y78" i="15"/>
  <c r="AA78" i="15" s="1"/>
  <c r="W78" i="15"/>
  <c r="S80" i="15" l="1"/>
  <c r="U80" i="15"/>
  <c r="Y79" i="15"/>
  <c r="AA79" i="15" s="1"/>
  <c r="W79" i="15"/>
  <c r="S81" i="15" l="1"/>
  <c r="U81" i="15"/>
  <c r="Y80" i="15"/>
  <c r="AA80" i="15" s="1"/>
  <c r="W80" i="15"/>
  <c r="S82" i="15" l="1"/>
  <c r="U82" i="15"/>
  <c r="Y81" i="15"/>
  <c r="AA81" i="15" s="1"/>
  <c r="W81" i="15"/>
  <c r="S83" i="15" l="1"/>
  <c r="U83" i="15"/>
  <c r="Y82" i="15"/>
  <c r="AA82" i="15" s="1"/>
  <c r="W82" i="15"/>
  <c r="S84" i="15" l="1"/>
  <c r="U84" i="15"/>
  <c r="Y83" i="15"/>
  <c r="AA83" i="15" s="1"/>
  <c r="W83" i="15"/>
  <c r="S85" i="15" l="1"/>
  <c r="U85" i="15"/>
  <c r="Y84" i="15"/>
  <c r="AA84" i="15" s="1"/>
  <c r="W84" i="15"/>
  <c r="S86" i="15" l="1"/>
  <c r="U86" i="15"/>
  <c r="Y85" i="15"/>
  <c r="AA85" i="15" s="1"/>
  <c r="W85" i="15"/>
  <c r="S87" i="15" l="1"/>
  <c r="U87" i="15"/>
  <c r="Y86" i="15"/>
  <c r="AA86" i="15" s="1"/>
  <c r="W86" i="15"/>
  <c r="S88" i="15" l="1"/>
  <c r="U88" i="15"/>
  <c r="Y87" i="15"/>
  <c r="AA87" i="15" s="1"/>
  <c r="W87" i="15"/>
  <c r="S89" i="15" l="1"/>
  <c r="U89" i="15"/>
  <c r="Y88" i="15"/>
  <c r="AA88" i="15" s="1"/>
  <c r="W88" i="15"/>
  <c r="S90" i="15" l="1"/>
  <c r="U90" i="15"/>
  <c r="Y89" i="15"/>
  <c r="AA89" i="15" s="1"/>
  <c r="W89" i="15"/>
  <c r="S91" i="15" l="1"/>
  <c r="U91" i="15"/>
  <c r="Y90" i="15"/>
  <c r="AA90" i="15" s="1"/>
  <c r="W90" i="15"/>
  <c r="S92" i="15" l="1"/>
  <c r="U92" i="15"/>
  <c r="Y91" i="15"/>
  <c r="AA91" i="15" s="1"/>
  <c r="W91" i="15"/>
  <c r="S93" i="15" l="1"/>
  <c r="U93" i="15"/>
  <c r="Y92" i="15"/>
  <c r="AA92" i="15" s="1"/>
  <c r="W92" i="15"/>
  <c r="S94" i="15" l="1"/>
  <c r="U94" i="15"/>
  <c r="Y93" i="15"/>
  <c r="AA93" i="15" s="1"/>
  <c r="W93" i="15"/>
  <c r="S95" i="15" l="1"/>
  <c r="U95" i="15"/>
  <c r="Y94" i="15"/>
  <c r="AA94" i="15" s="1"/>
  <c r="W94" i="15"/>
  <c r="S96" i="15" l="1"/>
  <c r="U96" i="15"/>
  <c r="Y95" i="15"/>
  <c r="AA95" i="15" s="1"/>
  <c r="W95" i="15"/>
  <c r="S97" i="15" l="1"/>
  <c r="U97" i="15"/>
  <c r="Y96" i="15"/>
  <c r="AA96" i="15" s="1"/>
  <c r="W96" i="15"/>
  <c r="S98" i="15" l="1"/>
  <c r="U98" i="15"/>
  <c r="Y97" i="15"/>
  <c r="AA97" i="15" s="1"/>
  <c r="W97" i="15"/>
  <c r="S99" i="15" l="1"/>
  <c r="U99" i="15"/>
  <c r="Y98" i="15"/>
  <c r="AA98" i="15" s="1"/>
  <c r="W98" i="15"/>
  <c r="S100" i="15" l="1"/>
  <c r="U100" i="15"/>
  <c r="Y99" i="15"/>
  <c r="AA99" i="15" s="1"/>
  <c r="W99" i="15"/>
  <c r="S101" i="15" l="1"/>
  <c r="U101" i="15"/>
  <c r="Y100" i="15"/>
  <c r="AA100" i="15" s="1"/>
  <c r="W100" i="15"/>
  <c r="S102" i="15" l="1"/>
  <c r="U102" i="15"/>
  <c r="Y101" i="15"/>
  <c r="AA101" i="15" s="1"/>
  <c r="W101" i="15"/>
  <c r="S103" i="15" l="1"/>
  <c r="U103" i="15"/>
  <c r="Y102" i="15"/>
  <c r="AA102" i="15" s="1"/>
  <c r="W102" i="15"/>
  <c r="S104" i="15" l="1"/>
  <c r="U104" i="15"/>
  <c r="Y103" i="15"/>
  <c r="AA103" i="15" s="1"/>
  <c r="W103" i="15"/>
  <c r="S105" i="15" l="1"/>
  <c r="U105" i="15"/>
  <c r="S106" i="15" s="1"/>
  <c r="Y104" i="15"/>
  <c r="AA104" i="15" s="1"/>
  <c r="W104" i="15"/>
  <c r="U106" i="15" l="1"/>
  <c r="Y105" i="15"/>
  <c r="AA105" i="15" s="1"/>
  <c r="W105" i="15"/>
  <c r="S107" i="15" l="1"/>
  <c r="U107" i="15"/>
  <c r="U108" i="15" s="1"/>
  <c r="Y106" i="15"/>
  <c r="AA106" i="15" s="1"/>
  <c r="W106" i="15"/>
  <c r="W107" i="15" l="1"/>
  <c r="Y107" i="15"/>
  <c r="AA107" i="15" s="1"/>
  <c r="S108" i="15"/>
  <c r="S109" i="15"/>
  <c r="Y108" i="15" l="1"/>
  <c r="AA108" i="15" s="1"/>
  <c r="W108" i="15"/>
  <c r="Y109" i="15"/>
</calcChain>
</file>

<file path=xl/sharedStrings.xml><?xml version="1.0" encoding="utf-8"?>
<sst xmlns="http://schemas.openxmlformats.org/spreadsheetml/2006/main" count="188" uniqueCount="123">
  <si>
    <t>Return on Rate Base (Pre-Tax)</t>
  </si>
  <si>
    <t>\F</t>
  </si>
  <si>
    <t>\B</t>
  </si>
  <si>
    <t>\A</t>
  </si>
  <si>
    <t>\C</t>
  </si>
  <si>
    <t>\D</t>
  </si>
  <si>
    <t>\E</t>
  </si>
  <si>
    <t>Account 282</t>
  </si>
  <si>
    <t>263A</t>
  </si>
  <si>
    <t>AFUDC Debt</t>
  </si>
  <si>
    <t>Casualty Loss</t>
  </si>
  <si>
    <t>CIAC</t>
  </si>
  <si>
    <t>CWIP Differences</t>
  </si>
  <si>
    <t>FAS109</t>
  </si>
  <si>
    <t>Miscellaneous</t>
  </si>
  <si>
    <t>Non-Cash Overheads</t>
  </si>
  <si>
    <t>Section 174</t>
  </si>
  <si>
    <t>Software</t>
  </si>
  <si>
    <t>Tax Depreciation</t>
  </si>
  <si>
    <t>Land and Land Rights</t>
  </si>
  <si>
    <t>Rights of Way</t>
  </si>
  <si>
    <t>Structures and Improvements</t>
  </si>
  <si>
    <t>Station Equipment</t>
  </si>
  <si>
    <t>Major Equipment</t>
  </si>
  <si>
    <t>Station Equipment Electronic</t>
  </si>
  <si>
    <t>Poles, Towers &amp; Fixtures</t>
  </si>
  <si>
    <t>3650, 3651</t>
  </si>
  <si>
    <t>Overhead Conductors and Devices</t>
  </si>
  <si>
    <t>Underground Conduit</t>
  </si>
  <si>
    <t>Underground Conductors and Devices</t>
  </si>
  <si>
    <t>3680, 3681</t>
  </si>
  <si>
    <t>Line Transformers</t>
  </si>
  <si>
    <t>Customer Transformer Installations</t>
  </si>
  <si>
    <t>Services - Underground</t>
  </si>
  <si>
    <t>Services - Overhead</t>
  </si>
  <si>
    <t>Meters</t>
  </si>
  <si>
    <t>Leased Meters</t>
  </si>
  <si>
    <t>Utility of the Future Meters</t>
  </si>
  <si>
    <t>Installations on Customers' Premises</t>
  </si>
  <si>
    <t>Leased Property on Customers' Premises</t>
  </si>
  <si>
    <t>3730, 3731</t>
  </si>
  <si>
    <t>Street Lighting - Overhead</t>
  </si>
  <si>
    <t>Street Lighting - Boulevard</t>
  </si>
  <si>
    <t>Light Security OL POL Flood</t>
  </si>
  <si>
    <t>Light Choice OLE - Public</t>
  </si>
  <si>
    <t>Company</t>
  </si>
  <si>
    <t>Adjusted</t>
  </si>
  <si>
    <t>Duke Energy Ohio, Inc.</t>
  </si>
  <si>
    <t>Company Owned Outdoor Light</t>
  </si>
  <si>
    <t>Street Lighting</t>
  </si>
  <si>
    <t>Account Number</t>
  </si>
  <si>
    <t>FERC</t>
  </si>
  <si>
    <t>Line No.</t>
  </si>
  <si>
    <t>Account Title</t>
  </si>
  <si>
    <t>Per Books</t>
  </si>
  <si>
    <t>Total Company</t>
  </si>
  <si>
    <t>Distribution Accounts</t>
  </si>
  <si>
    <r>
      <t xml:space="preserve">Adjustments </t>
    </r>
    <r>
      <rPr>
        <b/>
        <vertAlign val="superscript"/>
        <sz val="12"/>
        <rFont val="Calibri"/>
        <family val="2"/>
        <scheme val="minor"/>
      </rPr>
      <t>(a)</t>
    </r>
  </si>
  <si>
    <t>282.XXX</t>
  </si>
  <si>
    <t xml:space="preserve">Total Plant-Related Accumulated Deferred Income Tax </t>
  </si>
  <si>
    <t>Dist Station Equip Elec</t>
  </si>
  <si>
    <t>Retirement Work in Progress</t>
  </si>
  <si>
    <t>TIC</t>
  </si>
  <si>
    <t>Plant in Service Summary by Major Property Groupings (As of March 31, 2015)</t>
  </si>
  <si>
    <t>Accumulated Depreciation by Major Property Groupings (As of March 31, 2015)</t>
  </si>
  <si>
    <t>Plant Related Accumulated Deferred Income Taxes - Excluding Grid Modernization (March 31, 2015)</t>
  </si>
  <si>
    <t>(a)</t>
  </si>
  <si>
    <t xml:space="preserve">Adjustments </t>
  </si>
  <si>
    <t>Line</t>
  </si>
  <si>
    <t>Description</t>
  </si>
  <si>
    <t>Notes:  (a) Grid Mod additions</t>
  </si>
  <si>
    <t>Accumulated Depreciation</t>
  </si>
  <si>
    <t>Depreciation Expense</t>
  </si>
  <si>
    <t xml:space="preserve">Assumptions:  </t>
  </si>
  <si>
    <t xml:space="preserve">Estimated Revenue Requirement </t>
  </si>
  <si>
    <t>Duke Energy Kentucky</t>
  </si>
  <si>
    <r>
      <t>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</si>
  <si>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  Net Plant in Service</t>
  </si>
  <si>
    <t>Rate Base</t>
  </si>
  <si>
    <t xml:space="preserve">  Revenue Requirement (Lines 7 - 9)</t>
  </si>
  <si>
    <t>Test Period</t>
  </si>
  <si>
    <r>
      <t xml:space="preserve">Annualized Property Tax Expense </t>
    </r>
    <r>
      <rPr>
        <vertAlign val="superscript"/>
        <sz val="11"/>
        <color theme="1"/>
        <rFont val="Calibri"/>
        <family val="2"/>
        <scheme val="minor"/>
      </rPr>
      <t>(d)</t>
    </r>
  </si>
  <si>
    <r>
      <t xml:space="preserve">Return on Rate Base (Pre-Tax %)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</si>
  <si>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Accum Def Income Taxes on Plant </t>
    </r>
    <r>
      <rPr>
        <vertAlign val="superscript"/>
        <sz val="11"/>
        <color theme="1"/>
        <rFont val="Calibri"/>
        <family val="2"/>
        <scheme val="minor"/>
      </rPr>
      <t>(b)</t>
    </r>
  </si>
  <si>
    <t xml:space="preserve">13 Month Average (Average of Ln 2): </t>
  </si>
  <si>
    <t>UL-60 Natural Gas Pipeline</t>
  </si>
  <si>
    <t>ADIT</t>
  </si>
  <si>
    <t>Deferred Tax</t>
  </si>
  <si>
    <t>Depreciation</t>
  </si>
  <si>
    <t>Plant</t>
  </si>
  <si>
    <t>Tax Depr</t>
  </si>
  <si>
    <t>Cap Additions</t>
  </si>
  <si>
    <t>Accumulated</t>
  </si>
  <si>
    <t>Gross</t>
  </si>
  <si>
    <t>Book</t>
  </si>
  <si>
    <t>Total</t>
  </si>
  <si>
    <t xml:space="preserve">Tax Deprecation on </t>
  </si>
  <si>
    <t>Tax Life</t>
  </si>
  <si>
    <t>Book Life</t>
  </si>
  <si>
    <t>Amortization of O&amp;M for Rider</t>
  </si>
  <si>
    <t xml:space="preserve">    2023 O&amp;M</t>
  </si>
  <si>
    <t xml:space="preserve">    2022 O&amp;M</t>
  </si>
  <si>
    <t xml:space="preserve">    2021 O&amp;M</t>
  </si>
  <si>
    <t xml:space="preserve">    2020 O&amp;M</t>
  </si>
  <si>
    <t xml:space="preserve">    2019 O&amp;M</t>
  </si>
  <si>
    <t xml:space="preserve">  Amortize O&amp;M over 5 yrs After Spend</t>
  </si>
  <si>
    <t>Annual O&amp;M</t>
  </si>
  <si>
    <t>Project</t>
  </si>
  <si>
    <t>Annual Spend (O&amp;M)</t>
  </si>
  <si>
    <t>Accumulated Deferred Income Tax</t>
  </si>
  <si>
    <t>Property, Plant and Equipment (Capital)</t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</si>
  <si>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Weighted-Average Cost of Capital from Schedule A in Case No. 21-00190, with ROE at 10.3%, grossed up for 21% FIT rate.</t>
    </r>
  </si>
  <si>
    <r>
      <t>Cumulative 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</si>
  <si>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r>
      <rPr>
        <vertAlign val="superscript"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>Assumes 67.11 year book life; 20 year MACRS</t>
    </r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</si>
  <si>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13 month average of cumulative gross plant</t>
    </r>
  </si>
  <si>
    <t>Balance of Gross Plant by Account</t>
  </si>
  <si>
    <t xml:space="preserve">     27400 - Non-depr Land &amp; Land Rights</t>
  </si>
  <si>
    <t xml:space="preserve">     27605 - Gas Mains - Feeder Lines/St</t>
  </si>
  <si>
    <t xml:space="preserve">     27800 - System Meas &amp; Reg Station</t>
  </si>
  <si>
    <r>
      <t xml:space="preserve">  Cumulative 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</si>
  <si>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r>
      <t xml:space="preserve">    </t>
    </r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Excludes  account 27400 - Non-depr Land &amp; Land Rights</t>
    </r>
  </si>
  <si>
    <r>
      <rPr>
        <vertAlign val="superscript"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Assumes 0.76% of net plant; derived from test year property taxes divided by test year net plant.</t>
    </r>
  </si>
  <si>
    <r>
      <rPr>
        <vertAlign val="superscript"/>
        <sz val="10"/>
        <color theme="1"/>
        <rFont val="Calibri"/>
        <family val="2"/>
        <scheme val="minor"/>
      </rPr>
      <t>(a)</t>
    </r>
    <r>
      <rPr>
        <sz val="10"/>
        <color theme="1"/>
        <rFont val="Calibri"/>
        <family val="2"/>
        <scheme val="minor"/>
      </rPr>
      <t xml:space="preserve"> Phase 1 actual inservice dates were Nov/Dec of 2020 and Phase 2 forecasted inservice date is December 2021.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</si>
</sst>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&quot;$&quot;#,##0;[Red]&quot;$&quot;#,##0"/>
    <numFmt numFmtId="170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7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165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37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49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5" fontId="3" fillId="0" borderId="0" xfId="0" applyNumberFormat="1" applyFont="1" applyBorder="1" applyAlignment="1" applyProtection="1">
      <alignment horizontal="right"/>
    </xf>
    <xf numFmtId="5" fontId="0" fillId="0" borderId="0" xfId="0" applyNumberFormat="1"/>
    <xf numFmtId="5" fontId="3" fillId="0" borderId="9" xfId="0" applyNumberFormat="1" applyFont="1" applyBorder="1" applyAlignment="1" applyProtection="1">
      <alignment horizontal="right"/>
    </xf>
    <xf numFmtId="0" fontId="2" fillId="0" borderId="0" xfId="0" applyFont="1"/>
    <xf numFmtId="0" fontId="10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5" fontId="8" fillId="0" borderId="0" xfId="0" applyNumberFormat="1" applyFont="1" applyFill="1" applyAlignment="1" applyProtection="1">
      <alignment horizontal="right"/>
    </xf>
    <xf numFmtId="5" fontId="1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12" fillId="0" borderId="0" xfId="0" applyNumberFormat="1" applyFont="1" applyFill="1" applyAlignment="1" applyProtection="1">
      <alignment horizontal="right"/>
    </xf>
    <xf numFmtId="5" fontId="3" fillId="0" borderId="0" xfId="0" applyNumberFormat="1" applyFont="1"/>
    <xf numFmtId="5" fontId="12" fillId="0" borderId="0" xfId="0" applyNumberFormat="1" applyFont="1" applyFill="1" applyAlignment="1" applyProtection="1">
      <alignment horizontal="right"/>
    </xf>
    <xf numFmtId="167" fontId="12" fillId="0" borderId="0" xfId="11" applyNumberFormat="1" applyFont="1" applyFill="1" applyAlignment="1" applyProtection="1">
      <alignment horizontal="right"/>
    </xf>
    <xf numFmtId="5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5" fontId="12" fillId="0" borderId="0" xfId="0" applyNumberFormat="1" applyFont="1" applyBorder="1" applyAlignment="1" applyProtection="1">
      <alignment horizontal="right"/>
    </xf>
    <xf numFmtId="5" fontId="12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1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165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164" fontId="3" fillId="0" borderId="0" xfId="2" applyNumberFormat="1" applyFont="1" applyBorder="1" applyAlignment="1" applyProtection="1">
      <alignment horizontal="center"/>
    </xf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165" fontId="3" fillId="0" borderId="0" xfId="0" quotePrefix="1" applyNumberFormat="1" applyFont="1" applyBorder="1" applyAlignment="1" applyProtection="1">
      <alignment horizontal="left"/>
    </xf>
    <xf numFmtId="0" fontId="3" fillId="0" borderId="0" xfId="0" quotePrefix="1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167" fontId="3" fillId="0" borderId="9" xfId="0" applyNumberFormat="1" applyFont="1" applyBorder="1" applyAlignment="1" applyProtection="1">
      <alignment horizontal="right"/>
    </xf>
    <xf numFmtId="0" fontId="5" fillId="0" borderId="10" xfId="0" quotePrefix="1" applyFont="1" applyBorder="1" applyAlignment="1">
      <alignment horizontal="center"/>
    </xf>
    <xf numFmtId="37" fontId="12" fillId="0" borderId="0" xfId="0" quotePrefix="1" applyNumberFormat="1" applyFont="1" applyFill="1" applyAlignment="1" applyProtection="1">
      <alignment horizontal="right"/>
    </xf>
    <xf numFmtId="0" fontId="0" fillId="0" borderId="0" xfId="0" quotePrefix="1" applyAlignment="1">
      <alignment horizontal="center" wrapText="1"/>
    </xf>
    <xf numFmtId="0" fontId="0" fillId="0" borderId="6" xfId="0" applyBorder="1"/>
    <xf numFmtId="0" fontId="10" fillId="0" borderId="6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3" fillId="0" borderId="2" xfId="0" applyFont="1" applyBorder="1"/>
    <xf numFmtId="0" fontId="3" fillId="0" borderId="0" xfId="0" quotePrefix="1" applyFont="1" applyAlignment="1">
      <alignment horizontal="left"/>
    </xf>
    <xf numFmtId="0" fontId="3" fillId="0" borderId="11" xfId="0" applyFont="1" applyBorder="1"/>
    <xf numFmtId="165" fontId="3" fillId="0" borderId="11" xfId="0" applyNumberFormat="1" applyFont="1" applyBorder="1" applyProtection="1"/>
    <xf numFmtId="0" fontId="2" fillId="0" borderId="0" xfId="0" quotePrefix="1" applyFont="1" applyBorder="1" applyAlignment="1">
      <alignment horizontal="center"/>
    </xf>
    <xf numFmtId="5" fontId="0" fillId="0" borderId="0" xfId="0" applyNumberFormat="1" applyFill="1" applyBorder="1"/>
    <xf numFmtId="0" fontId="2" fillId="0" borderId="0" xfId="0" applyFont="1" applyAlignment="1"/>
    <xf numFmtId="166" fontId="0" fillId="0" borderId="0" xfId="1" applyNumberFormat="1" applyFont="1" applyFill="1"/>
    <xf numFmtId="0" fontId="0" fillId="0" borderId="0" xfId="0" quotePrefix="1" applyAlignment="1"/>
    <xf numFmtId="0" fontId="0" fillId="0" borderId="0" xfId="0" applyFill="1"/>
    <xf numFmtId="5" fontId="0" fillId="0" borderId="2" xfId="0" applyNumberFormat="1" applyFill="1" applyBorder="1"/>
    <xf numFmtId="0" fontId="10" fillId="0" borderId="0" xfId="0" applyFont="1" applyFill="1"/>
    <xf numFmtId="5" fontId="0" fillId="0" borderId="1" xfId="0" applyNumberFormat="1" applyFill="1" applyBorder="1"/>
    <xf numFmtId="5" fontId="2" fillId="0" borderId="9" xfId="0" applyNumberFormat="1" applyFont="1" applyFill="1" applyBorder="1"/>
    <xf numFmtId="5" fontId="2" fillId="0" borderId="0" xfId="0" applyNumberFormat="1" applyFont="1" applyFill="1" applyBorder="1"/>
    <xf numFmtId="0" fontId="0" fillId="0" borderId="0" xfId="0" applyFont="1" applyFill="1"/>
    <xf numFmtId="10" fontId="0" fillId="0" borderId="0" xfId="2" applyNumberFormat="1" applyFont="1" applyFill="1"/>
    <xf numFmtId="5" fontId="0" fillId="0" borderId="0" xfId="0" applyNumberFormat="1" applyFill="1"/>
    <xf numFmtId="166" fontId="10" fillId="0" borderId="0" xfId="1" quotePrefix="1" applyNumberFormat="1" applyFont="1" applyFill="1" applyAlignment="1">
      <alignment horizontal="left"/>
    </xf>
    <xf numFmtId="166" fontId="0" fillId="0" borderId="0" xfId="1" applyNumberFormat="1" applyFont="1" applyFill="1" applyBorder="1"/>
    <xf numFmtId="166" fontId="10" fillId="0" borderId="0" xfId="1" quotePrefix="1" applyNumberFormat="1" applyFont="1" applyFill="1" applyBorder="1" applyAlignment="1">
      <alignment horizontal="left"/>
    </xf>
    <xf numFmtId="0" fontId="0" fillId="0" borderId="0" xfId="0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indent="1"/>
    </xf>
    <xf numFmtId="5" fontId="0" fillId="2" borderId="12" xfId="0" applyNumberFormat="1" applyFill="1" applyBorder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 indent="1"/>
    </xf>
    <xf numFmtId="0" fontId="2" fillId="0" borderId="3" xfId="0" quotePrefix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3" xfId="0" quotePrefix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7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Alignment="1">
      <alignment horizontal="right" indent="1"/>
    </xf>
    <xf numFmtId="168" fontId="0" fillId="0" borderId="0" xfId="2" applyNumberFormat="1" applyFont="1" applyAlignment="1">
      <alignment horizontal="right" indent="1"/>
    </xf>
    <xf numFmtId="0" fontId="0" fillId="0" borderId="0" xfId="0" applyAlignment="1">
      <alignment horizontal="right" indent="2"/>
    </xf>
    <xf numFmtId="166" fontId="0" fillId="0" borderId="0" xfId="0" applyNumberFormat="1"/>
    <xf numFmtId="166" fontId="0" fillId="0" borderId="0" xfId="1" quotePrefix="1" applyNumberFormat="1" applyFont="1" applyAlignment="1">
      <alignment horizontal="left"/>
    </xf>
    <xf numFmtId="5" fontId="0" fillId="0" borderId="2" xfId="1" applyNumberFormat="1" applyFont="1" applyBorder="1"/>
    <xf numFmtId="10" fontId="0" fillId="0" borderId="0" xfId="2" applyNumberFormat="1" applyFont="1" applyAlignment="1">
      <alignment horizontal="right" indent="1"/>
    </xf>
    <xf numFmtId="166" fontId="0" fillId="0" borderId="14" xfId="1" applyNumberFormat="1" applyFont="1" applyBorder="1"/>
    <xf numFmtId="0" fontId="0" fillId="0" borderId="14" xfId="0" applyBorder="1"/>
    <xf numFmtId="166" fontId="0" fillId="0" borderId="14" xfId="0" applyNumberFormat="1" applyBorder="1"/>
    <xf numFmtId="10" fontId="0" fillId="0" borderId="14" xfId="2" applyNumberFormat="1" applyFont="1" applyBorder="1" applyAlignment="1">
      <alignment horizontal="right" indent="1"/>
    </xf>
    <xf numFmtId="0" fontId="0" fillId="0" borderId="14" xfId="0" applyBorder="1" applyAlignment="1">
      <alignment horizontal="right" indent="2"/>
    </xf>
    <xf numFmtId="10" fontId="0" fillId="0" borderId="0" xfId="2" applyNumberFormat="1" applyFont="1" applyBorder="1" applyAlignment="1">
      <alignment horizontal="right" indent="1"/>
    </xf>
    <xf numFmtId="5" fontId="0" fillId="0" borderId="0" xfId="1" applyNumberFormat="1" applyFont="1"/>
    <xf numFmtId="169" fontId="0" fillId="0" borderId="0" xfId="0" applyNumberFormat="1"/>
    <xf numFmtId="0" fontId="0" fillId="0" borderId="0" xfId="0" quotePrefix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14" fillId="0" borderId="0" xfId="0" quotePrefix="1" applyFont="1" applyAlignment="1">
      <alignment horizontal="left"/>
    </xf>
    <xf numFmtId="43" fontId="0" fillId="0" borderId="0" xfId="1" applyFont="1" applyFill="1"/>
    <xf numFmtId="5" fontId="0" fillId="0" borderId="2" xfId="1" applyNumberFormat="1" applyFont="1" applyFill="1" applyBorder="1"/>
    <xf numFmtId="5" fontId="0" fillId="0" borderId="0" xfId="1" applyNumberFormat="1" applyFont="1" applyFill="1"/>
    <xf numFmtId="5" fontId="0" fillId="0" borderId="0" xfId="1" applyNumberFormat="1" applyFont="1" applyFill="1" applyBorder="1"/>
    <xf numFmtId="0" fontId="2" fillId="0" borderId="8" xfId="1" quotePrefix="1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2" fillId="0" borderId="8" xfId="0" quotePrefix="1" applyFont="1" applyBorder="1" applyAlignment="1">
      <alignment horizontal="center"/>
    </xf>
    <xf numFmtId="166" fontId="0" fillId="0" borderId="2" xfId="1" applyNumberFormat="1" applyFont="1" applyFill="1" applyBorder="1"/>
    <xf numFmtId="0" fontId="2" fillId="0" borderId="8" xfId="1" quotePrefix="1" applyNumberFormat="1" applyFont="1" applyBorder="1" applyAlignment="1">
      <alignment horizontal="center"/>
    </xf>
    <xf numFmtId="10" fontId="0" fillId="0" borderId="2" xfId="1" applyNumberFormat="1" applyFont="1" applyBorder="1"/>
    <xf numFmtId="0" fontId="2" fillId="0" borderId="0" xfId="0" quotePrefix="1" applyFont="1" applyFill="1" applyBorder="1" applyAlignment="1">
      <alignment horizontal="center"/>
    </xf>
    <xf numFmtId="170" fontId="0" fillId="0" borderId="0" xfId="1" quotePrefix="1" applyNumberFormat="1" applyFont="1" applyFill="1" applyAlignment="1">
      <alignment horizontal="left" indent="1"/>
    </xf>
    <xf numFmtId="167" fontId="0" fillId="0" borderId="0" xfId="11" applyNumberFormat="1" applyFont="1" applyFill="1" applyBorder="1"/>
    <xf numFmtId="0" fontId="0" fillId="0" borderId="0" xfId="0" quotePrefix="1" applyAlignment="1">
      <alignment horizontal="left" indent="2"/>
    </xf>
    <xf numFmtId="0" fontId="2" fillId="2" borderId="4" xfId="0" quotePrefix="1" applyFont="1" applyFill="1" applyBorder="1" applyAlignment="1"/>
    <xf numFmtId="0" fontId="2" fillId="2" borderId="13" xfId="0" quotePrefix="1" applyFont="1" applyFill="1" applyBorder="1" applyAlignment="1"/>
    <xf numFmtId="0" fontId="2" fillId="2" borderId="5" xfId="0" quotePrefix="1" applyFont="1" applyFill="1" applyBorder="1" applyAlignment="1"/>
    <xf numFmtId="0" fontId="15" fillId="0" borderId="0" xfId="0" quotePrefix="1" applyFont="1" applyAlignment="1">
      <alignment horizontal="left" indent="1"/>
    </xf>
    <xf numFmtId="0" fontId="2" fillId="2" borderId="4" xfId="0" quotePrefix="1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3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2">
    <cellStyle name="Comma" xfId="1" builtinId="3"/>
    <cellStyle name="Currency" xfId="11" builtinId="4"/>
    <cellStyle name="Normal" xfId="0" builtinId="0"/>
    <cellStyle name="Normal 69" xfId="3" xr:uid="{00000000-0005-0000-0000-000003000000}"/>
    <cellStyle name="Normal 70" xfId="5" xr:uid="{00000000-0005-0000-0000-000004000000}"/>
    <cellStyle name="Normal 72" xfId="4" xr:uid="{00000000-0005-0000-0000-000005000000}"/>
    <cellStyle name="Normal 74" xfId="6" xr:uid="{00000000-0005-0000-0000-000006000000}"/>
    <cellStyle name="Normal 75" xfId="7" xr:uid="{00000000-0005-0000-0000-000007000000}"/>
    <cellStyle name="Normal 76" xfId="8" xr:uid="{00000000-0005-0000-0000-000008000000}"/>
    <cellStyle name="Normal 77" xfId="9" xr:uid="{00000000-0005-0000-0000-000009000000}"/>
    <cellStyle name="Normal 78" xfId="10" xr:uid="{00000000-0005-0000-0000-00000A000000}"/>
    <cellStyle name="Percent" xfId="2" builtinId="5"/>
  </cellStyles>
  <dxfs count="0"/>
  <tableStyles count="0" defaultTableStyle="TableStyleMedium9" defaultPivotStyle="PivotStyleLight16"/>
  <colors>
    <mruColors>
      <color rgb="FFFFE4AF"/>
      <color rgb="FF0000FF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9-00271/Testimony/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/>
      <sheetData sheetId="3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/>
      <sheetData sheetId="6"/>
      <sheetData sheetId="7"/>
      <sheetData sheetId="8">
        <row r="12">
          <cell r="A12">
            <v>403400</v>
          </cell>
        </row>
      </sheetData>
      <sheetData sheetId="9">
        <row r="12">
          <cell r="A12">
            <v>440000</v>
          </cell>
        </row>
      </sheetData>
      <sheetData sheetId="10">
        <row r="2">
          <cell r="A2" t="str">
            <v>Account</v>
          </cell>
        </row>
      </sheetData>
      <sheetData sheetId="11"/>
      <sheetData sheetId="12"/>
      <sheetData sheetId="13">
        <row r="37">
          <cell r="H37">
            <v>1.5650023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2">
          <cell r="AK142">
            <v>15568360</v>
          </cell>
        </row>
      </sheetData>
      <sheetData sheetId="33"/>
      <sheetData sheetId="34">
        <row r="104">
          <cell r="AA104">
            <v>-7270777</v>
          </cell>
        </row>
      </sheetData>
      <sheetData sheetId="35"/>
      <sheetData sheetId="36"/>
      <sheetData sheetId="37">
        <row r="23">
          <cell r="G23">
            <v>447125</v>
          </cell>
        </row>
      </sheetData>
      <sheetData sheetId="38"/>
      <sheetData sheetId="39">
        <row r="54">
          <cell r="J54">
            <v>515397375</v>
          </cell>
        </row>
      </sheetData>
      <sheetData sheetId="40">
        <row r="20">
          <cell r="E20">
            <v>-150838097</v>
          </cell>
        </row>
      </sheetData>
      <sheetData sheetId="41"/>
      <sheetData sheetId="42"/>
      <sheetData sheetId="43"/>
      <sheetData sheetId="44"/>
      <sheetData sheetId="45">
        <row r="19">
          <cell r="K19">
            <v>-5498799</v>
          </cell>
        </row>
      </sheetData>
      <sheetData sheetId="46"/>
      <sheetData sheetId="47"/>
      <sheetData sheetId="48"/>
      <sheetData sheetId="49"/>
      <sheetData sheetId="50">
        <row r="87">
          <cell r="AI87">
            <v>-26399957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7">
          <cell r="W57">
            <v>2392829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O2">
            <v>0.37390000000000001</v>
          </cell>
        </row>
      </sheetData>
      <sheetData sheetId="77"/>
      <sheetData sheetId="78"/>
      <sheetData sheetId="79"/>
      <sheetData sheetId="80"/>
      <sheetData sheetId="81"/>
      <sheetData sheetId="82">
        <row r="16">
          <cell r="M16">
            <v>2.4799999999999999E-2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Inputs"/>
      <sheetName val="Plant Data (Mar15)"/>
      <sheetName val="Accum Depr (Mar15)"/>
      <sheetName val="Accum Def Inc Tax (Mar15)"/>
    </sheetNames>
    <sheetDataSet>
      <sheetData sheetId="0" refreshError="1"/>
      <sheetData sheetId="1">
        <row r="6">
          <cell r="C6">
            <v>8.9569999999999997E-2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Layout" zoomScaleNormal="100" workbookViewId="0"/>
  </sheetViews>
  <sheetFormatPr defaultRowHeight="15" x14ac:dyDescent="0.25"/>
  <cols>
    <col min="2" max="2" width="2" customWidth="1"/>
    <col min="3" max="3" width="46" customWidth="1"/>
    <col min="4" max="5" width="1.7109375" customWidth="1"/>
    <col min="6" max="6" width="14.7109375" customWidth="1"/>
    <col min="7" max="7" width="1.7109375" customWidth="1"/>
  </cols>
  <sheetData>
    <row r="1" spans="1:7" x14ac:dyDescent="0.25">
      <c r="A1" s="84" t="s">
        <v>75</v>
      </c>
      <c r="B1" s="30"/>
    </row>
    <row r="2" spans="1:7" x14ac:dyDescent="0.25">
      <c r="A2" s="30" t="s">
        <v>74</v>
      </c>
      <c r="B2" s="30"/>
    </row>
    <row r="3" spans="1:7" x14ac:dyDescent="0.25">
      <c r="A3" s="30" t="s">
        <v>85</v>
      </c>
      <c r="B3" s="30"/>
    </row>
    <row r="4" spans="1:7" ht="19.5" thickBot="1" x14ac:dyDescent="0.35">
      <c r="A4" s="69"/>
      <c r="B4" s="69"/>
      <c r="C4" s="70"/>
      <c r="D4" s="71"/>
      <c r="E4" s="72"/>
      <c r="F4" s="72"/>
      <c r="G4" s="72"/>
    </row>
    <row r="5" spans="1:7" ht="18.75" x14ac:dyDescent="0.3">
      <c r="C5" s="33"/>
      <c r="D5" s="32"/>
      <c r="E5" s="33"/>
      <c r="F5" s="33"/>
      <c r="G5" s="33"/>
    </row>
    <row r="6" spans="1:7" x14ac:dyDescent="0.25">
      <c r="A6" s="73" t="s">
        <v>68</v>
      </c>
      <c r="B6" s="74"/>
      <c r="C6" s="73" t="s">
        <v>69</v>
      </c>
      <c r="E6" s="82"/>
      <c r="F6" s="75" t="s">
        <v>80</v>
      </c>
      <c r="G6" s="82"/>
    </row>
    <row r="8" spans="1:7" ht="17.25" x14ac:dyDescent="0.25">
      <c r="A8" s="76">
        <v>1</v>
      </c>
      <c r="C8" s="1" t="s">
        <v>76</v>
      </c>
      <c r="E8" s="28"/>
      <c r="F8" s="28">
        <f>'13 month average calc'!D15</f>
        <v>65447998</v>
      </c>
      <c r="G8" s="28"/>
    </row>
    <row r="9" spans="1:7" x14ac:dyDescent="0.25">
      <c r="A9" s="76">
        <f>MAX(A8:A$8)+1</f>
        <v>2</v>
      </c>
      <c r="C9" s="1" t="s">
        <v>71</v>
      </c>
      <c r="E9" s="85"/>
      <c r="F9" s="85">
        <f>'Depr and ADIT'!G14</f>
        <v>-1862808.7655573552</v>
      </c>
      <c r="G9" s="31"/>
    </row>
    <row r="10" spans="1:7" x14ac:dyDescent="0.25">
      <c r="A10" s="76">
        <f>MAX(A$8:A9)+1</f>
        <v>3</v>
      </c>
      <c r="C10" s="1" t="s">
        <v>77</v>
      </c>
      <c r="E10" s="83"/>
      <c r="F10" s="88">
        <f>+F8+F9</f>
        <v>63585189.234442644</v>
      </c>
      <c r="G10" s="89"/>
    </row>
    <row r="11" spans="1:7" x14ac:dyDescent="0.25">
      <c r="A11" s="76"/>
      <c r="E11" s="87"/>
      <c r="F11" s="89"/>
      <c r="G11" s="89"/>
    </row>
    <row r="12" spans="1:7" ht="17.25" x14ac:dyDescent="0.25">
      <c r="A12" s="76">
        <f>MAX(A$8:A11)+1</f>
        <v>4</v>
      </c>
      <c r="C12" s="1" t="s">
        <v>83</v>
      </c>
      <c r="E12" s="83"/>
      <c r="F12" s="90">
        <f>'Depr and ADIT'!G16</f>
        <v>-1478231</v>
      </c>
      <c r="G12" s="31"/>
    </row>
    <row r="13" spans="1:7" x14ac:dyDescent="0.25">
      <c r="A13" s="76"/>
      <c r="E13" s="87"/>
      <c r="F13" s="89"/>
      <c r="G13" s="89"/>
    </row>
    <row r="14" spans="1:7" ht="15.75" thickBot="1" x14ac:dyDescent="0.3">
      <c r="A14" s="76">
        <f>MAX(A$8:A13)+1</f>
        <v>5</v>
      </c>
      <c r="C14" s="1" t="s">
        <v>78</v>
      </c>
      <c r="E14" s="92"/>
      <c r="F14" s="91">
        <f>+F10+F12</f>
        <v>62106958.234442644</v>
      </c>
      <c r="G14" s="31"/>
    </row>
    <row r="15" spans="1:7" ht="15.75" thickTop="1" x14ac:dyDescent="0.25">
      <c r="A15" s="76"/>
      <c r="E15" s="93"/>
      <c r="F15" s="87"/>
      <c r="G15" s="87"/>
    </row>
    <row r="16" spans="1:7" ht="17.25" x14ac:dyDescent="0.25">
      <c r="A16" s="76">
        <f>MAX(A$8:A15)+1</f>
        <v>6</v>
      </c>
      <c r="C16" s="1" t="s">
        <v>82</v>
      </c>
      <c r="E16" s="94"/>
      <c r="F16" s="94">
        <v>8.8099999999999998E-2</v>
      </c>
      <c r="G16" s="89"/>
    </row>
    <row r="17" spans="1:10" x14ac:dyDescent="0.25">
      <c r="A17" s="76"/>
      <c r="E17" s="87"/>
      <c r="F17" s="89"/>
      <c r="G17" s="89"/>
    </row>
    <row r="18" spans="1:10" x14ac:dyDescent="0.25">
      <c r="A18" s="76">
        <f>MAX(A$8:A17)+1</f>
        <v>7</v>
      </c>
      <c r="C18" s="1" t="s">
        <v>0</v>
      </c>
      <c r="E18" s="95"/>
      <c r="F18" s="95">
        <f>+F14*F16</f>
        <v>5471623.0204543965</v>
      </c>
      <c r="G18" s="89"/>
    </row>
    <row r="19" spans="1:10" x14ac:dyDescent="0.25">
      <c r="A19" s="76"/>
      <c r="C19" s="1"/>
      <c r="E19" s="87"/>
      <c r="F19" s="89"/>
      <c r="G19" s="89"/>
    </row>
    <row r="20" spans="1:10" x14ac:dyDescent="0.25">
      <c r="A20" s="76">
        <f>MAX(A$8:A19)+1</f>
        <v>8</v>
      </c>
      <c r="C20" s="1" t="s">
        <v>72</v>
      </c>
      <c r="E20" s="85"/>
      <c r="F20" s="85">
        <f>'Depr and ADIT'!G12</f>
        <v>867560.2936557075</v>
      </c>
      <c r="G20" s="96"/>
    </row>
    <row r="21" spans="1:10" ht="17.25" x14ac:dyDescent="0.25">
      <c r="A21" s="76">
        <f>MAX(A$8:A20)+1</f>
        <v>9</v>
      </c>
      <c r="C21" s="1" t="s">
        <v>81</v>
      </c>
      <c r="E21" s="97"/>
      <c r="F21" s="97">
        <f>0.0076*F10</f>
        <v>483247.4381817641</v>
      </c>
      <c r="G21" s="98"/>
    </row>
    <row r="22" spans="1:10" x14ac:dyDescent="0.25">
      <c r="A22" s="76"/>
      <c r="E22" s="99"/>
      <c r="F22" s="100"/>
      <c r="G22" s="101"/>
    </row>
    <row r="23" spans="1:10" ht="15.75" thickBot="1" x14ac:dyDescent="0.3">
      <c r="A23" s="76">
        <f>MAX(A$8:A22)+1</f>
        <v>10</v>
      </c>
      <c r="C23" s="1" t="s">
        <v>79</v>
      </c>
      <c r="E23" s="95"/>
      <c r="F23" s="104">
        <f>SUM(F18:F21)</f>
        <v>6822430.7522918684</v>
      </c>
      <c r="G23" s="105"/>
      <c r="J23" s="28"/>
    </row>
    <row r="24" spans="1:10" ht="15.75" thickTop="1" x14ac:dyDescent="0.25">
      <c r="A24" s="76"/>
    </row>
    <row r="26" spans="1:10" ht="14.25" customHeight="1" x14ac:dyDescent="0.25">
      <c r="A26" s="77"/>
      <c r="C26" s="86" t="s">
        <v>73</v>
      </c>
      <c r="D26" s="86"/>
      <c r="E26" s="68"/>
      <c r="F26" s="68"/>
      <c r="G26" s="68"/>
    </row>
    <row r="27" spans="1:10" ht="17.25" x14ac:dyDescent="0.25">
      <c r="C27" s="102" t="s">
        <v>114</v>
      </c>
    </row>
    <row r="28" spans="1:10" ht="17.25" x14ac:dyDescent="0.25">
      <c r="C28" s="102" t="s">
        <v>113</v>
      </c>
    </row>
    <row r="29" spans="1:10" ht="17.25" x14ac:dyDescent="0.25">
      <c r="C29" s="103" t="s">
        <v>111</v>
      </c>
    </row>
    <row r="30" spans="1:10" ht="17.25" x14ac:dyDescent="0.25">
      <c r="C30" s="103" t="s">
        <v>121</v>
      </c>
    </row>
    <row r="31" spans="1:10" x14ac:dyDescent="0.25">
      <c r="C31" s="149"/>
    </row>
    <row r="32" spans="1:10" x14ac:dyDescent="0.25">
      <c r="C32" s="106"/>
    </row>
    <row r="33" spans="3:3" x14ac:dyDescent="0.25">
      <c r="C33" s="106"/>
    </row>
  </sheetData>
  <pageMargins left="0.2" right="0.2" top="0.75" bottom="0.75" header="0.3" footer="0.3"/>
  <pageSetup orientation="landscape" r:id="rId1"/>
  <headerFooter>
    <oddHeader>&amp;R&amp;"Times New Roman,Bold"&amp;10KyPSC Case No. 2021-00190
AG-DR-01-015(b) 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view="pageLayout" zoomScaleNormal="100" workbookViewId="0">
      <selection activeCell="B17" sqref="B17"/>
    </sheetView>
  </sheetViews>
  <sheetFormatPr defaultRowHeight="15" x14ac:dyDescent="0.25"/>
  <cols>
    <col min="1" max="1" width="8.28515625" customWidth="1"/>
    <col min="2" max="2" width="37" bestFit="1" customWidth="1"/>
    <col min="3" max="3" width="1.42578125" style="42" customWidth="1"/>
    <col min="4" max="4" width="12.85546875" bestFit="1" customWidth="1"/>
    <col min="5" max="8" width="11.5703125" bestFit="1" customWidth="1"/>
    <col min="9" max="16" width="12.5703125" bestFit="1" customWidth="1"/>
  </cols>
  <sheetData>
    <row r="1" spans="1:16" x14ac:dyDescent="0.25">
      <c r="A1" s="84" t="str">
        <f>'Rev Req Summary'!A1</f>
        <v>Duke Energy Kentucky</v>
      </c>
      <c r="B1" s="30"/>
      <c r="C1" s="114"/>
    </row>
    <row r="2" spans="1:16" x14ac:dyDescent="0.25">
      <c r="A2" s="84" t="str">
        <f>'Rev Req Summary'!A2</f>
        <v xml:space="preserve">Estimated Revenue Requirement </v>
      </c>
      <c r="B2" s="30"/>
      <c r="C2" s="114"/>
    </row>
    <row r="3" spans="1:16" x14ac:dyDescent="0.25">
      <c r="A3" s="84" t="str">
        <f>'Rev Req Summary'!A3</f>
        <v>UL-60 Natural Gas Pipeline</v>
      </c>
      <c r="B3" s="30"/>
      <c r="C3" s="114"/>
    </row>
    <row r="4" spans="1:16" ht="19.5" thickBot="1" x14ac:dyDescent="0.35">
      <c r="A4" s="69"/>
      <c r="B4" s="69"/>
      <c r="C4" s="69"/>
      <c r="D4" s="70"/>
      <c r="E4" s="71"/>
      <c r="F4" s="72"/>
      <c r="G4" s="72"/>
      <c r="H4" s="69"/>
      <c r="I4" s="69"/>
      <c r="J4" s="69"/>
      <c r="K4" s="69"/>
      <c r="L4" s="69"/>
      <c r="M4" s="69"/>
      <c r="N4" s="69"/>
      <c r="O4" s="69"/>
      <c r="P4" s="69"/>
    </row>
    <row r="5" spans="1:16" ht="18.75" x14ac:dyDescent="0.3">
      <c r="D5" s="33"/>
      <c r="E5" s="32"/>
      <c r="F5" s="33"/>
      <c r="G5" s="33"/>
    </row>
    <row r="6" spans="1:16" x14ac:dyDescent="0.25">
      <c r="A6" s="73" t="s">
        <v>68</v>
      </c>
      <c r="B6" s="73" t="s">
        <v>69</v>
      </c>
      <c r="C6" s="115"/>
      <c r="D6" s="107" t="s">
        <v>80</v>
      </c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10"/>
    </row>
    <row r="8" spans="1:16" x14ac:dyDescent="0.25">
      <c r="D8" s="111">
        <v>44531</v>
      </c>
      <c r="E8" s="111">
        <v>44562</v>
      </c>
      <c r="F8" s="111">
        <v>44593</v>
      </c>
      <c r="G8" s="111">
        <v>44621</v>
      </c>
      <c r="H8" s="111">
        <v>44652</v>
      </c>
      <c r="I8" s="111">
        <v>44682</v>
      </c>
      <c r="J8" s="111">
        <v>44713</v>
      </c>
      <c r="K8" s="111">
        <v>44743</v>
      </c>
      <c r="L8" s="111">
        <v>44774</v>
      </c>
      <c r="M8" s="111">
        <v>44805</v>
      </c>
      <c r="N8" s="111">
        <v>44835</v>
      </c>
      <c r="O8" s="111">
        <v>44866</v>
      </c>
      <c r="P8" s="111">
        <v>44896</v>
      </c>
    </row>
    <row r="9" spans="1:16" x14ac:dyDescent="0.25">
      <c r="A9" s="76">
        <v>1</v>
      </c>
      <c r="B9" t="s">
        <v>115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x14ac:dyDescent="0.25">
      <c r="A10" s="76"/>
      <c r="B10" t="s">
        <v>117</v>
      </c>
      <c r="D10" s="85">
        <v>57584065.331290692</v>
      </c>
      <c r="E10" s="85">
        <v>57666813.012068257</v>
      </c>
      <c r="F10" s="85">
        <v>57750586.488566764</v>
      </c>
      <c r="G10" s="85">
        <v>57826103.068473138</v>
      </c>
      <c r="H10" s="85">
        <v>57893103.635995209</v>
      </c>
      <c r="I10" s="85">
        <v>57973928.959409975</v>
      </c>
      <c r="J10" s="85">
        <v>58066623.232139632</v>
      </c>
      <c r="K10" s="85">
        <v>58189386.724119991</v>
      </c>
      <c r="L10" s="85">
        <v>58350435.380792633</v>
      </c>
      <c r="M10" s="85">
        <v>58505569.72749082</v>
      </c>
      <c r="N10" s="85">
        <v>58660704.074189007</v>
      </c>
      <c r="O10" s="85">
        <v>58751005.154023856</v>
      </c>
      <c r="P10" s="85">
        <v>58818670.475693628</v>
      </c>
    </row>
    <row r="11" spans="1:16" x14ac:dyDescent="0.25">
      <c r="A11" s="76"/>
      <c r="B11" t="s">
        <v>118</v>
      </c>
      <c r="D11" s="85">
        <v>22326.621682186662</v>
      </c>
      <c r="E11" s="85">
        <v>22571.732209102844</v>
      </c>
      <c r="F11" s="85">
        <v>22819.881290420846</v>
      </c>
      <c r="G11" s="85">
        <v>23043.572256957006</v>
      </c>
      <c r="H11" s="85">
        <v>23242.037570482396</v>
      </c>
      <c r="I11" s="85">
        <v>23481.453798516835</v>
      </c>
      <c r="J11" s="85">
        <v>23756.027560794868</v>
      </c>
      <c r="K11" s="85">
        <v>24119.670673479348</v>
      </c>
      <c r="L11" s="85">
        <v>24596.719948156744</v>
      </c>
      <c r="M11" s="85">
        <v>25056.250186402394</v>
      </c>
      <c r="N11" s="85">
        <v>25515.780424648045</v>
      </c>
      <c r="O11" s="85">
        <v>25783.265205507545</v>
      </c>
      <c r="P11" s="85">
        <v>25983.699616388669</v>
      </c>
    </row>
    <row r="12" spans="1:16" x14ac:dyDescent="0.25">
      <c r="A12" s="76"/>
      <c r="B12" t="s">
        <v>116</v>
      </c>
      <c r="D12" s="85">
        <v>7196819.3684955705</v>
      </c>
      <c r="E12" s="85">
        <v>7207001.7711922387</v>
      </c>
      <c r="F12" s="85">
        <v>7217310.4017785219</v>
      </c>
      <c r="G12" s="85">
        <v>7226602.9912463622</v>
      </c>
      <c r="H12" s="85">
        <v>7234847.6544563072</v>
      </c>
      <c r="I12" s="85">
        <v>7244793.5040966114</v>
      </c>
      <c r="J12" s="85">
        <v>7256199.8710635034</v>
      </c>
      <c r="K12" s="85">
        <v>7271306.3646841934</v>
      </c>
      <c r="L12" s="85">
        <v>7291123.9868892971</v>
      </c>
      <c r="M12" s="85">
        <v>7310213.8317685965</v>
      </c>
      <c r="N12" s="85">
        <v>7329303.6766478959</v>
      </c>
      <c r="O12" s="85">
        <v>7340415.5525359232</v>
      </c>
      <c r="P12" s="85">
        <v>7348742.0161584299</v>
      </c>
    </row>
    <row r="13" spans="1:16" ht="17.25" x14ac:dyDescent="0.25">
      <c r="A13" s="76">
        <v>2</v>
      </c>
      <c r="B13" t="s">
        <v>112</v>
      </c>
      <c r="D13" s="113">
        <f>SUM(D9:D12)</f>
        <v>64803211.32146845</v>
      </c>
      <c r="E13" s="113">
        <f t="shared" ref="E13:P13" si="0">SUM(E9:E12)</f>
        <v>64896386.515469596</v>
      </c>
      <c r="F13" s="113">
        <f t="shared" si="0"/>
        <v>64990716.771635704</v>
      </c>
      <c r="G13" s="113">
        <f t="shared" si="0"/>
        <v>65075749.631976463</v>
      </c>
      <c r="H13" s="113">
        <f t="shared" si="0"/>
        <v>65151193.328022003</v>
      </c>
      <c r="I13" s="113">
        <f t="shared" si="0"/>
        <v>65242203.917305104</v>
      </c>
      <c r="J13" s="113">
        <f t="shared" si="0"/>
        <v>65346579.130763926</v>
      </c>
      <c r="K13" s="113">
        <f t="shared" si="0"/>
        <v>65484812.759477668</v>
      </c>
      <c r="L13" s="113">
        <f t="shared" si="0"/>
        <v>65666156.087630086</v>
      </c>
      <c r="M13" s="113">
        <f t="shared" si="0"/>
        <v>65840839.809445821</v>
      </c>
      <c r="N13" s="113">
        <f t="shared" si="0"/>
        <v>66015523.531261548</v>
      </c>
      <c r="O13" s="113">
        <f t="shared" si="0"/>
        <v>66117203.971765287</v>
      </c>
      <c r="P13" s="113">
        <f t="shared" si="0"/>
        <v>66193396.191468447</v>
      </c>
    </row>
    <row r="14" spans="1:16" x14ac:dyDescent="0.25">
      <c r="A14" s="76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6" ht="15.75" thickBot="1" x14ac:dyDescent="0.3">
      <c r="A15" s="76">
        <v>3</v>
      </c>
      <c r="B15" t="s">
        <v>84</v>
      </c>
      <c r="D15" s="104">
        <f>ROUND(AVERAGE(D13:P13),0)</f>
        <v>65447998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6" ht="15.75" thickTop="1" x14ac:dyDescent="0.25"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8" spans="2:14" ht="15.75" x14ac:dyDescent="0.25">
      <c r="B18" s="155" t="s">
        <v>122</v>
      </c>
    </row>
    <row r="19" spans="2:14" x14ac:dyDescent="0.25">
      <c r="B19" s="112"/>
      <c r="C19" s="116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2:14" x14ac:dyDescent="0.25">
      <c r="B20" s="112"/>
      <c r="C20" s="116"/>
      <c r="D20" s="112"/>
      <c r="E20" s="112"/>
      <c r="F20" s="112"/>
      <c r="G20" s="112"/>
    </row>
    <row r="21" spans="2:14" x14ac:dyDescent="0.25">
      <c r="B21" s="112"/>
      <c r="C21" s="116"/>
      <c r="D21" s="112"/>
      <c r="E21" s="112"/>
      <c r="F21" s="112"/>
      <c r="G21" s="112"/>
    </row>
    <row r="22" spans="2:14" x14ac:dyDescent="0.25">
      <c r="B22" s="112"/>
      <c r="C22" s="116"/>
      <c r="D22" s="112"/>
      <c r="E22" s="112"/>
      <c r="F22" s="112"/>
      <c r="G22" s="112"/>
    </row>
    <row r="23" spans="2:14" x14ac:dyDescent="0.25">
      <c r="B23" s="112"/>
      <c r="C23" s="116"/>
      <c r="D23" s="112"/>
      <c r="E23" s="112"/>
      <c r="F23" s="112"/>
      <c r="G23" s="112"/>
    </row>
    <row r="24" spans="2:14" x14ac:dyDescent="0.25">
      <c r="B24" s="112"/>
      <c r="C24" s="116"/>
      <c r="D24" s="112"/>
      <c r="E24" s="112"/>
      <c r="F24" s="112"/>
      <c r="G24" s="112"/>
    </row>
    <row r="25" spans="2:14" x14ac:dyDescent="0.25">
      <c r="B25" s="112"/>
      <c r="C25" s="116"/>
      <c r="D25" s="112"/>
      <c r="E25" s="112"/>
      <c r="F25" s="112"/>
      <c r="G25" s="112"/>
    </row>
  </sheetData>
  <pageMargins left="0.2" right="0.2" top="0.75" bottom="0.75" header="0.3" footer="0.3"/>
  <pageSetup scale="65" orientation="landscape" r:id="rId1"/>
  <headerFooter>
    <oddHeader>&amp;R&amp;"Times New Roman,Bold"&amp;10KyPSC Case No. 2021-00190
AG-DR-01-015(b) 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E067-5989-4B62-ADAA-FCE1E12946C1}">
  <sheetPr>
    <pageSetUpPr fitToPage="1"/>
  </sheetPr>
  <dimension ref="A1:AA117"/>
  <sheetViews>
    <sheetView view="pageLayout" zoomScaleNormal="100" workbookViewId="0"/>
  </sheetViews>
  <sheetFormatPr defaultRowHeight="15" x14ac:dyDescent="0.25"/>
  <cols>
    <col min="1" max="1" width="35.85546875" customWidth="1"/>
    <col min="2" max="2" width="1.710937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15.7109375" customWidth="1"/>
    <col min="12" max="12" width="1.7109375" customWidth="1"/>
    <col min="13" max="13" width="15.7109375" customWidth="1"/>
    <col min="14" max="14" width="1.7109375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7109375" customWidth="1"/>
    <col min="20" max="20" width="1.7109375" customWidth="1"/>
    <col min="21" max="21" width="15.7109375" customWidth="1"/>
    <col min="22" max="22" width="1.7109375" customWidth="1"/>
    <col min="23" max="23" width="15.7109375" customWidth="1"/>
    <col min="24" max="24" width="1.7109375" customWidth="1"/>
    <col min="25" max="25" width="15.7109375" customWidth="1"/>
    <col min="26" max="26" width="1.7109375" customWidth="1"/>
    <col min="27" max="27" width="15.7109375" customWidth="1"/>
  </cols>
  <sheetData>
    <row r="1" spans="1:21" x14ac:dyDescent="0.25">
      <c r="A1" s="30" t="str">
        <f>'Rev Req Summary'!A1</f>
        <v>Duke Energy Kentucky</v>
      </c>
    </row>
    <row r="2" spans="1:21" x14ac:dyDescent="0.25">
      <c r="A2" s="30" t="str">
        <f>'Rev Req Summary'!A2</f>
        <v xml:space="preserve">Estimated Revenue Requirement </v>
      </c>
    </row>
    <row r="3" spans="1:21" x14ac:dyDescent="0.25">
      <c r="A3" s="30" t="str">
        <f>'Rev Req Summary'!A3</f>
        <v>UL-60 Natural Gas Pipeline</v>
      </c>
    </row>
    <row r="4" spans="1:21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spans="1:21" x14ac:dyDescent="0.25">
      <c r="C6" s="152" t="s">
        <v>110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1:21" x14ac:dyDescent="0.25">
      <c r="A7" s="73" t="s">
        <v>107</v>
      </c>
      <c r="C7" s="144">
        <v>2020</v>
      </c>
      <c r="D7" s="142"/>
      <c r="E7" s="146">
        <f>+C7+1</f>
        <v>2021</v>
      </c>
      <c r="F7" s="143"/>
      <c r="G7" s="146">
        <f>+E7+1</f>
        <v>2022</v>
      </c>
      <c r="H7" s="142"/>
      <c r="I7" s="146">
        <f>+G7+1</f>
        <v>2023</v>
      </c>
      <c r="J7" s="142"/>
      <c r="K7" s="146">
        <f>+I7+1</f>
        <v>2024</v>
      </c>
      <c r="L7" s="142"/>
      <c r="M7" s="146">
        <f>+K7+1</f>
        <v>2025</v>
      </c>
      <c r="O7" s="146">
        <f>+M7+1</f>
        <v>2026</v>
      </c>
      <c r="P7" s="142"/>
      <c r="Q7" s="146">
        <f>+O7+1</f>
        <v>2027</v>
      </c>
      <c r="S7" s="146">
        <f>+Q7+1</f>
        <v>2028</v>
      </c>
      <c r="U7" s="146">
        <f>+S7+1</f>
        <v>2029</v>
      </c>
    </row>
    <row r="9" spans="1:21" x14ac:dyDescent="0.25">
      <c r="A9" s="1" t="str">
        <f>A3</f>
        <v>UL-60 Natural Gas Pipeline</v>
      </c>
      <c r="C9" s="139">
        <v>37992003.479999997</v>
      </c>
      <c r="D9" s="139"/>
      <c r="E9" s="150">
        <v>19614388.472972885</v>
      </c>
      <c r="F9" s="139"/>
      <c r="G9" s="139">
        <v>1238262.2223371342</v>
      </c>
      <c r="H9" s="139"/>
      <c r="I9" s="139">
        <v>0</v>
      </c>
      <c r="J9" s="139"/>
      <c r="K9" s="139">
        <v>0</v>
      </c>
      <c r="L9" s="139"/>
      <c r="M9" s="139">
        <v>0</v>
      </c>
      <c r="N9" s="139"/>
      <c r="O9" s="139">
        <v>0</v>
      </c>
      <c r="P9" s="139"/>
      <c r="Q9" s="139">
        <v>0</v>
      </c>
      <c r="S9" s="139">
        <v>0</v>
      </c>
      <c r="U9" s="139">
        <v>0</v>
      </c>
    </row>
    <row r="10" spans="1:21" ht="17.25" x14ac:dyDescent="0.25">
      <c r="A10" s="1" t="s">
        <v>119</v>
      </c>
      <c r="C10" s="145">
        <f>+C9</f>
        <v>37992003.479999997</v>
      </c>
      <c r="D10" s="85"/>
      <c r="E10" s="145">
        <f>+E9+C10</f>
        <v>57606391.952972881</v>
      </c>
      <c r="F10" s="85"/>
      <c r="G10" s="145">
        <f>+G9+E10</f>
        <v>58844654.175310016</v>
      </c>
      <c r="H10" s="85"/>
      <c r="I10" s="145">
        <f>+I9+G10</f>
        <v>58844654.175310016</v>
      </c>
      <c r="J10" s="85"/>
      <c r="K10" s="145">
        <f>+K9+I10</f>
        <v>58844654.175310016</v>
      </c>
      <c r="L10" s="85"/>
      <c r="M10" s="145">
        <f>+M9+K10</f>
        <v>58844654.175310016</v>
      </c>
      <c r="N10" s="85"/>
      <c r="O10" s="145">
        <f>+O9+M10</f>
        <v>58844654.175310016</v>
      </c>
      <c r="P10" s="85"/>
      <c r="Q10" s="145">
        <f>+Q9+O10</f>
        <v>58844654.175310016</v>
      </c>
      <c r="S10" s="145">
        <f>+S9+Q10</f>
        <v>58844654.175310016</v>
      </c>
      <c r="U10" s="145">
        <f>+U9+S10</f>
        <v>58844654.175310016</v>
      </c>
    </row>
    <row r="11" spans="1:21" x14ac:dyDescent="0.25">
      <c r="A11" s="1"/>
    </row>
    <row r="12" spans="1:21" x14ac:dyDescent="0.25">
      <c r="A12" s="1" t="s">
        <v>72</v>
      </c>
      <c r="C12" s="85">
        <f>+S40</f>
        <v>283040.42592599994</v>
      </c>
      <c r="D12" s="139"/>
      <c r="E12" s="139">
        <f>+S41</f>
        <v>712208.04597564787</v>
      </c>
      <c r="F12" s="139"/>
      <c r="G12" s="139">
        <f>+S42</f>
        <v>867560.2936557075</v>
      </c>
      <c r="H12" s="139"/>
      <c r="I12" s="139">
        <f>+S43</f>
        <v>876785.34721211914</v>
      </c>
      <c r="J12" s="139"/>
      <c r="K12" s="139">
        <f>+S44</f>
        <v>876785.34721211914</v>
      </c>
      <c r="L12" s="139"/>
      <c r="M12" s="139">
        <f>+S45</f>
        <v>876785.34721211914</v>
      </c>
      <c r="N12" s="139"/>
      <c r="O12" s="139">
        <f>+S46</f>
        <v>876785.34721211914</v>
      </c>
      <c r="P12" s="139"/>
      <c r="Q12" s="139">
        <f>+S47</f>
        <v>876785.34721211914</v>
      </c>
      <c r="S12" s="85">
        <f>S48</f>
        <v>876785.34721211914</v>
      </c>
      <c r="U12" s="85">
        <f>S49</f>
        <v>876785.34721211914</v>
      </c>
    </row>
    <row r="13" spans="1:21" x14ac:dyDescent="0.25">
      <c r="A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S13" s="85"/>
      <c r="U13" s="85"/>
    </row>
    <row r="14" spans="1:21" x14ac:dyDescent="0.25">
      <c r="A14" s="1" t="s">
        <v>71</v>
      </c>
      <c r="C14" s="139">
        <f>-C12</f>
        <v>-283040.42592599994</v>
      </c>
      <c r="D14" s="139"/>
      <c r="E14" s="139">
        <f>-SUM($C12:E12)</f>
        <v>-995248.47190164775</v>
      </c>
      <c r="F14" s="139"/>
      <c r="G14" s="139">
        <f>-SUM($C12:G12)</f>
        <v>-1862808.7655573552</v>
      </c>
      <c r="H14" s="139"/>
      <c r="I14" s="139">
        <f>-SUM($C12:I12)</f>
        <v>-2739594.1127694743</v>
      </c>
      <c r="J14" s="139"/>
      <c r="K14" s="139">
        <f>-SUM($C12:K12)</f>
        <v>-3616379.4599815933</v>
      </c>
      <c r="L14" s="139"/>
      <c r="M14" s="139">
        <f>-SUM($C12:M12)</f>
        <v>-4493164.8071937123</v>
      </c>
      <c r="N14" s="139"/>
      <c r="O14" s="139">
        <f>-SUM($C12:O12)</f>
        <v>-5369950.1544058314</v>
      </c>
      <c r="P14" s="139"/>
      <c r="Q14" s="139">
        <f>-SUM($C12:Q12)</f>
        <v>-6246735.5016179504</v>
      </c>
      <c r="S14" s="139">
        <f>-SUM($C12:S12)</f>
        <v>-7123520.8488300694</v>
      </c>
      <c r="U14" s="139">
        <f>-SUM($C12:U12)</f>
        <v>-8000306.1960421884</v>
      </c>
    </row>
    <row r="15" spans="1:21" x14ac:dyDescent="0.25">
      <c r="A15" s="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S15" s="85"/>
      <c r="U15" s="85"/>
    </row>
    <row r="16" spans="1:21" x14ac:dyDescent="0.25">
      <c r="A16" s="1" t="s">
        <v>109</v>
      </c>
      <c r="C16" s="139">
        <f>-+AA40</f>
        <v>-239748.53796053995</v>
      </c>
      <c r="D16" s="139"/>
      <c r="E16" s="139">
        <f>-AA41</f>
        <v>-820603</v>
      </c>
      <c r="F16" s="139"/>
      <c r="G16" s="139">
        <f>-AA42</f>
        <v>-1478231</v>
      </c>
      <c r="H16" s="139"/>
      <c r="I16" s="139">
        <f>-AA43</f>
        <v>-2080726</v>
      </c>
      <c r="J16" s="139"/>
      <c r="K16" s="139">
        <f>-AA44</f>
        <v>-2624197</v>
      </c>
      <c r="L16" s="139"/>
      <c r="M16" s="139">
        <f>-AA45</f>
        <v>-3113109</v>
      </c>
      <c r="N16" s="139"/>
      <c r="O16" s="139">
        <f>-AA46</f>
        <v>-3551510</v>
      </c>
      <c r="P16" s="139"/>
      <c r="Q16" s="139">
        <f>-AA47</f>
        <v>-3943246</v>
      </c>
      <c r="S16" s="85">
        <f>AA48</f>
        <v>4314086</v>
      </c>
      <c r="U16" s="85">
        <f>AA49</f>
        <v>4681424</v>
      </c>
    </row>
    <row r="17" spans="1:21" x14ac:dyDescent="0.25">
      <c r="A17" s="1"/>
    </row>
    <row r="18" spans="1:21" hidden="1" x14ac:dyDescent="0.2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21" hidden="1" x14ac:dyDescent="0.25">
      <c r="C19" s="159" t="s">
        <v>108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</row>
    <row r="20" spans="1:21" hidden="1" x14ac:dyDescent="0.25">
      <c r="A20" s="73" t="s">
        <v>107</v>
      </c>
      <c r="C20" s="144">
        <f>C7</f>
        <v>2020</v>
      </c>
      <c r="D20" s="142"/>
      <c r="E20" s="141">
        <f>+C20+1</f>
        <v>2021</v>
      </c>
      <c r="F20" s="143"/>
      <c r="G20" s="141">
        <f>+E20+1</f>
        <v>2022</v>
      </c>
      <c r="H20" s="142"/>
      <c r="I20" s="141">
        <f>+G20+1</f>
        <v>2023</v>
      </c>
      <c r="J20" s="142"/>
      <c r="K20" s="141">
        <f>+I20+1</f>
        <v>2024</v>
      </c>
      <c r="L20" s="142"/>
      <c r="M20" s="141">
        <f>+K20+1</f>
        <v>2025</v>
      </c>
      <c r="O20" s="141">
        <f>+M20+1</f>
        <v>2026</v>
      </c>
      <c r="P20" s="142"/>
      <c r="Q20" s="141">
        <f>+O20+1</f>
        <v>2027</v>
      </c>
      <c r="S20" s="141">
        <f>+Q20+1</f>
        <v>2028</v>
      </c>
      <c r="U20" s="141">
        <f>+S20+1</f>
        <v>2029</v>
      </c>
    </row>
    <row r="21" spans="1:21" hidden="1" x14ac:dyDescent="0.25"/>
    <row r="22" spans="1:21" hidden="1" x14ac:dyDescent="0.25">
      <c r="A22" t="s">
        <v>106</v>
      </c>
      <c r="C22" s="139">
        <v>0</v>
      </c>
      <c r="D22" s="139"/>
      <c r="E22" s="139">
        <v>0</v>
      </c>
      <c r="F22" s="139"/>
      <c r="G22" s="139">
        <v>0</v>
      </c>
      <c r="H22" s="139"/>
      <c r="I22" s="139">
        <v>0</v>
      </c>
      <c r="J22" s="139"/>
      <c r="K22" s="139">
        <v>0</v>
      </c>
      <c r="L22" s="139"/>
      <c r="M22" s="139">
        <v>0</v>
      </c>
      <c r="N22" s="139"/>
      <c r="O22" s="139">
        <v>0</v>
      </c>
      <c r="P22" s="139"/>
      <c r="Q22" s="139">
        <v>0</v>
      </c>
      <c r="S22" s="139">
        <v>0</v>
      </c>
      <c r="U22" s="139">
        <v>0</v>
      </c>
    </row>
    <row r="23" spans="1:21" hidden="1" x14ac:dyDescent="0.25">
      <c r="A23" s="1" t="s">
        <v>105</v>
      </c>
    </row>
    <row r="24" spans="1:21" hidden="1" x14ac:dyDescent="0.25">
      <c r="A24" t="s">
        <v>104</v>
      </c>
      <c r="C24" s="139"/>
      <c r="D24" s="139"/>
      <c r="E24" s="139">
        <f>$C$22/5</f>
        <v>0</v>
      </c>
      <c r="F24" s="139"/>
      <c r="G24" s="139">
        <f>$C$22/5</f>
        <v>0</v>
      </c>
      <c r="H24" s="139"/>
      <c r="I24" s="139">
        <f>$C$22/5</f>
        <v>0</v>
      </c>
      <c r="J24" s="139"/>
      <c r="K24" s="139">
        <f>$C$22/5</f>
        <v>0</v>
      </c>
      <c r="L24" s="139"/>
      <c r="M24" s="139">
        <f>$C$22/5</f>
        <v>0</v>
      </c>
      <c r="N24" s="139"/>
      <c r="O24" s="139"/>
      <c r="P24" s="139"/>
      <c r="Q24" s="139"/>
      <c r="R24" s="139"/>
      <c r="S24" s="139"/>
      <c r="T24" s="139"/>
      <c r="U24" s="139"/>
    </row>
    <row r="25" spans="1:21" hidden="1" x14ac:dyDescent="0.25">
      <c r="A25" s="1" t="s">
        <v>103</v>
      </c>
      <c r="C25" s="85"/>
      <c r="D25" s="85"/>
      <c r="E25" s="85"/>
      <c r="F25" s="85"/>
      <c r="G25" s="85">
        <f>$E$22/5</f>
        <v>0</v>
      </c>
      <c r="H25" s="85"/>
      <c r="I25" s="85">
        <f>$E$22/5</f>
        <v>0</v>
      </c>
      <c r="J25" s="85"/>
      <c r="K25" s="85">
        <f>$E$22/5</f>
        <v>0</v>
      </c>
      <c r="L25" s="85"/>
      <c r="M25" s="85">
        <f>$E$22/5</f>
        <v>0</v>
      </c>
      <c r="N25" s="85"/>
      <c r="O25" s="85">
        <f>$E$22/5</f>
        <v>0</v>
      </c>
      <c r="P25" s="85"/>
      <c r="Q25" s="85"/>
      <c r="R25" s="85"/>
      <c r="S25" s="85"/>
      <c r="T25" s="85"/>
      <c r="U25" s="85"/>
    </row>
    <row r="26" spans="1:21" hidden="1" x14ac:dyDescent="0.25">
      <c r="A26" s="1" t="s">
        <v>102</v>
      </c>
      <c r="C26" s="85"/>
      <c r="D26" s="85"/>
      <c r="E26" s="85"/>
      <c r="F26" s="85"/>
      <c r="G26" s="85"/>
      <c r="H26" s="85"/>
      <c r="I26" s="112">
        <f>$G$22/5</f>
        <v>0</v>
      </c>
      <c r="J26" s="85"/>
      <c r="K26" s="112">
        <f>$G$22/5</f>
        <v>0</v>
      </c>
      <c r="L26" s="85"/>
      <c r="M26" s="112">
        <f>$G$22/5</f>
        <v>0</v>
      </c>
      <c r="N26" s="85"/>
      <c r="O26" s="112">
        <f>$G$22/5</f>
        <v>0</v>
      </c>
      <c r="P26" s="85"/>
      <c r="Q26" s="112">
        <f>$G$22/5</f>
        <v>0</v>
      </c>
      <c r="R26" s="112"/>
      <c r="S26" s="112"/>
      <c r="T26" s="112"/>
      <c r="U26" s="112"/>
    </row>
    <row r="27" spans="1:21" hidden="1" x14ac:dyDescent="0.25">
      <c r="A27" s="1" t="s">
        <v>101</v>
      </c>
      <c r="C27" s="85"/>
      <c r="D27" s="85"/>
      <c r="E27" s="85"/>
      <c r="F27" s="85"/>
      <c r="G27" s="85"/>
      <c r="H27" s="85"/>
      <c r="I27" s="112"/>
      <c r="J27" s="85"/>
      <c r="K27" s="140">
        <f>$I$22/5</f>
        <v>0</v>
      </c>
      <c r="L27" s="85"/>
      <c r="M27" s="140">
        <f>$I$22/5</f>
        <v>0</v>
      </c>
      <c r="N27" s="85"/>
      <c r="O27" s="140">
        <f>$I$22/5</f>
        <v>0</v>
      </c>
      <c r="P27" s="85"/>
      <c r="Q27" s="140">
        <f>$I$22/5</f>
        <v>0</v>
      </c>
      <c r="R27" s="112"/>
      <c r="S27" s="140">
        <f>$I$22/5</f>
        <v>0</v>
      </c>
      <c r="T27" s="112"/>
      <c r="U27" s="112"/>
    </row>
    <row r="28" spans="1:21" hidden="1" x14ac:dyDescent="0.25">
      <c r="A28" s="1" t="s">
        <v>100</v>
      </c>
      <c r="C28" s="85"/>
      <c r="D28" s="85"/>
      <c r="E28" s="85"/>
      <c r="F28" s="85"/>
      <c r="G28" s="85"/>
      <c r="H28" s="85"/>
      <c r="I28" s="112"/>
      <c r="J28" s="85"/>
      <c r="K28" s="112"/>
      <c r="L28" s="85"/>
      <c r="M28" s="112">
        <f>$K$22/5</f>
        <v>0</v>
      </c>
      <c r="N28" s="85"/>
      <c r="O28" s="112">
        <f>$K$22/5</f>
        <v>0</v>
      </c>
      <c r="P28" s="85"/>
      <c r="Q28" s="112">
        <f>$K$22/5</f>
        <v>0</v>
      </c>
      <c r="R28" s="112"/>
      <c r="S28" s="112">
        <f>$K$22/5</f>
        <v>0</v>
      </c>
      <c r="T28" s="112"/>
      <c r="U28" s="112">
        <f>$K$22/5</f>
        <v>0</v>
      </c>
    </row>
    <row r="29" spans="1:21" hidden="1" x14ac:dyDescent="0.25">
      <c r="A29" s="1" t="s">
        <v>99</v>
      </c>
      <c r="C29" s="138">
        <f>SUM(C24:C28)</f>
        <v>0</v>
      </c>
      <c r="D29" s="139"/>
      <c r="E29" s="138">
        <f>SUM(E24:E28)</f>
        <v>0</v>
      </c>
      <c r="F29" s="139"/>
      <c r="G29" s="138">
        <f>SUM(G24:G28)</f>
        <v>0</v>
      </c>
      <c r="H29" s="139"/>
      <c r="I29" s="138">
        <f>SUM(I24:I28)</f>
        <v>0</v>
      </c>
      <c r="J29" s="139"/>
      <c r="K29" s="138">
        <f>SUM(K24:K28)</f>
        <v>0</v>
      </c>
      <c r="L29" s="139"/>
      <c r="M29" s="138">
        <f>SUM(M24:M28)</f>
        <v>0</v>
      </c>
      <c r="N29" s="139"/>
      <c r="O29" s="138">
        <f>SUM(O24:O28)</f>
        <v>0</v>
      </c>
      <c r="P29" s="139"/>
      <c r="Q29" s="138">
        <f>SUM(Q24:Q28)</f>
        <v>0</v>
      </c>
      <c r="R29" s="130"/>
      <c r="S29" s="138">
        <f>SUM(S24:S28)</f>
        <v>0</v>
      </c>
      <c r="T29" s="130"/>
      <c r="U29" s="138">
        <f>SUM(U24:U28)</f>
        <v>0</v>
      </c>
    </row>
    <row r="30" spans="1:21" hidden="1" x14ac:dyDescent="0.25">
      <c r="A30" s="1"/>
    </row>
    <row r="32" spans="1:21" x14ac:dyDescent="0.25">
      <c r="C32" s="133" t="s">
        <v>98</v>
      </c>
      <c r="E32" s="133" t="s">
        <v>97</v>
      </c>
      <c r="S32" s="121"/>
    </row>
    <row r="34" spans="1:27" x14ac:dyDescent="0.25">
      <c r="C34" s="137">
        <v>67.114093959731548</v>
      </c>
      <c r="D34" s="137"/>
      <c r="E34" s="137">
        <v>20</v>
      </c>
      <c r="G34" s="136"/>
      <c r="S34" s="120"/>
    </row>
    <row r="35" spans="1:27" x14ac:dyDescent="0.25">
      <c r="C35" s="112"/>
    </row>
    <row r="36" spans="1:27" x14ac:dyDescent="0.25">
      <c r="C36" s="148"/>
    </row>
    <row r="37" spans="1:27" x14ac:dyDescent="0.25">
      <c r="A37" s="117"/>
      <c r="C37" s="112"/>
      <c r="G37" s="156" t="s">
        <v>96</v>
      </c>
      <c r="H37" s="157"/>
      <c r="I37" s="157"/>
      <c r="J37" s="157"/>
      <c r="K37" s="157"/>
      <c r="L37" s="157"/>
      <c r="M37" s="157"/>
      <c r="N37" s="157"/>
      <c r="O37" s="158"/>
      <c r="Q37" s="135" t="s">
        <v>95</v>
      </c>
      <c r="S37" s="135" t="s">
        <v>94</v>
      </c>
      <c r="U37" s="135" t="s">
        <v>93</v>
      </c>
      <c r="W37" s="135" t="s">
        <v>92</v>
      </c>
    </row>
    <row r="38" spans="1:27" x14ac:dyDescent="0.25">
      <c r="A38" s="117"/>
      <c r="C38" s="133" t="str">
        <f>CONCATENATE(E34, " ", "Yr MACRS")</f>
        <v>20 Yr MACRS</v>
      </c>
      <c r="E38" s="133" t="s">
        <v>91</v>
      </c>
      <c r="G38" s="75" t="str">
        <f>CONCATENATE(A40," ","Spend")</f>
        <v>2020 Spend</v>
      </c>
      <c r="H38" s="76"/>
      <c r="I38" s="75" t="str">
        <f>CONCATENATE(A41," ","Spend")</f>
        <v>2021 Spend</v>
      </c>
      <c r="J38" s="76"/>
      <c r="K38" s="75" t="str">
        <f>CONCATENATE(A42," ","Spend")</f>
        <v>2022 Spend</v>
      </c>
      <c r="L38" s="76"/>
      <c r="M38" s="75" t="str">
        <f>CONCATENATE(A43," ","Spend")</f>
        <v>2023 Spend</v>
      </c>
      <c r="N38" s="76"/>
      <c r="O38" s="75" t="str">
        <f>CONCATENATE(A44," ","Spend")</f>
        <v>2024 Spend</v>
      </c>
      <c r="Q38" s="134" t="s">
        <v>90</v>
      </c>
      <c r="S38" s="134" t="s">
        <v>88</v>
      </c>
      <c r="U38" s="134" t="s">
        <v>89</v>
      </c>
      <c r="W38" s="134" t="s">
        <v>88</v>
      </c>
      <c r="Y38" s="133" t="s">
        <v>87</v>
      </c>
      <c r="AA38" s="133" t="s">
        <v>86</v>
      </c>
    </row>
    <row r="39" spans="1:27" x14ac:dyDescent="0.25">
      <c r="A39" s="117"/>
      <c r="C39" s="112"/>
      <c r="G39" s="132"/>
      <c r="I39" s="132"/>
      <c r="K39" s="132"/>
      <c r="M39" s="132"/>
      <c r="O39" s="132"/>
    </row>
    <row r="40" spans="1:27" x14ac:dyDescent="0.25">
      <c r="A40" s="119">
        <v>2020</v>
      </c>
      <c r="C40" s="123">
        <v>3.7499999999999999E-2</v>
      </c>
      <c r="E40" s="28">
        <f>+C9</f>
        <v>37992003.479999997</v>
      </c>
      <c r="G40" s="130">
        <f t="shared" ref="G40:G55" si="0">+C$9*C40</f>
        <v>1424700.1304999997</v>
      </c>
      <c r="J40" s="112"/>
      <c r="L40" s="112"/>
      <c r="N40" s="112"/>
      <c r="Q40" s="112">
        <f t="shared" ref="Q40:Q55" si="1">SUM(G40:O40)</f>
        <v>1424700.1304999997</v>
      </c>
      <c r="R40" s="131"/>
      <c r="S40" s="130">
        <f>SUM(C9)/C$34-C9/C$34*0.5</f>
        <v>283040.42592599994</v>
      </c>
      <c r="T40" s="131"/>
      <c r="U40" s="112">
        <f>C10</f>
        <v>37992003.479999997</v>
      </c>
      <c r="V40" s="131"/>
      <c r="W40" s="130">
        <f>SUM(S40:S$40)</f>
        <v>283040.42592599994</v>
      </c>
      <c r="X40" s="131"/>
      <c r="Y40" s="112">
        <f>(Q40-S40)*0.21</f>
        <v>239748.53796053995</v>
      </c>
      <c r="AA40" s="130">
        <f>+(Q40-S40)*0.21</f>
        <v>239748.53796053995</v>
      </c>
    </row>
    <row r="41" spans="1:27" x14ac:dyDescent="0.25">
      <c r="A41" s="119">
        <f t="shared" ref="A41:A55" si="2">+A40+1</f>
        <v>2021</v>
      </c>
      <c r="C41" s="123">
        <v>7.2190000000000004E-2</v>
      </c>
      <c r="E41" s="112">
        <f>+E9</f>
        <v>19614388.472972885</v>
      </c>
      <c r="G41" s="112">
        <f t="shared" si="0"/>
        <v>2742642.7312212</v>
      </c>
      <c r="I41" s="130">
        <f t="shared" ref="I41:I55" si="3">+E$9*C40</f>
        <v>735539.56773648318</v>
      </c>
      <c r="J41" s="112"/>
      <c r="L41" s="112"/>
      <c r="N41" s="112"/>
      <c r="Q41" s="112">
        <f t="shared" si="1"/>
        <v>3478182.2989576831</v>
      </c>
      <c r="R41" s="112"/>
      <c r="S41" s="112">
        <f t="shared" ref="S41:S47" si="4">U40/C$34+E41/C$34/2</f>
        <v>712208.04597564787</v>
      </c>
      <c r="T41" s="112"/>
      <c r="U41" s="112">
        <f>+E10</f>
        <v>57606391.952972881</v>
      </c>
      <c r="W41" s="120">
        <f>SUM(S$40:S41)</f>
        <v>995248.47190164775</v>
      </c>
      <c r="Y41" s="112">
        <f t="shared" ref="Y41:Y55" si="5">ROUND((Q41-S41)*0.21,4)</f>
        <v>580854.59310000006</v>
      </c>
      <c r="AA41" s="112">
        <f>ROUND(SUM(Y$40:Y41),0)</f>
        <v>820603</v>
      </c>
    </row>
    <row r="42" spans="1:27" x14ac:dyDescent="0.25">
      <c r="A42" s="119">
        <f t="shared" si="2"/>
        <v>2022</v>
      </c>
      <c r="C42" s="123">
        <v>6.6769999999999996E-2</v>
      </c>
      <c r="E42" s="112">
        <f>+G9</f>
        <v>1238262.2223371342</v>
      </c>
      <c r="G42" s="112">
        <f t="shared" si="0"/>
        <v>2536726.0723595996</v>
      </c>
      <c r="I42" s="112">
        <f t="shared" si="3"/>
        <v>1415962.7038639127</v>
      </c>
      <c r="J42" s="112"/>
      <c r="K42" s="130">
        <f t="shared" ref="K42:K55" si="6">+G$9*C40</f>
        <v>46434.833337642529</v>
      </c>
      <c r="L42" s="112"/>
      <c r="N42" s="112"/>
      <c r="Q42" s="120">
        <f t="shared" si="1"/>
        <v>3999123.6095611551</v>
      </c>
      <c r="S42" s="112">
        <f t="shared" si="4"/>
        <v>867560.2936557075</v>
      </c>
      <c r="U42" s="120">
        <f>+G10</f>
        <v>58844654.175310016</v>
      </c>
      <c r="W42" s="120">
        <f>SUM(S$40:S42)</f>
        <v>1862808.7655573552</v>
      </c>
      <c r="Y42" s="112">
        <f t="shared" si="5"/>
        <v>657628.29630000005</v>
      </c>
      <c r="AA42" s="112">
        <f>ROUND(SUM(Y$40:Y42),0)</f>
        <v>1478231</v>
      </c>
    </row>
    <row r="43" spans="1:27" x14ac:dyDescent="0.25">
      <c r="A43" s="119">
        <f t="shared" si="2"/>
        <v>2023</v>
      </c>
      <c r="C43" s="123">
        <v>6.1769999999999999E-2</v>
      </c>
      <c r="E43" s="112">
        <f>+I9</f>
        <v>0</v>
      </c>
      <c r="G43" s="112">
        <f t="shared" si="0"/>
        <v>2346766.0549595999</v>
      </c>
      <c r="I43" s="112">
        <f t="shared" si="3"/>
        <v>1309652.7183403994</v>
      </c>
      <c r="J43" s="112"/>
      <c r="K43" s="112">
        <f t="shared" si="6"/>
        <v>89390.149830517723</v>
      </c>
      <c r="L43" s="112"/>
      <c r="M43" s="130">
        <f t="shared" ref="M43:M64" si="7">+I$9*C40</f>
        <v>0</v>
      </c>
      <c r="N43" s="112"/>
      <c r="Q43" s="120">
        <f t="shared" si="1"/>
        <v>3745808.9231305174</v>
      </c>
      <c r="S43" s="112">
        <f t="shared" si="4"/>
        <v>876785.34721211914</v>
      </c>
      <c r="U43" s="120">
        <f>+I10</f>
        <v>58844654.175310016</v>
      </c>
      <c r="W43" s="120">
        <f>SUM(S$40:S43)</f>
        <v>2739594.1127694743</v>
      </c>
      <c r="Y43" s="112">
        <f t="shared" si="5"/>
        <v>602494.95090000005</v>
      </c>
      <c r="AA43" s="112">
        <f>ROUND(SUM(Y$40:Y43),0)</f>
        <v>2080726</v>
      </c>
    </row>
    <row r="44" spans="1:27" x14ac:dyDescent="0.25">
      <c r="A44" s="119">
        <f t="shared" si="2"/>
        <v>2024</v>
      </c>
      <c r="C44" s="123">
        <v>5.713E-2</v>
      </c>
      <c r="E44" s="112">
        <f>+K9</f>
        <v>0</v>
      </c>
      <c r="G44" s="112">
        <f t="shared" si="0"/>
        <v>2170483.1588124</v>
      </c>
      <c r="I44" s="112">
        <f t="shared" si="3"/>
        <v>1211580.7759755352</v>
      </c>
      <c r="J44" s="112"/>
      <c r="K44" s="112">
        <f t="shared" si="6"/>
        <v>82678.768585450438</v>
      </c>
      <c r="L44" s="112"/>
      <c r="M44" s="112">
        <f t="shared" si="7"/>
        <v>0</v>
      </c>
      <c r="N44" s="112"/>
      <c r="O44" s="130">
        <f t="shared" ref="O44:O64" si="8">+K$9*C40</f>
        <v>0</v>
      </c>
      <c r="Q44" s="120">
        <f t="shared" si="1"/>
        <v>3464742.7033733856</v>
      </c>
      <c r="S44" s="112">
        <f t="shared" si="4"/>
        <v>876785.34721211914</v>
      </c>
      <c r="U44" s="120">
        <f>+K10</f>
        <v>58844654.175310016</v>
      </c>
      <c r="W44" s="120">
        <f>SUM(S$40:S44)</f>
        <v>3616379.4599815933</v>
      </c>
      <c r="Y44" s="112">
        <f t="shared" si="5"/>
        <v>543471.04480000003</v>
      </c>
      <c r="AA44" s="112">
        <f>ROUND(SUM(Y$40:Y44),0)</f>
        <v>2624197</v>
      </c>
    </row>
    <row r="45" spans="1:27" x14ac:dyDescent="0.25">
      <c r="A45" s="119">
        <f t="shared" si="2"/>
        <v>2025</v>
      </c>
      <c r="C45" s="123">
        <v>5.2850000000000001E-2</v>
      </c>
      <c r="E45" s="112">
        <f>M9</f>
        <v>0</v>
      </c>
      <c r="G45" s="112">
        <f t="shared" si="0"/>
        <v>2007877.3839179999</v>
      </c>
      <c r="I45" s="112">
        <f t="shared" si="3"/>
        <v>1120570.0134609409</v>
      </c>
      <c r="J45" s="112"/>
      <c r="K45" s="112">
        <f t="shared" si="6"/>
        <v>76487.457473764778</v>
      </c>
      <c r="L45" s="112"/>
      <c r="M45" s="112">
        <f t="shared" si="7"/>
        <v>0</v>
      </c>
      <c r="N45" s="112"/>
      <c r="O45" s="112">
        <f t="shared" si="8"/>
        <v>0</v>
      </c>
      <c r="Q45" s="120">
        <f t="shared" si="1"/>
        <v>3204934.8548527057</v>
      </c>
      <c r="S45" s="112">
        <f t="shared" si="4"/>
        <v>876785.34721211914</v>
      </c>
      <c r="U45" s="120">
        <f>+M10</f>
        <v>58844654.175310016</v>
      </c>
      <c r="W45" s="120">
        <f>SUM(S$40:S45)</f>
        <v>4493164.8071937123</v>
      </c>
      <c r="Y45" s="112">
        <f t="shared" si="5"/>
        <v>488911.39659999998</v>
      </c>
      <c r="AA45" s="112">
        <f>ROUND(SUM(Y$40:Y45),0)</f>
        <v>3113109</v>
      </c>
    </row>
    <row r="46" spans="1:27" x14ac:dyDescent="0.25">
      <c r="A46" s="119">
        <f t="shared" si="2"/>
        <v>2026</v>
      </c>
      <c r="C46" s="123">
        <v>4.888E-2</v>
      </c>
      <c r="E46" s="112">
        <f>O9</f>
        <v>0</v>
      </c>
      <c r="G46" s="112">
        <f t="shared" si="0"/>
        <v>1857049.1301023997</v>
      </c>
      <c r="I46" s="112">
        <f t="shared" si="3"/>
        <v>1036620.4307966169</v>
      </c>
      <c r="J46" s="112"/>
      <c r="K46" s="112">
        <f t="shared" si="6"/>
        <v>70741.92076212047</v>
      </c>
      <c r="L46" s="112"/>
      <c r="M46" s="112">
        <f t="shared" si="7"/>
        <v>0</v>
      </c>
      <c r="N46" s="112"/>
      <c r="O46" s="112">
        <f t="shared" si="8"/>
        <v>0</v>
      </c>
      <c r="Q46" s="120">
        <f t="shared" si="1"/>
        <v>2964411.4816611367</v>
      </c>
      <c r="S46" s="112">
        <f t="shared" si="4"/>
        <v>876785.34721211914</v>
      </c>
      <c r="U46" s="120">
        <f>+O10</f>
        <v>58844654.175310016</v>
      </c>
      <c r="W46" s="120">
        <f>SUM(S$40:S46)</f>
        <v>5369950.1544058314</v>
      </c>
      <c r="Y46" s="112">
        <f t="shared" si="5"/>
        <v>438401.48820000002</v>
      </c>
      <c r="AA46" s="112">
        <f>ROUND(SUM(Y$40:Y46),0)</f>
        <v>3551510</v>
      </c>
    </row>
    <row r="47" spans="1:27" x14ac:dyDescent="0.25">
      <c r="A47" s="119">
        <f t="shared" si="2"/>
        <v>2027</v>
      </c>
      <c r="C47" s="123">
        <v>4.5220000000000003E-2</v>
      </c>
      <c r="E47" s="112">
        <f>Q9</f>
        <v>0</v>
      </c>
      <c r="G47" s="112">
        <f t="shared" si="0"/>
        <v>1717998.3973655999</v>
      </c>
      <c r="I47" s="112">
        <f t="shared" si="3"/>
        <v>958751.30855891458</v>
      </c>
      <c r="J47" s="112"/>
      <c r="K47" s="112">
        <f t="shared" si="6"/>
        <v>65442.158450517541</v>
      </c>
      <c r="L47" s="112"/>
      <c r="M47" s="112">
        <f t="shared" si="7"/>
        <v>0</v>
      </c>
      <c r="N47" s="112"/>
      <c r="O47" s="112">
        <f t="shared" si="8"/>
        <v>0</v>
      </c>
      <c r="Q47" s="120">
        <f t="shared" si="1"/>
        <v>2742191.864375032</v>
      </c>
      <c r="S47" s="121">
        <f t="shared" si="4"/>
        <v>876785.34721211914</v>
      </c>
      <c r="U47" s="120">
        <f>+Q10</f>
        <v>58844654.175310016</v>
      </c>
      <c r="W47" s="120">
        <f>SUM(S$40:S47)</f>
        <v>6246735.5016179504</v>
      </c>
      <c r="Y47" s="112">
        <f t="shared" si="5"/>
        <v>391735.36859999999</v>
      </c>
      <c r="AA47" s="112">
        <f>ROUND(SUM(Y$40:Y47),0)</f>
        <v>3943246</v>
      </c>
    </row>
    <row r="48" spans="1:27" x14ac:dyDescent="0.25">
      <c r="A48" s="119">
        <f t="shared" si="2"/>
        <v>2028</v>
      </c>
      <c r="C48" s="129">
        <v>4.462E-2</v>
      </c>
      <c r="E48" s="116">
        <f>S9</f>
        <v>0</v>
      </c>
      <c r="G48" s="116">
        <f t="shared" si="0"/>
        <v>1695203.1952775999</v>
      </c>
      <c r="I48" s="116">
        <f t="shared" si="3"/>
        <v>886962.64674783393</v>
      </c>
      <c r="J48" s="116"/>
      <c r="K48" s="116">
        <f t="shared" si="6"/>
        <v>60526.257427839118</v>
      </c>
      <c r="L48" s="116"/>
      <c r="M48" s="116">
        <f t="shared" si="7"/>
        <v>0</v>
      </c>
      <c r="N48" s="116"/>
      <c r="O48" s="116">
        <f t="shared" si="8"/>
        <v>0</v>
      </c>
      <c r="Q48" s="120">
        <f t="shared" si="1"/>
        <v>2642692.0994532728</v>
      </c>
      <c r="S48" s="121">
        <f t="shared" ref="S48:S79" si="9">IF(U47/C$34+E48/C$34/2&gt;U47,U47-W47,SUM(C$9:K$9)/C$34-K$9/C$34*0.5)</f>
        <v>876785.34721211914</v>
      </c>
      <c r="U48" s="120">
        <f>S10</f>
        <v>58844654.175310016</v>
      </c>
      <c r="W48" s="120">
        <f>SUM(S$40:S48)</f>
        <v>7123520.8488300694</v>
      </c>
      <c r="Y48" s="112">
        <f t="shared" si="5"/>
        <v>370840.41800000001</v>
      </c>
      <c r="AA48" s="112">
        <f>ROUND(SUM(Y$40:Y48),0)</f>
        <v>4314086</v>
      </c>
    </row>
    <row r="49" spans="1:27" x14ac:dyDescent="0.25">
      <c r="A49" s="119">
        <f t="shared" si="2"/>
        <v>2029</v>
      </c>
      <c r="C49" s="129">
        <v>4.4609999999999997E-2</v>
      </c>
      <c r="E49" s="116">
        <f>U9</f>
        <v>0</v>
      </c>
      <c r="G49" s="116">
        <f t="shared" si="0"/>
        <v>1694823.2752427997</v>
      </c>
      <c r="I49" s="116">
        <f t="shared" si="3"/>
        <v>875194.01366405014</v>
      </c>
      <c r="J49" s="116"/>
      <c r="K49" s="116">
        <f t="shared" si="6"/>
        <v>55994.217694085215</v>
      </c>
      <c r="L49" s="116"/>
      <c r="M49" s="116">
        <f t="shared" si="7"/>
        <v>0</v>
      </c>
      <c r="N49" s="116"/>
      <c r="O49" s="116">
        <f t="shared" si="8"/>
        <v>0</v>
      </c>
      <c r="Q49" s="120">
        <f t="shared" si="1"/>
        <v>2626011.506600935</v>
      </c>
      <c r="S49" s="121">
        <f t="shared" si="9"/>
        <v>876785.34721211914</v>
      </c>
      <c r="U49" s="120">
        <f>U10</f>
        <v>58844654.175310016</v>
      </c>
      <c r="W49" s="120">
        <f>SUM(S$40:S49)</f>
        <v>8000306.1960421884</v>
      </c>
      <c r="Y49" s="112">
        <f t="shared" si="5"/>
        <v>367337.49349999998</v>
      </c>
      <c r="AA49" s="112">
        <f>ROUND(SUM(Y$40:Y49),0)</f>
        <v>4681424</v>
      </c>
    </row>
    <row r="50" spans="1:27" x14ac:dyDescent="0.25">
      <c r="A50" s="128">
        <f t="shared" si="2"/>
        <v>2030</v>
      </c>
      <c r="B50" s="125"/>
      <c r="C50" s="127">
        <v>4.462E-2</v>
      </c>
      <c r="D50" s="125"/>
      <c r="E50" s="124"/>
      <c r="F50" s="125"/>
      <c r="G50" s="124">
        <f t="shared" si="0"/>
        <v>1695203.1952775999</v>
      </c>
      <c r="H50" s="125"/>
      <c r="I50" s="124">
        <f t="shared" si="3"/>
        <v>874997.86977932032</v>
      </c>
      <c r="J50" s="124"/>
      <c r="K50" s="124">
        <f t="shared" si="6"/>
        <v>55251.260360682929</v>
      </c>
      <c r="L50" s="124"/>
      <c r="M50" s="124">
        <f t="shared" si="7"/>
        <v>0</v>
      </c>
      <c r="N50" s="124"/>
      <c r="O50" s="124">
        <f t="shared" si="8"/>
        <v>0</v>
      </c>
      <c r="P50" s="125"/>
      <c r="Q50" s="126">
        <f t="shared" si="1"/>
        <v>2625452.3254176029</v>
      </c>
      <c r="R50" s="125"/>
      <c r="S50" s="121">
        <f t="shared" si="9"/>
        <v>876785.34721211914</v>
      </c>
      <c r="T50" s="125"/>
      <c r="U50" s="124">
        <f t="shared" ref="U50:U55" si="10">+U49</f>
        <v>58844654.175310016</v>
      </c>
      <c r="V50" s="125"/>
      <c r="W50" s="126">
        <f>SUM(S$40:S50)</f>
        <v>8877091.5432543084</v>
      </c>
      <c r="X50" s="125"/>
      <c r="Y50" s="124">
        <f t="shared" si="5"/>
        <v>367220.06540000002</v>
      </c>
      <c r="Z50" s="125"/>
      <c r="AA50" s="124">
        <f>ROUND(SUM(Y$40:Y50),0)</f>
        <v>5048644</v>
      </c>
    </row>
    <row r="51" spans="1:27" x14ac:dyDescent="0.25">
      <c r="A51" s="119">
        <f t="shared" si="2"/>
        <v>2031</v>
      </c>
      <c r="C51" s="123">
        <v>4.4609999999999997E-2</v>
      </c>
      <c r="E51" s="112"/>
      <c r="G51" s="112">
        <f t="shared" si="0"/>
        <v>1694823.2752427997</v>
      </c>
      <c r="I51" s="112">
        <f t="shared" si="3"/>
        <v>875194.01366405014</v>
      </c>
      <c r="J51" s="112"/>
      <c r="K51" s="112">
        <f t="shared" si="6"/>
        <v>55238.877738459552</v>
      </c>
      <c r="L51" s="112"/>
      <c r="M51" s="112">
        <f t="shared" si="7"/>
        <v>0</v>
      </c>
      <c r="N51" s="112"/>
      <c r="O51" s="112">
        <f t="shared" si="8"/>
        <v>0</v>
      </c>
      <c r="Q51" s="120">
        <f t="shared" si="1"/>
        <v>2625256.1666453094</v>
      </c>
      <c r="S51" s="121">
        <f t="shared" si="9"/>
        <v>876785.34721211914</v>
      </c>
      <c r="U51" s="112">
        <f t="shared" si="10"/>
        <v>58844654.175310016</v>
      </c>
      <c r="W51" s="120">
        <f>SUM(S$40:S51)</f>
        <v>9753876.8904664274</v>
      </c>
      <c r="Y51" s="112">
        <f t="shared" si="5"/>
        <v>367178.87209999998</v>
      </c>
      <c r="AA51" s="112">
        <f>ROUND(SUM(Y$40:Y51),0)</f>
        <v>5415823</v>
      </c>
    </row>
    <row r="52" spans="1:27" x14ac:dyDescent="0.25">
      <c r="A52" s="119">
        <f t="shared" si="2"/>
        <v>2032</v>
      </c>
      <c r="C52" s="123">
        <v>4.462E-2</v>
      </c>
      <c r="E52" s="112"/>
      <c r="G52" s="112">
        <f t="shared" si="0"/>
        <v>1695203.1952775999</v>
      </c>
      <c r="I52" s="112">
        <f t="shared" si="3"/>
        <v>874997.86977932032</v>
      </c>
      <c r="J52" s="112"/>
      <c r="K52" s="112">
        <f t="shared" si="6"/>
        <v>55251.260360682929</v>
      </c>
      <c r="L52" s="112"/>
      <c r="M52" s="112">
        <f t="shared" si="7"/>
        <v>0</v>
      </c>
      <c r="N52" s="112"/>
      <c r="O52" s="112">
        <f t="shared" si="8"/>
        <v>0</v>
      </c>
      <c r="Q52" s="120">
        <f t="shared" si="1"/>
        <v>2625452.3254176029</v>
      </c>
      <c r="S52" s="121">
        <f t="shared" si="9"/>
        <v>876785.34721211914</v>
      </c>
      <c r="U52" s="112">
        <f t="shared" si="10"/>
        <v>58844654.175310016</v>
      </c>
      <c r="W52" s="120">
        <f>SUM(S$40:S52)</f>
        <v>10630662.237678546</v>
      </c>
      <c r="Y52" s="112">
        <f t="shared" si="5"/>
        <v>367220.06540000002</v>
      </c>
      <c r="AA52" s="112">
        <f>ROUND(SUM(Y$40:Y52),0)</f>
        <v>5783043</v>
      </c>
    </row>
    <row r="53" spans="1:27" x14ac:dyDescent="0.25">
      <c r="A53" s="119">
        <f t="shared" si="2"/>
        <v>2033</v>
      </c>
      <c r="C53" s="123">
        <v>4.4609999999999997E-2</v>
      </c>
      <c r="E53" s="112"/>
      <c r="G53" s="112">
        <f t="shared" si="0"/>
        <v>1694823.2752427997</v>
      </c>
      <c r="I53" s="112">
        <f t="shared" si="3"/>
        <v>875194.01366405014</v>
      </c>
      <c r="J53" s="112"/>
      <c r="K53" s="112">
        <f t="shared" si="6"/>
        <v>55238.877738459552</v>
      </c>
      <c r="L53" s="112"/>
      <c r="M53" s="112">
        <f t="shared" si="7"/>
        <v>0</v>
      </c>
      <c r="N53" s="112"/>
      <c r="O53" s="112">
        <f t="shared" si="8"/>
        <v>0</v>
      </c>
      <c r="Q53" s="120">
        <f t="shared" si="1"/>
        <v>2625256.1666453094</v>
      </c>
      <c r="S53" s="121">
        <f t="shared" si="9"/>
        <v>876785.34721211914</v>
      </c>
      <c r="U53" s="112">
        <f t="shared" si="10"/>
        <v>58844654.175310016</v>
      </c>
      <c r="W53" s="120">
        <f>SUM(S$40:S53)</f>
        <v>11507447.584890665</v>
      </c>
      <c r="Y53" s="112">
        <f t="shared" si="5"/>
        <v>367178.87209999998</v>
      </c>
      <c r="AA53" s="112">
        <f>ROUND(SUM(Y$40:Y53),0)</f>
        <v>6150221</v>
      </c>
    </row>
    <row r="54" spans="1:27" x14ac:dyDescent="0.25">
      <c r="A54" s="119">
        <f t="shared" si="2"/>
        <v>2034</v>
      </c>
      <c r="C54" s="123">
        <v>4.462E-2</v>
      </c>
      <c r="E54" s="112"/>
      <c r="G54" s="112">
        <f t="shared" si="0"/>
        <v>1695203.1952775999</v>
      </c>
      <c r="I54" s="112">
        <f t="shared" si="3"/>
        <v>874997.86977932032</v>
      </c>
      <c r="J54" s="112"/>
      <c r="K54" s="112">
        <f t="shared" si="6"/>
        <v>55251.260360682929</v>
      </c>
      <c r="L54" s="112"/>
      <c r="M54" s="112">
        <f t="shared" si="7"/>
        <v>0</v>
      </c>
      <c r="N54" s="112"/>
      <c r="O54" s="112">
        <f t="shared" si="8"/>
        <v>0</v>
      </c>
      <c r="Q54" s="120">
        <f t="shared" si="1"/>
        <v>2625452.3254176029</v>
      </c>
      <c r="S54" s="121">
        <f t="shared" si="9"/>
        <v>876785.34721211914</v>
      </c>
      <c r="U54" s="112">
        <f t="shared" si="10"/>
        <v>58844654.175310016</v>
      </c>
      <c r="W54" s="120">
        <f>SUM(S$40:S54)</f>
        <v>12384232.932102785</v>
      </c>
      <c r="Y54" s="112">
        <f t="shared" si="5"/>
        <v>367220.06540000002</v>
      </c>
      <c r="AA54" s="112">
        <f>ROUND(SUM(Y$40:Y54),0)</f>
        <v>6517442</v>
      </c>
    </row>
    <row r="55" spans="1:27" x14ac:dyDescent="0.25">
      <c r="A55" s="119">
        <f t="shared" si="2"/>
        <v>2035</v>
      </c>
      <c r="C55" s="123">
        <v>4.4609999999999997E-2</v>
      </c>
      <c r="E55" s="112"/>
      <c r="G55" s="112">
        <f t="shared" si="0"/>
        <v>1694823.2752427997</v>
      </c>
      <c r="I55" s="112">
        <f t="shared" si="3"/>
        <v>875194.01366405014</v>
      </c>
      <c r="J55" s="112"/>
      <c r="K55" s="112">
        <f t="shared" si="6"/>
        <v>55238.877738459552</v>
      </c>
      <c r="L55" s="112"/>
      <c r="M55" s="112">
        <f t="shared" si="7"/>
        <v>0</v>
      </c>
      <c r="N55" s="112"/>
      <c r="O55" s="112">
        <f t="shared" si="8"/>
        <v>0</v>
      </c>
      <c r="Q55" s="120">
        <f t="shared" si="1"/>
        <v>2625256.1666453094</v>
      </c>
      <c r="S55" s="121">
        <f t="shared" si="9"/>
        <v>876785.34721211914</v>
      </c>
      <c r="U55" s="112">
        <f t="shared" si="10"/>
        <v>58844654.175310016</v>
      </c>
      <c r="W55" s="120">
        <f>SUM(S$40:S55)</f>
        <v>13261018.279314904</v>
      </c>
      <c r="Y55" s="112">
        <f t="shared" si="5"/>
        <v>367178.87209999998</v>
      </c>
      <c r="AA55" s="112">
        <f>ROUND(SUM(Y$40:Y55),0)</f>
        <v>6884620</v>
      </c>
    </row>
    <row r="56" spans="1:27" x14ac:dyDescent="0.25">
      <c r="A56" s="119">
        <f t="shared" ref="A56:A108" si="11">+A55+1</f>
        <v>2036</v>
      </c>
      <c r="C56" s="123">
        <v>4.462E-2</v>
      </c>
      <c r="E56" s="112"/>
      <c r="G56" s="112">
        <f t="shared" ref="G56:G62" si="12">+C$9*C56</f>
        <v>1695203.1952775999</v>
      </c>
      <c r="I56" s="112">
        <f t="shared" ref="I56:I62" si="13">+E$9*C55</f>
        <v>874997.86977932032</v>
      </c>
      <c r="J56" s="112"/>
      <c r="K56" s="112">
        <f t="shared" ref="K56:K64" si="14">+G$9*C54</f>
        <v>55251.260360682929</v>
      </c>
      <c r="L56" s="112"/>
      <c r="M56" s="112">
        <f t="shared" si="7"/>
        <v>0</v>
      </c>
      <c r="N56" s="112"/>
      <c r="O56" s="112">
        <f t="shared" si="8"/>
        <v>0</v>
      </c>
      <c r="Q56" s="120">
        <f t="shared" ref="Q56:Q65" si="15">SUM(G56:O56)</f>
        <v>2625452.3254176029</v>
      </c>
      <c r="S56" s="121">
        <f t="shared" si="9"/>
        <v>876785.34721211914</v>
      </c>
      <c r="U56" s="112">
        <f t="shared" ref="U56:U108" si="16">+U55</f>
        <v>58844654.175310016</v>
      </c>
      <c r="W56" s="120">
        <f>SUM(S$40:S56)</f>
        <v>14137803.626527023</v>
      </c>
      <c r="Y56" s="112">
        <f t="shared" ref="Y56:Y106" si="17">ROUND((Q56-S56)*0.21,4)</f>
        <v>367220.06540000002</v>
      </c>
      <c r="AA56" s="112">
        <f>ROUND(SUM(Y$40:Y56),0)</f>
        <v>7251840</v>
      </c>
    </row>
    <row r="57" spans="1:27" x14ac:dyDescent="0.25">
      <c r="A57" s="119">
        <f t="shared" si="11"/>
        <v>2037</v>
      </c>
      <c r="C57" s="123">
        <v>4.4609999999999997E-2</v>
      </c>
      <c r="E57" s="112"/>
      <c r="G57" s="112">
        <f t="shared" si="12"/>
        <v>1694823.2752427997</v>
      </c>
      <c r="I57" s="112">
        <f t="shared" si="13"/>
        <v>875194.01366405014</v>
      </c>
      <c r="J57" s="112"/>
      <c r="K57" s="112">
        <f t="shared" si="14"/>
        <v>55238.877738459552</v>
      </c>
      <c r="L57" s="112"/>
      <c r="M57" s="112">
        <f t="shared" si="7"/>
        <v>0</v>
      </c>
      <c r="N57" s="112"/>
      <c r="O57" s="112">
        <f t="shared" si="8"/>
        <v>0</v>
      </c>
      <c r="Q57" s="120">
        <f t="shared" si="15"/>
        <v>2625256.1666453094</v>
      </c>
      <c r="S57" s="121">
        <f t="shared" si="9"/>
        <v>876785.34721211914</v>
      </c>
      <c r="U57" s="112">
        <f t="shared" si="16"/>
        <v>58844654.175310016</v>
      </c>
      <c r="W57" s="120">
        <f>SUM(S$40:S57)</f>
        <v>15014588.973739142</v>
      </c>
      <c r="Y57" s="112">
        <f t="shared" si="17"/>
        <v>367178.87209999998</v>
      </c>
      <c r="AA57" s="112">
        <f>ROUND(SUM(Y$40:Y57),0)</f>
        <v>7619019</v>
      </c>
    </row>
    <row r="58" spans="1:27" x14ac:dyDescent="0.25">
      <c r="A58" s="119">
        <f t="shared" si="11"/>
        <v>2038</v>
      </c>
      <c r="C58" s="123">
        <v>4.462E-2</v>
      </c>
      <c r="E58" s="112"/>
      <c r="G58" s="112">
        <f t="shared" si="12"/>
        <v>1695203.1952775999</v>
      </c>
      <c r="I58" s="112">
        <f t="shared" si="13"/>
        <v>874997.86977932032</v>
      </c>
      <c r="J58" s="112"/>
      <c r="K58" s="112">
        <f t="shared" si="14"/>
        <v>55251.260360682929</v>
      </c>
      <c r="L58" s="112"/>
      <c r="M58" s="112">
        <f t="shared" si="7"/>
        <v>0</v>
      </c>
      <c r="N58" s="112"/>
      <c r="O58" s="112">
        <f t="shared" si="8"/>
        <v>0</v>
      </c>
      <c r="Q58" s="120">
        <f t="shared" si="15"/>
        <v>2625452.3254176029</v>
      </c>
      <c r="S58" s="121">
        <f t="shared" si="9"/>
        <v>876785.34721211914</v>
      </c>
      <c r="U58" s="112">
        <f t="shared" si="16"/>
        <v>58844654.175310016</v>
      </c>
      <c r="W58" s="120">
        <f>SUM(S$40:S58)</f>
        <v>15891374.320951261</v>
      </c>
      <c r="Y58" s="112">
        <f t="shared" si="17"/>
        <v>367220.06540000002</v>
      </c>
      <c r="AA58" s="112">
        <f>ROUND(SUM(Y$40:Y58),0)</f>
        <v>7986239</v>
      </c>
    </row>
    <row r="59" spans="1:27" x14ac:dyDescent="0.25">
      <c r="A59" s="119">
        <f t="shared" si="11"/>
        <v>2039</v>
      </c>
      <c r="C59" s="123">
        <v>4.4609999999999997E-2</v>
      </c>
      <c r="E59" s="112"/>
      <c r="G59" s="112">
        <f t="shared" si="12"/>
        <v>1694823.2752427997</v>
      </c>
      <c r="I59" s="112">
        <f t="shared" si="13"/>
        <v>875194.01366405014</v>
      </c>
      <c r="J59" s="112"/>
      <c r="K59" s="112">
        <f t="shared" si="14"/>
        <v>55238.877738459552</v>
      </c>
      <c r="L59" s="112"/>
      <c r="M59" s="112">
        <f t="shared" si="7"/>
        <v>0</v>
      </c>
      <c r="N59" s="112"/>
      <c r="O59" s="112">
        <f t="shared" si="8"/>
        <v>0</v>
      </c>
      <c r="Q59" s="120">
        <f t="shared" si="15"/>
        <v>2625256.1666453094</v>
      </c>
      <c r="S59" s="121">
        <f t="shared" si="9"/>
        <v>876785.34721211914</v>
      </c>
      <c r="U59" s="112">
        <f t="shared" si="16"/>
        <v>58844654.175310016</v>
      </c>
      <c r="W59" s="120">
        <f>SUM(S$40:S59)</f>
        <v>16768159.66816338</v>
      </c>
      <c r="Y59" s="112">
        <f t="shared" si="17"/>
        <v>367178.87209999998</v>
      </c>
      <c r="AA59" s="112">
        <f>ROUND(SUM(Y$40:Y59),0)</f>
        <v>8353418</v>
      </c>
    </row>
    <row r="60" spans="1:27" x14ac:dyDescent="0.25">
      <c r="A60" s="119">
        <f t="shared" si="11"/>
        <v>2040</v>
      </c>
      <c r="C60" s="123">
        <v>2.231E-2</v>
      </c>
      <c r="E60" s="112"/>
      <c r="G60" s="112">
        <f t="shared" si="12"/>
        <v>847601.59763879993</v>
      </c>
      <c r="I60" s="112">
        <f t="shared" si="13"/>
        <v>874997.86977932032</v>
      </c>
      <c r="J60" s="112"/>
      <c r="K60" s="112">
        <f t="shared" si="14"/>
        <v>55251.260360682929</v>
      </c>
      <c r="L60" s="112"/>
      <c r="M60" s="112">
        <f t="shared" si="7"/>
        <v>0</v>
      </c>
      <c r="N60" s="112"/>
      <c r="O60" s="112">
        <f t="shared" si="8"/>
        <v>0</v>
      </c>
      <c r="Q60" s="120">
        <f t="shared" si="15"/>
        <v>1777850.7277788031</v>
      </c>
      <c r="S60" s="121">
        <f t="shared" si="9"/>
        <v>876785.34721211914</v>
      </c>
      <c r="U60" s="112">
        <f t="shared" si="16"/>
        <v>58844654.175310016</v>
      </c>
      <c r="W60" s="120">
        <f>SUM(S$40:S60)</f>
        <v>17644945.015375499</v>
      </c>
      <c r="Y60" s="112">
        <f t="shared" si="17"/>
        <v>189223.72990000001</v>
      </c>
      <c r="AA60" s="112">
        <f>ROUND(SUM(Y$40:Y60),0)</f>
        <v>8542642</v>
      </c>
    </row>
    <row r="61" spans="1:27" x14ac:dyDescent="0.25">
      <c r="A61" s="119">
        <f t="shared" si="11"/>
        <v>2041</v>
      </c>
      <c r="C61" s="123"/>
      <c r="E61" s="112"/>
      <c r="G61" s="112">
        <f t="shared" si="12"/>
        <v>0</v>
      </c>
      <c r="I61" s="112">
        <f t="shared" si="13"/>
        <v>437597.00683202507</v>
      </c>
      <c r="J61" s="112"/>
      <c r="K61" s="112">
        <f t="shared" si="14"/>
        <v>55238.877738459552</v>
      </c>
      <c r="L61" s="112"/>
      <c r="M61" s="112">
        <f t="shared" si="7"/>
        <v>0</v>
      </c>
      <c r="N61" s="112"/>
      <c r="O61" s="112">
        <f t="shared" si="8"/>
        <v>0</v>
      </c>
      <c r="Q61" s="120">
        <f t="shared" si="15"/>
        <v>492835.88457048463</v>
      </c>
      <c r="S61" s="121">
        <f t="shared" si="9"/>
        <v>876785.34721211914</v>
      </c>
      <c r="U61" s="112">
        <f t="shared" si="16"/>
        <v>58844654.175310016</v>
      </c>
      <c r="W61" s="120">
        <f>SUM(S$40:S61)</f>
        <v>18521730.36258762</v>
      </c>
      <c r="Y61" s="112">
        <f t="shared" si="17"/>
        <v>-80629.387199999997</v>
      </c>
      <c r="AA61" s="112">
        <f>ROUND(SUM(Y$40:Y61),0)</f>
        <v>8462013</v>
      </c>
    </row>
    <row r="62" spans="1:27" x14ac:dyDescent="0.25">
      <c r="A62" s="119">
        <f t="shared" si="11"/>
        <v>2042</v>
      </c>
      <c r="C62" s="123"/>
      <c r="E62" s="112"/>
      <c r="G62" s="112">
        <f t="shared" si="12"/>
        <v>0</v>
      </c>
      <c r="I62" s="112">
        <f t="shared" si="13"/>
        <v>0</v>
      </c>
      <c r="J62" s="112"/>
      <c r="K62" s="112">
        <f t="shared" si="14"/>
        <v>27625.630180341464</v>
      </c>
      <c r="L62" s="112"/>
      <c r="M62" s="112">
        <f t="shared" si="7"/>
        <v>0</v>
      </c>
      <c r="N62" s="112"/>
      <c r="O62" s="112">
        <f t="shared" si="8"/>
        <v>0</v>
      </c>
      <c r="Q62" s="120">
        <f t="shared" si="15"/>
        <v>27625.630180341464</v>
      </c>
      <c r="S62" s="121">
        <f t="shared" si="9"/>
        <v>876785.34721211914</v>
      </c>
      <c r="U62" s="112">
        <f t="shared" si="16"/>
        <v>58844654.175310016</v>
      </c>
      <c r="W62" s="120">
        <f>SUM(S$40:S62)</f>
        <v>19398515.70979974</v>
      </c>
      <c r="Y62" s="112">
        <f t="shared" si="17"/>
        <v>-178323.54060000001</v>
      </c>
      <c r="AA62" s="112">
        <f>ROUND(SUM(Y$40:Y62),0)</f>
        <v>8283689</v>
      </c>
    </row>
    <row r="63" spans="1:27" x14ac:dyDescent="0.25">
      <c r="A63" s="119">
        <f t="shared" si="11"/>
        <v>2043</v>
      </c>
      <c r="C63" s="123"/>
      <c r="E63" s="112"/>
      <c r="G63" s="112"/>
      <c r="I63" s="112"/>
      <c r="J63" s="112"/>
      <c r="K63" s="112">
        <f t="shared" si="14"/>
        <v>0</v>
      </c>
      <c r="L63" s="112"/>
      <c r="M63" s="112">
        <f t="shared" si="7"/>
        <v>0</v>
      </c>
      <c r="N63" s="112"/>
      <c r="O63" s="112">
        <f t="shared" si="8"/>
        <v>0</v>
      </c>
      <c r="Q63" s="120">
        <f t="shared" si="15"/>
        <v>0</v>
      </c>
      <c r="S63" s="121">
        <f t="shared" si="9"/>
        <v>876785.34721211914</v>
      </c>
      <c r="U63" s="112">
        <f t="shared" si="16"/>
        <v>58844654.175310016</v>
      </c>
      <c r="W63" s="120">
        <f>SUM(S$40:S63)</f>
        <v>20275301.057011861</v>
      </c>
      <c r="Y63" s="112">
        <f t="shared" si="17"/>
        <v>-184124.92290000001</v>
      </c>
      <c r="AA63" s="112">
        <f>ROUND(SUM(Y$40:Y63),0)</f>
        <v>8099564</v>
      </c>
    </row>
    <row r="64" spans="1:27" x14ac:dyDescent="0.25">
      <c r="A64" s="119">
        <f t="shared" si="11"/>
        <v>2044</v>
      </c>
      <c r="C64" s="123"/>
      <c r="E64" s="112"/>
      <c r="G64" s="112"/>
      <c r="I64" s="112"/>
      <c r="J64" s="112"/>
      <c r="K64" s="112">
        <f t="shared" si="14"/>
        <v>0</v>
      </c>
      <c r="L64" s="112"/>
      <c r="M64" s="112">
        <f t="shared" si="7"/>
        <v>0</v>
      </c>
      <c r="N64" s="112"/>
      <c r="O64" s="112">
        <f t="shared" si="8"/>
        <v>0</v>
      </c>
      <c r="Q64" s="120">
        <f t="shared" si="15"/>
        <v>0</v>
      </c>
      <c r="S64" s="121">
        <f t="shared" si="9"/>
        <v>876785.34721211914</v>
      </c>
      <c r="U64" s="112">
        <f t="shared" si="16"/>
        <v>58844654.175310016</v>
      </c>
      <c r="W64" s="120">
        <f>SUM(S$40:S64)</f>
        <v>21152086.404223982</v>
      </c>
      <c r="Y64" s="112">
        <f t="shared" si="17"/>
        <v>-184124.92290000001</v>
      </c>
      <c r="AA64" s="112">
        <f>ROUND(SUM(Y$40:Y64),0)</f>
        <v>7915439</v>
      </c>
    </row>
    <row r="65" spans="1:27" x14ac:dyDescent="0.25">
      <c r="A65" s="119">
        <f t="shared" si="11"/>
        <v>2045</v>
      </c>
      <c r="C65" s="123"/>
      <c r="E65" s="112"/>
      <c r="G65" s="112"/>
      <c r="I65" s="112"/>
      <c r="J65" s="112"/>
      <c r="K65" s="112"/>
      <c r="L65" s="112"/>
      <c r="M65" s="112"/>
      <c r="N65" s="112"/>
      <c r="O65" s="112"/>
      <c r="Q65" s="120">
        <f t="shared" si="15"/>
        <v>0</v>
      </c>
      <c r="S65" s="121">
        <f t="shared" si="9"/>
        <v>876785.34721211914</v>
      </c>
      <c r="U65" s="112">
        <f t="shared" si="16"/>
        <v>58844654.175310016</v>
      </c>
      <c r="W65" s="120">
        <f>SUM(S$40:S65)</f>
        <v>22028871.751436103</v>
      </c>
      <c r="Y65" s="112">
        <f t="shared" si="17"/>
        <v>-184124.92290000001</v>
      </c>
      <c r="AA65" s="112">
        <f>ROUND(SUM(Y$40:Y65),0)</f>
        <v>7731314</v>
      </c>
    </row>
    <row r="66" spans="1:27" x14ac:dyDescent="0.25">
      <c r="A66" s="119">
        <f t="shared" si="11"/>
        <v>2046</v>
      </c>
      <c r="C66" s="123"/>
      <c r="E66" s="112"/>
      <c r="G66" s="112"/>
      <c r="I66" s="112"/>
      <c r="J66" s="112"/>
      <c r="K66" s="112"/>
      <c r="L66" s="112"/>
      <c r="M66" s="112"/>
      <c r="N66" s="112"/>
      <c r="O66" s="112"/>
      <c r="Q66" s="120"/>
      <c r="S66" s="121">
        <f t="shared" si="9"/>
        <v>876785.34721211914</v>
      </c>
      <c r="U66" s="112">
        <f t="shared" si="16"/>
        <v>58844654.175310016</v>
      </c>
      <c r="W66" s="120">
        <f>SUM(S$40:S66)</f>
        <v>22905657.098648224</v>
      </c>
      <c r="Y66" s="112">
        <f t="shared" si="17"/>
        <v>-184124.92290000001</v>
      </c>
      <c r="AA66" s="112">
        <f>ROUND(SUM(Y$40:Y66),0)</f>
        <v>7547189</v>
      </c>
    </row>
    <row r="67" spans="1:27" x14ac:dyDescent="0.25">
      <c r="A67" s="119">
        <f t="shared" si="11"/>
        <v>2047</v>
      </c>
      <c r="C67" s="123"/>
      <c r="E67" s="112"/>
      <c r="G67" s="112"/>
      <c r="I67" s="112"/>
      <c r="J67" s="112"/>
      <c r="K67" s="112"/>
      <c r="L67" s="112"/>
      <c r="M67" s="112"/>
      <c r="N67" s="112"/>
      <c r="O67" s="112"/>
      <c r="Q67" s="120"/>
      <c r="S67" s="121">
        <f t="shared" si="9"/>
        <v>876785.34721211914</v>
      </c>
      <c r="U67" s="112">
        <f t="shared" si="16"/>
        <v>58844654.175310016</v>
      </c>
      <c r="W67" s="120">
        <f>SUM(S$40:S67)</f>
        <v>23782442.445860345</v>
      </c>
      <c r="Y67" s="112">
        <f t="shared" si="17"/>
        <v>-184124.92290000001</v>
      </c>
      <c r="AA67" s="112">
        <f>ROUND(SUM(Y$40:Y67),0)</f>
        <v>7363064</v>
      </c>
    </row>
    <row r="68" spans="1:27" x14ac:dyDescent="0.25">
      <c r="A68" s="119">
        <f t="shared" si="11"/>
        <v>2048</v>
      </c>
      <c r="C68" s="123"/>
      <c r="E68" s="112"/>
      <c r="G68" s="112"/>
      <c r="I68" s="112"/>
      <c r="J68" s="112"/>
      <c r="K68" s="112"/>
      <c r="L68" s="112"/>
      <c r="M68" s="112"/>
      <c r="N68" s="112"/>
      <c r="O68" s="112"/>
      <c r="Q68" s="120"/>
      <c r="S68" s="121">
        <f t="shared" si="9"/>
        <v>876785.34721211914</v>
      </c>
      <c r="U68" s="112">
        <f t="shared" si="16"/>
        <v>58844654.175310016</v>
      </c>
      <c r="W68" s="120">
        <f>SUM(S$40:S68)</f>
        <v>24659227.793072466</v>
      </c>
      <c r="Y68" s="112">
        <f t="shared" si="17"/>
        <v>-184124.92290000001</v>
      </c>
      <c r="AA68" s="112">
        <f>ROUND(SUM(Y$40:Y68),0)</f>
        <v>7178940</v>
      </c>
    </row>
    <row r="69" spans="1:27" x14ac:dyDescent="0.25">
      <c r="A69" s="119">
        <f t="shared" si="11"/>
        <v>2049</v>
      </c>
      <c r="C69" s="123"/>
      <c r="E69" s="112"/>
      <c r="G69" s="112"/>
      <c r="I69" s="112"/>
      <c r="J69" s="112"/>
      <c r="K69" s="112"/>
      <c r="L69" s="112"/>
      <c r="M69" s="112"/>
      <c r="N69" s="112"/>
      <c r="O69" s="112"/>
      <c r="Q69" s="120"/>
      <c r="S69" s="121">
        <f t="shared" si="9"/>
        <v>876785.34721211914</v>
      </c>
      <c r="U69" s="112">
        <f t="shared" si="16"/>
        <v>58844654.175310016</v>
      </c>
      <c r="W69" s="120">
        <f>SUM(S$40:S69)</f>
        <v>25536013.140284587</v>
      </c>
      <c r="Y69" s="112">
        <f t="shared" si="17"/>
        <v>-184124.92290000001</v>
      </c>
      <c r="AA69" s="112">
        <f>ROUND(SUM(Y$40:Y69),0)</f>
        <v>6994815</v>
      </c>
    </row>
    <row r="70" spans="1:27" x14ac:dyDescent="0.25">
      <c r="A70" s="119">
        <f t="shared" si="11"/>
        <v>2050</v>
      </c>
      <c r="C70" s="123"/>
      <c r="E70" s="112"/>
      <c r="G70" s="112"/>
      <c r="I70" s="112"/>
      <c r="J70" s="112"/>
      <c r="K70" s="112"/>
      <c r="L70" s="112"/>
      <c r="M70" s="112"/>
      <c r="N70" s="112"/>
      <c r="O70" s="112"/>
      <c r="Q70" s="120"/>
      <c r="S70" s="121">
        <f t="shared" si="9"/>
        <v>876785.34721211914</v>
      </c>
      <c r="U70" s="112">
        <f t="shared" si="16"/>
        <v>58844654.175310016</v>
      </c>
      <c r="W70" s="120">
        <f>SUM(S$40:S70)</f>
        <v>26412798.487496708</v>
      </c>
      <c r="Y70" s="112">
        <f t="shared" si="17"/>
        <v>-184124.92290000001</v>
      </c>
      <c r="AA70" s="112">
        <f>ROUND(SUM(Y$40:Y70),0)</f>
        <v>6810690</v>
      </c>
    </row>
    <row r="71" spans="1:27" x14ac:dyDescent="0.25">
      <c r="A71" s="119">
        <f t="shared" si="11"/>
        <v>2051</v>
      </c>
      <c r="C71" s="123"/>
      <c r="E71" s="112"/>
      <c r="G71" s="112"/>
      <c r="I71" s="112"/>
      <c r="J71" s="112"/>
      <c r="K71" s="112"/>
      <c r="L71" s="112"/>
      <c r="M71" s="112"/>
      <c r="N71" s="112"/>
      <c r="O71" s="112"/>
      <c r="Q71" s="120"/>
      <c r="S71" s="121">
        <f t="shared" si="9"/>
        <v>876785.34721211914</v>
      </c>
      <c r="U71" s="112">
        <f t="shared" si="16"/>
        <v>58844654.175310016</v>
      </c>
      <c r="W71" s="120">
        <f>SUM(S$40:S71)</f>
        <v>27289583.834708828</v>
      </c>
      <c r="Y71" s="112">
        <f t="shared" si="17"/>
        <v>-184124.92290000001</v>
      </c>
      <c r="AA71" s="112">
        <f>ROUND(SUM(Y$40:Y71),0)</f>
        <v>6626565</v>
      </c>
    </row>
    <row r="72" spans="1:27" x14ac:dyDescent="0.25">
      <c r="A72" s="119">
        <f t="shared" si="11"/>
        <v>2052</v>
      </c>
      <c r="C72" s="123"/>
      <c r="E72" s="112"/>
      <c r="G72" s="112"/>
      <c r="I72" s="112"/>
      <c r="J72" s="112"/>
      <c r="K72" s="112"/>
      <c r="L72" s="112"/>
      <c r="M72" s="112"/>
      <c r="N72" s="112"/>
      <c r="O72" s="112"/>
      <c r="Q72" s="120"/>
      <c r="S72" s="121">
        <f t="shared" si="9"/>
        <v>876785.34721211914</v>
      </c>
      <c r="U72" s="112">
        <f t="shared" si="16"/>
        <v>58844654.175310016</v>
      </c>
      <c r="W72" s="120">
        <f>SUM(S$40:S72)</f>
        <v>28166369.181920949</v>
      </c>
      <c r="Y72" s="112">
        <f t="shared" si="17"/>
        <v>-184124.92290000001</v>
      </c>
      <c r="AA72" s="112">
        <f>ROUND(SUM(Y$40:Y72),0)</f>
        <v>6442440</v>
      </c>
    </row>
    <row r="73" spans="1:27" x14ac:dyDescent="0.25">
      <c r="A73" s="119">
        <f t="shared" si="11"/>
        <v>2053</v>
      </c>
      <c r="C73" s="123"/>
      <c r="E73" s="112"/>
      <c r="G73" s="112"/>
      <c r="I73" s="112"/>
      <c r="J73" s="112"/>
      <c r="K73" s="112"/>
      <c r="L73" s="112"/>
      <c r="M73" s="112"/>
      <c r="N73" s="112"/>
      <c r="O73" s="112"/>
      <c r="Q73" s="120"/>
      <c r="S73" s="121">
        <f t="shared" si="9"/>
        <v>876785.34721211914</v>
      </c>
      <c r="U73" s="112">
        <f t="shared" si="16"/>
        <v>58844654.175310016</v>
      </c>
      <c r="W73" s="120">
        <f>SUM(S$40:S73)</f>
        <v>29043154.52913307</v>
      </c>
      <c r="Y73" s="112">
        <f t="shared" si="17"/>
        <v>-184124.92290000001</v>
      </c>
      <c r="AA73" s="112">
        <f>ROUND(SUM(Y$40:Y73),0)</f>
        <v>6258315</v>
      </c>
    </row>
    <row r="74" spans="1:27" x14ac:dyDescent="0.25">
      <c r="A74" s="119">
        <f t="shared" si="11"/>
        <v>2054</v>
      </c>
      <c r="C74" s="123"/>
      <c r="E74" s="112"/>
      <c r="G74" s="112"/>
      <c r="I74" s="112"/>
      <c r="J74" s="112"/>
      <c r="K74" s="112"/>
      <c r="L74" s="112"/>
      <c r="M74" s="112"/>
      <c r="N74" s="112"/>
      <c r="O74" s="112"/>
      <c r="Q74" s="120"/>
      <c r="S74" s="121">
        <f t="shared" si="9"/>
        <v>876785.34721211914</v>
      </c>
      <c r="U74" s="112">
        <f t="shared" si="16"/>
        <v>58844654.175310016</v>
      </c>
      <c r="W74" s="120">
        <f>SUM(S$40:S74)</f>
        <v>29919939.876345191</v>
      </c>
      <c r="Y74" s="112">
        <f t="shared" si="17"/>
        <v>-184124.92290000001</v>
      </c>
      <c r="AA74" s="112">
        <f>ROUND(SUM(Y$40:Y74),0)</f>
        <v>6074190</v>
      </c>
    </row>
    <row r="75" spans="1:27" x14ac:dyDescent="0.25">
      <c r="A75" s="119">
        <f t="shared" si="11"/>
        <v>2055</v>
      </c>
      <c r="C75" s="123"/>
      <c r="E75" s="112"/>
      <c r="G75" s="112"/>
      <c r="I75" s="112"/>
      <c r="J75" s="112"/>
      <c r="K75" s="112"/>
      <c r="L75" s="112"/>
      <c r="M75" s="112"/>
      <c r="N75" s="112"/>
      <c r="O75" s="112"/>
      <c r="Q75" s="120"/>
      <c r="S75" s="121">
        <f t="shared" si="9"/>
        <v>876785.34721211914</v>
      </c>
      <c r="U75" s="112">
        <f t="shared" si="16"/>
        <v>58844654.175310016</v>
      </c>
      <c r="W75" s="120">
        <f>SUM(S$40:S75)</f>
        <v>30796725.223557312</v>
      </c>
      <c r="Y75" s="112">
        <f t="shared" si="17"/>
        <v>-184124.92290000001</v>
      </c>
      <c r="AA75" s="112">
        <f>ROUND(SUM(Y$40:Y75),0)</f>
        <v>5890065</v>
      </c>
    </row>
    <row r="76" spans="1:27" x14ac:dyDescent="0.25">
      <c r="A76" s="119">
        <f t="shared" si="11"/>
        <v>2056</v>
      </c>
      <c r="C76" s="123"/>
      <c r="E76" s="112"/>
      <c r="G76" s="112"/>
      <c r="I76" s="112"/>
      <c r="J76" s="112"/>
      <c r="K76" s="112"/>
      <c r="L76" s="112"/>
      <c r="M76" s="112"/>
      <c r="N76" s="112"/>
      <c r="O76" s="112"/>
      <c r="Q76" s="120"/>
      <c r="S76" s="121">
        <f t="shared" si="9"/>
        <v>876785.34721211914</v>
      </c>
      <c r="U76" s="112">
        <f t="shared" si="16"/>
        <v>58844654.175310016</v>
      </c>
      <c r="W76" s="120">
        <f>SUM(S$40:S76)</f>
        <v>31673510.570769433</v>
      </c>
      <c r="Y76" s="112">
        <f t="shared" si="17"/>
        <v>-184124.92290000001</v>
      </c>
      <c r="AA76" s="112">
        <f>ROUND(SUM(Y$40:Y76),0)</f>
        <v>5705940</v>
      </c>
    </row>
    <row r="77" spans="1:27" x14ac:dyDescent="0.25">
      <c r="A77" s="119">
        <f t="shared" si="11"/>
        <v>2057</v>
      </c>
      <c r="C77" s="123"/>
      <c r="E77" s="112"/>
      <c r="G77" s="112"/>
      <c r="I77" s="112"/>
      <c r="J77" s="112"/>
      <c r="K77" s="112"/>
      <c r="L77" s="112"/>
      <c r="M77" s="112"/>
      <c r="N77" s="112"/>
      <c r="O77" s="112"/>
      <c r="Q77" s="120"/>
      <c r="S77" s="121">
        <f t="shared" si="9"/>
        <v>876785.34721211914</v>
      </c>
      <c r="U77" s="112">
        <f t="shared" si="16"/>
        <v>58844654.175310016</v>
      </c>
      <c r="W77" s="120">
        <f>SUM(S$40:S77)</f>
        <v>32550295.917981554</v>
      </c>
      <c r="Y77" s="112">
        <f t="shared" si="17"/>
        <v>-184124.92290000001</v>
      </c>
      <c r="AA77" s="112">
        <f>ROUND(SUM(Y$40:Y77),0)</f>
        <v>5521815</v>
      </c>
    </row>
    <row r="78" spans="1:27" x14ac:dyDescent="0.25">
      <c r="A78" s="119">
        <f t="shared" si="11"/>
        <v>2058</v>
      </c>
      <c r="C78" s="123"/>
      <c r="E78" s="112"/>
      <c r="G78" s="112"/>
      <c r="I78" s="112"/>
      <c r="J78" s="112"/>
      <c r="K78" s="112"/>
      <c r="L78" s="112"/>
      <c r="M78" s="112"/>
      <c r="N78" s="112"/>
      <c r="O78" s="112"/>
      <c r="Q78" s="120"/>
      <c r="S78" s="121">
        <f t="shared" si="9"/>
        <v>876785.34721211914</v>
      </c>
      <c r="U78" s="112">
        <f t="shared" si="16"/>
        <v>58844654.175310016</v>
      </c>
      <c r="W78" s="120">
        <f>SUM(S$40:S78)</f>
        <v>33427081.265193675</v>
      </c>
      <c r="Y78" s="112">
        <f t="shared" si="17"/>
        <v>-184124.92290000001</v>
      </c>
      <c r="AA78" s="112">
        <f>ROUND(SUM(Y$40:Y78),0)</f>
        <v>5337690</v>
      </c>
    </row>
    <row r="79" spans="1:27" x14ac:dyDescent="0.25">
      <c r="A79" s="119">
        <f t="shared" si="11"/>
        <v>2059</v>
      </c>
      <c r="C79" s="123"/>
      <c r="E79" s="112"/>
      <c r="G79" s="112"/>
      <c r="I79" s="112"/>
      <c r="J79" s="112"/>
      <c r="K79" s="112"/>
      <c r="L79" s="112"/>
      <c r="M79" s="112"/>
      <c r="N79" s="112"/>
      <c r="O79" s="112"/>
      <c r="Q79" s="120"/>
      <c r="S79" s="121">
        <f t="shared" si="9"/>
        <v>876785.34721211914</v>
      </c>
      <c r="U79" s="112">
        <f t="shared" si="16"/>
        <v>58844654.175310016</v>
      </c>
      <c r="W79" s="120">
        <f>SUM(S$40:S79)</f>
        <v>34303866.612405792</v>
      </c>
      <c r="Y79" s="112">
        <f t="shared" si="17"/>
        <v>-184124.92290000001</v>
      </c>
      <c r="AA79" s="112">
        <f>ROUND(SUM(Y$40:Y79),0)</f>
        <v>5153565</v>
      </c>
    </row>
    <row r="80" spans="1:27" x14ac:dyDescent="0.25">
      <c r="A80" s="119">
        <f t="shared" si="11"/>
        <v>2060</v>
      </c>
      <c r="C80" s="123"/>
      <c r="E80" s="112"/>
      <c r="G80" s="112"/>
      <c r="I80" s="112"/>
      <c r="J80" s="112"/>
      <c r="K80" s="112"/>
      <c r="L80" s="112"/>
      <c r="M80" s="112"/>
      <c r="N80" s="112"/>
      <c r="O80" s="112"/>
      <c r="Q80" s="120"/>
      <c r="S80" s="121">
        <f t="shared" ref="S80:S107" si="18">IF(U79/C$34+E80/C$34/2&gt;U79,U79-W79,SUM(C$9:K$9)/C$34-K$9/C$34*0.5)</f>
        <v>876785.34721211914</v>
      </c>
      <c r="U80" s="112">
        <f t="shared" si="16"/>
        <v>58844654.175310016</v>
      </c>
      <c r="W80" s="120">
        <f>SUM(S$40:S80)</f>
        <v>35180651.959617913</v>
      </c>
      <c r="Y80" s="112">
        <f t="shared" si="17"/>
        <v>-184124.92290000001</v>
      </c>
      <c r="AA80" s="112">
        <f>ROUND(SUM(Y$40:Y80),0)</f>
        <v>4969440</v>
      </c>
    </row>
    <row r="81" spans="1:27" x14ac:dyDescent="0.25">
      <c r="A81" s="119">
        <f t="shared" si="11"/>
        <v>2061</v>
      </c>
      <c r="C81" s="123"/>
      <c r="E81" s="112"/>
      <c r="G81" s="112"/>
      <c r="I81" s="112"/>
      <c r="J81" s="112"/>
      <c r="K81" s="112"/>
      <c r="L81" s="112"/>
      <c r="M81" s="112"/>
      <c r="N81" s="112"/>
      <c r="O81" s="112"/>
      <c r="Q81" s="120"/>
      <c r="S81" s="121">
        <f t="shared" si="18"/>
        <v>876785.34721211914</v>
      </c>
      <c r="U81" s="112">
        <f t="shared" si="16"/>
        <v>58844654.175310016</v>
      </c>
      <c r="W81" s="120">
        <f>SUM(S$40:S81)</f>
        <v>36057437.306830034</v>
      </c>
      <c r="Y81" s="112">
        <f t="shared" si="17"/>
        <v>-184124.92290000001</v>
      </c>
      <c r="AA81" s="112">
        <f>ROUND(SUM(Y$40:Y81),0)</f>
        <v>4785316</v>
      </c>
    </row>
    <row r="82" spans="1:27" x14ac:dyDescent="0.25">
      <c r="A82" s="119">
        <f t="shared" si="11"/>
        <v>2062</v>
      </c>
      <c r="C82" s="123"/>
      <c r="E82" s="112"/>
      <c r="G82" s="112"/>
      <c r="I82" s="112"/>
      <c r="J82" s="112"/>
      <c r="K82" s="112"/>
      <c r="L82" s="112"/>
      <c r="M82" s="112"/>
      <c r="N82" s="112"/>
      <c r="O82" s="112"/>
      <c r="Q82" s="120"/>
      <c r="S82" s="121">
        <f t="shared" si="18"/>
        <v>876785.34721211914</v>
      </c>
      <c r="U82" s="112">
        <f t="shared" si="16"/>
        <v>58844654.175310016</v>
      </c>
      <c r="W82" s="120">
        <f>SUM(S$40:S82)</f>
        <v>36934222.654042155</v>
      </c>
      <c r="Y82" s="112">
        <f t="shared" si="17"/>
        <v>-184124.92290000001</v>
      </c>
      <c r="AA82" s="112">
        <f>ROUND(SUM(Y$40:Y82),0)</f>
        <v>4601191</v>
      </c>
    </row>
    <row r="83" spans="1:27" x14ac:dyDescent="0.25">
      <c r="A83" s="119">
        <f t="shared" si="11"/>
        <v>2063</v>
      </c>
      <c r="C83" s="123"/>
      <c r="E83" s="112"/>
      <c r="G83" s="112"/>
      <c r="I83" s="112"/>
      <c r="J83" s="112"/>
      <c r="K83" s="112"/>
      <c r="L83" s="112"/>
      <c r="M83" s="112"/>
      <c r="N83" s="112"/>
      <c r="O83" s="112"/>
      <c r="Q83" s="120"/>
      <c r="S83" s="121">
        <f t="shared" si="18"/>
        <v>876785.34721211914</v>
      </c>
      <c r="U83" s="112">
        <f t="shared" si="16"/>
        <v>58844654.175310016</v>
      </c>
      <c r="W83" s="120">
        <f>SUM(S$40:S83)</f>
        <v>37811008.001254275</v>
      </c>
      <c r="Y83" s="112">
        <f t="shared" si="17"/>
        <v>-184124.92290000001</v>
      </c>
      <c r="AA83" s="112">
        <f>ROUND(SUM(Y$40:Y83),0)</f>
        <v>4417066</v>
      </c>
    </row>
    <row r="84" spans="1:27" x14ac:dyDescent="0.25">
      <c r="A84" s="119">
        <f t="shared" si="11"/>
        <v>2064</v>
      </c>
      <c r="C84" s="123"/>
      <c r="E84" s="112"/>
      <c r="G84" s="112"/>
      <c r="I84" s="112"/>
      <c r="J84" s="112"/>
      <c r="K84" s="112"/>
      <c r="L84" s="112"/>
      <c r="M84" s="112"/>
      <c r="N84" s="112"/>
      <c r="O84" s="112"/>
      <c r="Q84" s="120"/>
      <c r="S84" s="121">
        <f t="shared" si="18"/>
        <v>876785.34721211914</v>
      </c>
      <c r="U84" s="112">
        <f t="shared" si="16"/>
        <v>58844654.175310016</v>
      </c>
      <c r="W84" s="120">
        <f>SUM(S$40:S84)</f>
        <v>38687793.348466396</v>
      </c>
      <c r="Y84" s="112">
        <f t="shared" si="17"/>
        <v>-184124.92290000001</v>
      </c>
      <c r="AA84" s="112">
        <f>ROUND(SUM(Y$40:Y84),0)</f>
        <v>4232941</v>
      </c>
    </row>
    <row r="85" spans="1:27" x14ac:dyDescent="0.25">
      <c r="A85" s="119">
        <f t="shared" si="11"/>
        <v>2065</v>
      </c>
      <c r="C85" s="123"/>
      <c r="E85" s="112"/>
      <c r="G85" s="112"/>
      <c r="I85" s="112"/>
      <c r="J85" s="112"/>
      <c r="K85" s="112"/>
      <c r="L85" s="112"/>
      <c r="M85" s="112"/>
      <c r="N85" s="112"/>
      <c r="O85" s="112"/>
      <c r="Q85" s="120"/>
      <c r="S85" s="121">
        <f t="shared" si="18"/>
        <v>876785.34721211914</v>
      </c>
      <c r="U85" s="112">
        <f t="shared" si="16"/>
        <v>58844654.175310016</v>
      </c>
      <c r="W85" s="120">
        <f>SUM(S$40:S85)</f>
        <v>39564578.695678517</v>
      </c>
      <c r="Y85" s="112">
        <f t="shared" si="17"/>
        <v>-184124.92290000001</v>
      </c>
      <c r="AA85" s="112">
        <f>ROUND(SUM(Y$40:Y85),0)</f>
        <v>4048816</v>
      </c>
    </row>
    <row r="86" spans="1:27" x14ac:dyDescent="0.25">
      <c r="A86" s="119">
        <f t="shared" si="11"/>
        <v>2066</v>
      </c>
      <c r="C86" s="123"/>
      <c r="E86" s="112"/>
      <c r="G86" s="112"/>
      <c r="I86" s="112"/>
      <c r="J86" s="112"/>
      <c r="K86" s="112"/>
      <c r="L86" s="112"/>
      <c r="M86" s="112"/>
      <c r="N86" s="112"/>
      <c r="O86" s="112"/>
      <c r="Q86" s="120"/>
      <c r="S86" s="121">
        <f t="shared" si="18"/>
        <v>876785.34721211914</v>
      </c>
      <c r="U86" s="112">
        <f t="shared" si="16"/>
        <v>58844654.175310016</v>
      </c>
      <c r="W86" s="120">
        <f>SUM(S$40:S86)</f>
        <v>40441364.042890638</v>
      </c>
      <c r="Y86" s="112">
        <f t="shared" si="17"/>
        <v>-184124.92290000001</v>
      </c>
      <c r="AA86" s="112">
        <f>ROUND(SUM(Y$40:Y86),0)</f>
        <v>3864691</v>
      </c>
    </row>
    <row r="87" spans="1:27" x14ac:dyDescent="0.25">
      <c r="A87" s="119">
        <f t="shared" si="11"/>
        <v>2067</v>
      </c>
      <c r="C87" s="123"/>
      <c r="E87" s="112"/>
      <c r="G87" s="112"/>
      <c r="I87" s="112"/>
      <c r="J87" s="112"/>
      <c r="K87" s="112"/>
      <c r="L87" s="112"/>
      <c r="M87" s="112"/>
      <c r="N87" s="112"/>
      <c r="O87" s="112"/>
      <c r="Q87" s="120"/>
      <c r="S87" s="121">
        <f t="shared" si="18"/>
        <v>876785.34721211914</v>
      </c>
      <c r="U87" s="112">
        <f t="shared" si="16"/>
        <v>58844654.175310016</v>
      </c>
      <c r="W87" s="120">
        <f>SUM(S$40:S87)</f>
        <v>41318149.390102759</v>
      </c>
      <c r="Y87" s="112">
        <f t="shared" si="17"/>
        <v>-184124.92290000001</v>
      </c>
      <c r="AA87" s="112">
        <f>ROUND(SUM(Y$40:Y87),0)</f>
        <v>3680566</v>
      </c>
    </row>
    <row r="88" spans="1:27" x14ac:dyDescent="0.25">
      <c r="A88" s="119">
        <f t="shared" si="11"/>
        <v>2068</v>
      </c>
      <c r="C88" s="123"/>
      <c r="E88" s="112"/>
      <c r="G88" s="112"/>
      <c r="I88" s="112"/>
      <c r="J88" s="112"/>
      <c r="K88" s="112"/>
      <c r="L88" s="112"/>
      <c r="M88" s="112"/>
      <c r="N88" s="112"/>
      <c r="O88" s="112"/>
      <c r="Q88" s="120"/>
      <c r="S88" s="121">
        <f t="shared" si="18"/>
        <v>876785.34721211914</v>
      </c>
      <c r="U88" s="112">
        <f t="shared" si="16"/>
        <v>58844654.175310016</v>
      </c>
      <c r="W88" s="120">
        <f>SUM(S$40:S88)</f>
        <v>42194934.73731488</v>
      </c>
      <c r="Y88" s="112">
        <f t="shared" si="17"/>
        <v>-184124.92290000001</v>
      </c>
      <c r="AA88" s="112">
        <f>ROUND(SUM(Y$40:Y88),0)</f>
        <v>3496441</v>
      </c>
    </row>
    <row r="89" spans="1:27" x14ac:dyDescent="0.25">
      <c r="A89" s="119">
        <f t="shared" si="11"/>
        <v>2069</v>
      </c>
      <c r="C89" s="123"/>
      <c r="E89" s="112"/>
      <c r="G89" s="112"/>
      <c r="I89" s="112"/>
      <c r="J89" s="112"/>
      <c r="K89" s="112"/>
      <c r="L89" s="112"/>
      <c r="M89" s="112"/>
      <c r="N89" s="112"/>
      <c r="O89" s="112"/>
      <c r="Q89" s="120"/>
      <c r="S89" s="121">
        <f t="shared" si="18"/>
        <v>876785.34721211914</v>
      </c>
      <c r="U89" s="112">
        <f t="shared" si="16"/>
        <v>58844654.175310016</v>
      </c>
      <c r="W89" s="120">
        <f>SUM(S$40:S89)</f>
        <v>43071720.084527001</v>
      </c>
      <c r="Y89" s="112">
        <f t="shared" si="17"/>
        <v>-184124.92290000001</v>
      </c>
      <c r="AA89" s="112">
        <f>ROUND(SUM(Y$40:Y89),0)</f>
        <v>3312316</v>
      </c>
    </row>
    <row r="90" spans="1:27" x14ac:dyDescent="0.25">
      <c r="A90" s="119">
        <f t="shared" si="11"/>
        <v>2070</v>
      </c>
      <c r="C90" s="123"/>
      <c r="E90" s="112"/>
      <c r="G90" s="112"/>
      <c r="I90" s="112"/>
      <c r="J90" s="112"/>
      <c r="K90" s="112"/>
      <c r="L90" s="112"/>
      <c r="M90" s="112"/>
      <c r="N90" s="112"/>
      <c r="O90" s="112"/>
      <c r="Q90" s="120"/>
      <c r="S90" s="121">
        <f t="shared" si="18"/>
        <v>876785.34721211914</v>
      </c>
      <c r="U90" s="112">
        <f t="shared" si="16"/>
        <v>58844654.175310016</v>
      </c>
      <c r="W90" s="120">
        <f>SUM(S$40:S90)</f>
        <v>43948505.431739122</v>
      </c>
      <c r="Y90" s="112">
        <f t="shared" si="17"/>
        <v>-184124.92290000001</v>
      </c>
      <c r="AA90" s="112">
        <f>ROUND(SUM(Y$40:Y90),0)</f>
        <v>3128191</v>
      </c>
    </row>
    <row r="91" spans="1:27" x14ac:dyDescent="0.25">
      <c r="A91" s="119">
        <f t="shared" si="11"/>
        <v>2071</v>
      </c>
      <c r="C91" s="123"/>
      <c r="E91" s="112"/>
      <c r="G91" s="112"/>
      <c r="I91" s="112"/>
      <c r="J91" s="112"/>
      <c r="K91" s="112"/>
      <c r="L91" s="112"/>
      <c r="M91" s="112"/>
      <c r="N91" s="112"/>
      <c r="O91" s="112"/>
      <c r="Q91" s="120"/>
      <c r="S91" s="121">
        <f t="shared" si="18"/>
        <v>876785.34721211914</v>
      </c>
      <c r="U91" s="112">
        <f t="shared" si="16"/>
        <v>58844654.175310016</v>
      </c>
      <c r="W91" s="120">
        <f>SUM(S$40:S91)</f>
        <v>44825290.778951243</v>
      </c>
      <c r="Y91" s="112">
        <f t="shared" si="17"/>
        <v>-184124.92290000001</v>
      </c>
      <c r="AA91" s="112">
        <f>ROUND(SUM(Y$40:Y91),0)</f>
        <v>2944066</v>
      </c>
    </row>
    <row r="92" spans="1:27" x14ac:dyDescent="0.25">
      <c r="A92" s="119">
        <f t="shared" si="11"/>
        <v>2072</v>
      </c>
      <c r="C92" s="123"/>
      <c r="E92" s="112"/>
      <c r="G92" s="112"/>
      <c r="I92" s="112"/>
      <c r="J92" s="112"/>
      <c r="K92" s="112"/>
      <c r="L92" s="112"/>
      <c r="M92" s="112"/>
      <c r="N92" s="112"/>
      <c r="O92" s="112"/>
      <c r="Q92" s="120"/>
      <c r="S92" s="121">
        <f t="shared" si="18"/>
        <v>876785.34721211914</v>
      </c>
      <c r="U92" s="112">
        <f t="shared" si="16"/>
        <v>58844654.175310016</v>
      </c>
      <c r="W92" s="120">
        <f>SUM(S$40:S92)</f>
        <v>45702076.126163363</v>
      </c>
      <c r="Y92" s="112">
        <f t="shared" si="17"/>
        <v>-184124.92290000001</v>
      </c>
      <c r="AA92" s="112">
        <f>ROUND(SUM(Y$40:Y92),0)</f>
        <v>2759941</v>
      </c>
    </row>
    <row r="93" spans="1:27" x14ac:dyDescent="0.25">
      <c r="A93" s="119">
        <f t="shared" si="11"/>
        <v>2073</v>
      </c>
      <c r="C93" s="123"/>
      <c r="E93" s="112"/>
      <c r="G93" s="112"/>
      <c r="I93" s="112"/>
      <c r="J93" s="112"/>
      <c r="K93" s="112"/>
      <c r="L93" s="112"/>
      <c r="M93" s="112"/>
      <c r="N93" s="112"/>
      <c r="O93" s="112"/>
      <c r="Q93" s="120"/>
      <c r="S93" s="121">
        <f t="shared" si="18"/>
        <v>876785.34721211914</v>
      </c>
      <c r="U93" s="112">
        <f t="shared" si="16"/>
        <v>58844654.175310016</v>
      </c>
      <c r="W93" s="120">
        <f>SUM(S$40:S93)</f>
        <v>46578861.473375484</v>
      </c>
      <c r="Y93" s="112">
        <f t="shared" si="17"/>
        <v>-184124.92290000001</v>
      </c>
      <c r="AA93" s="112">
        <f>ROUND(SUM(Y$40:Y93),0)</f>
        <v>2575816</v>
      </c>
    </row>
    <row r="94" spans="1:27" x14ac:dyDescent="0.25">
      <c r="A94" s="119">
        <f t="shared" si="11"/>
        <v>2074</v>
      </c>
      <c r="C94" s="123"/>
      <c r="E94" s="112"/>
      <c r="G94" s="112"/>
      <c r="I94" s="112"/>
      <c r="J94" s="112"/>
      <c r="K94" s="112"/>
      <c r="L94" s="112"/>
      <c r="M94" s="112"/>
      <c r="N94" s="112"/>
      <c r="O94" s="112"/>
      <c r="Q94" s="120"/>
      <c r="S94" s="121">
        <f t="shared" si="18"/>
        <v>876785.34721211914</v>
      </c>
      <c r="U94" s="112">
        <f t="shared" si="16"/>
        <v>58844654.175310016</v>
      </c>
      <c r="W94" s="120">
        <f>SUM(S$40:S94)</f>
        <v>47455646.820587605</v>
      </c>
      <c r="Y94" s="112">
        <f t="shared" si="17"/>
        <v>-184124.92290000001</v>
      </c>
      <c r="AA94" s="112">
        <f>ROUND(SUM(Y$40:Y94),0)</f>
        <v>2391692</v>
      </c>
    </row>
    <row r="95" spans="1:27" x14ac:dyDescent="0.25">
      <c r="A95" s="119">
        <f t="shared" si="11"/>
        <v>2075</v>
      </c>
      <c r="C95" s="123"/>
      <c r="E95" s="112"/>
      <c r="G95" s="112"/>
      <c r="I95" s="112"/>
      <c r="J95" s="112"/>
      <c r="K95" s="112"/>
      <c r="L95" s="112"/>
      <c r="M95" s="112"/>
      <c r="N95" s="112"/>
      <c r="O95" s="112"/>
      <c r="Q95" s="120"/>
      <c r="S95" s="121">
        <f t="shared" si="18"/>
        <v>876785.34721211914</v>
      </c>
      <c r="U95" s="112">
        <f t="shared" si="16"/>
        <v>58844654.175310016</v>
      </c>
      <c r="W95" s="120">
        <f>SUM(S$40:S95)</f>
        <v>48332432.167799726</v>
      </c>
      <c r="Y95" s="112">
        <f t="shared" si="17"/>
        <v>-184124.92290000001</v>
      </c>
      <c r="AA95" s="112">
        <f>ROUND(SUM(Y$40:Y95),0)</f>
        <v>2207567</v>
      </c>
    </row>
    <row r="96" spans="1:27" x14ac:dyDescent="0.25">
      <c r="A96" s="119">
        <f t="shared" si="11"/>
        <v>2076</v>
      </c>
      <c r="C96" s="123"/>
      <c r="E96" s="112"/>
      <c r="G96" s="112"/>
      <c r="I96" s="112"/>
      <c r="J96" s="112"/>
      <c r="K96" s="112"/>
      <c r="L96" s="112"/>
      <c r="M96" s="112"/>
      <c r="N96" s="112"/>
      <c r="O96" s="112"/>
      <c r="Q96" s="120"/>
      <c r="S96" s="121">
        <f t="shared" si="18"/>
        <v>876785.34721211914</v>
      </c>
      <c r="U96" s="112">
        <f t="shared" si="16"/>
        <v>58844654.175310016</v>
      </c>
      <c r="W96" s="120">
        <f>SUM(S$40:S96)</f>
        <v>49209217.515011847</v>
      </c>
      <c r="Y96" s="112">
        <f t="shared" si="17"/>
        <v>-184124.92290000001</v>
      </c>
      <c r="AA96" s="112">
        <f>ROUND(SUM(Y$40:Y96),0)</f>
        <v>2023442</v>
      </c>
    </row>
    <row r="97" spans="1:27" x14ac:dyDescent="0.25">
      <c r="A97" s="119">
        <f t="shared" si="11"/>
        <v>2077</v>
      </c>
      <c r="C97" s="123"/>
      <c r="E97" s="112"/>
      <c r="G97" s="112"/>
      <c r="I97" s="112"/>
      <c r="J97" s="112"/>
      <c r="K97" s="112"/>
      <c r="L97" s="112"/>
      <c r="M97" s="112"/>
      <c r="N97" s="112"/>
      <c r="O97" s="112"/>
      <c r="Q97" s="120"/>
      <c r="S97" s="121">
        <f t="shared" si="18"/>
        <v>876785.34721211914</v>
      </c>
      <c r="U97" s="112">
        <f t="shared" si="16"/>
        <v>58844654.175310016</v>
      </c>
      <c r="W97" s="120">
        <f>SUM(S$40:S97)</f>
        <v>50086002.862223968</v>
      </c>
      <c r="Y97" s="112">
        <f t="shared" si="17"/>
        <v>-184124.92290000001</v>
      </c>
      <c r="AA97" s="112">
        <f>ROUND(SUM(Y$40:Y97),0)</f>
        <v>1839317</v>
      </c>
    </row>
    <row r="98" spans="1:27" x14ac:dyDescent="0.25">
      <c r="A98" s="119">
        <f t="shared" si="11"/>
        <v>2078</v>
      </c>
      <c r="C98" s="123"/>
      <c r="E98" s="112"/>
      <c r="G98" s="112"/>
      <c r="I98" s="112"/>
      <c r="J98" s="112"/>
      <c r="K98" s="112"/>
      <c r="L98" s="112"/>
      <c r="M98" s="112"/>
      <c r="N98" s="112"/>
      <c r="O98" s="112"/>
      <c r="Q98" s="120"/>
      <c r="S98" s="121">
        <f t="shared" si="18"/>
        <v>876785.34721211914</v>
      </c>
      <c r="U98" s="112">
        <f t="shared" si="16"/>
        <v>58844654.175310016</v>
      </c>
      <c r="W98" s="120">
        <f>SUM(S$40:S98)</f>
        <v>50962788.209436089</v>
      </c>
      <c r="Y98" s="112">
        <f t="shared" si="17"/>
        <v>-184124.92290000001</v>
      </c>
      <c r="AA98" s="112">
        <f>ROUND(SUM(Y$40:Y98),0)</f>
        <v>1655192</v>
      </c>
    </row>
    <row r="99" spans="1:27" x14ac:dyDescent="0.25">
      <c r="A99" s="119">
        <f t="shared" si="11"/>
        <v>2079</v>
      </c>
      <c r="C99" s="123"/>
      <c r="E99" s="112"/>
      <c r="G99" s="112"/>
      <c r="I99" s="112"/>
      <c r="J99" s="112"/>
      <c r="K99" s="112"/>
      <c r="L99" s="112"/>
      <c r="M99" s="112"/>
      <c r="N99" s="112"/>
      <c r="O99" s="112"/>
      <c r="Q99" s="120"/>
      <c r="S99" s="121">
        <f t="shared" si="18"/>
        <v>876785.34721211914</v>
      </c>
      <c r="U99" s="112">
        <f t="shared" si="16"/>
        <v>58844654.175310016</v>
      </c>
      <c r="W99" s="120">
        <f>SUM(S$40:S99)</f>
        <v>51839573.55664821</v>
      </c>
      <c r="Y99" s="112">
        <f t="shared" si="17"/>
        <v>-184124.92290000001</v>
      </c>
      <c r="AA99" s="112">
        <f>ROUND(SUM(Y$40:Y99),0)</f>
        <v>1471067</v>
      </c>
    </row>
    <row r="100" spans="1:27" x14ac:dyDescent="0.25">
      <c r="A100" s="119">
        <f t="shared" si="11"/>
        <v>2080</v>
      </c>
      <c r="C100" s="123"/>
      <c r="E100" s="112"/>
      <c r="G100" s="112"/>
      <c r="I100" s="112"/>
      <c r="J100" s="112"/>
      <c r="K100" s="112"/>
      <c r="L100" s="112"/>
      <c r="M100" s="112"/>
      <c r="N100" s="112"/>
      <c r="O100" s="112"/>
      <c r="Q100" s="120"/>
      <c r="S100" s="121">
        <f t="shared" si="18"/>
        <v>876785.34721211914</v>
      </c>
      <c r="U100" s="112">
        <f t="shared" si="16"/>
        <v>58844654.175310016</v>
      </c>
      <c r="W100" s="120">
        <f>SUM(S$40:S100)</f>
        <v>52716358.903860331</v>
      </c>
      <c r="Y100" s="112">
        <f t="shared" si="17"/>
        <v>-184124.92290000001</v>
      </c>
      <c r="AA100" s="112">
        <f>ROUND(SUM(Y$40:Y100),0)</f>
        <v>1286942</v>
      </c>
    </row>
    <row r="101" spans="1:27" x14ac:dyDescent="0.25">
      <c r="A101" s="119">
        <f t="shared" si="11"/>
        <v>2081</v>
      </c>
      <c r="C101" s="123"/>
      <c r="E101" s="112"/>
      <c r="G101" s="112"/>
      <c r="I101" s="112"/>
      <c r="J101" s="112"/>
      <c r="K101" s="112"/>
      <c r="L101" s="112"/>
      <c r="M101" s="112"/>
      <c r="N101" s="112"/>
      <c r="O101" s="112"/>
      <c r="Q101" s="120"/>
      <c r="S101" s="121">
        <f t="shared" si="18"/>
        <v>876785.34721211914</v>
      </c>
      <c r="U101" s="112">
        <f t="shared" si="16"/>
        <v>58844654.175310016</v>
      </c>
      <c r="W101" s="120">
        <f>SUM(S$40:S101)</f>
        <v>53593144.251072451</v>
      </c>
      <c r="Y101" s="112">
        <f t="shared" si="17"/>
        <v>-184124.92290000001</v>
      </c>
      <c r="AA101" s="112">
        <f>ROUND(SUM(Y$40:Y101),0)</f>
        <v>1102817</v>
      </c>
    </row>
    <row r="102" spans="1:27" x14ac:dyDescent="0.25">
      <c r="A102" s="119">
        <f t="shared" si="11"/>
        <v>2082</v>
      </c>
      <c r="C102" s="123"/>
      <c r="E102" s="112"/>
      <c r="G102" s="112"/>
      <c r="I102" s="112"/>
      <c r="J102" s="112"/>
      <c r="K102" s="112"/>
      <c r="L102" s="112"/>
      <c r="M102" s="112"/>
      <c r="N102" s="112"/>
      <c r="O102" s="112"/>
      <c r="Q102" s="120"/>
      <c r="S102" s="121">
        <f t="shared" si="18"/>
        <v>876785.34721211914</v>
      </c>
      <c r="U102" s="112">
        <f t="shared" si="16"/>
        <v>58844654.175310016</v>
      </c>
      <c r="W102" s="120">
        <f>SUM(S$40:S102)</f>
        <v>54469929.598284572</v>
      </c>
      <c r="Y102" s="112">
        <f t="shared" si="17"/>
        <v>-184124.92290000001</v>
      </c>
      <c r="AA102" s="112">
        <f>ROUND(SUM(Y$40:Y102),0)</f>
        <v>918692</v>
      </c>
    </row>
    <row r="103" spans="1:27" x14ac:dyDescent="0.25">
      <c r="A103" s="119">
        <f t="shared" si="11"/>
        <v>2083</v>
      </c>
      <c r="C103" s="123"/>
      <c r="E103" s="112"/>
      <c r="G103" s="112"/>
      <c r="I103" s="112"/>
      <c r="J103" s="112"/>
      <c r="K103" s="112"/>
      <c r="L103" s="112"/>
      <c r="M103" s="112"/>
      <c r="N103" s="112"/>
      <c r="O103" s="112"/>
      <c r="Q103" s="120"/>
      <c r="S103" s="121">
        <f t="shared" si="18"/>
        <v>876785.34721211914</v>
      </c>
      <c r="U103" s="112">
        <f t="shared" si="16"/>
        <v>58844654.175310016</v>
      </c>
      <c r="W103" s="120">
        <f>SUM(S$40:S103)</f>
        <v>55346714.945496693</v>
      </c>
      <c r="Y103" s="112">
        <f t="shared" si="17"/>
        <v>-184124.92290000001</v>
      </c>
      <c r="AA103" s="112">
        <f>ROUND(SUM(Y$40:Y103),0)</f>
        <v>734567</v>
      </c>
    </row>
    <row r="104" spans="1:27" x14ac:dyDescent="0.25">
      <c r="A104" s="119">
        <f t="shared" si="11"/>
        <v>2084</v>
      </c>
      <c r="C104" s="123"/>
      <c r="E104" s="112"/>
      <c r="G104" s="112"/>
      <c r="I104" s="112"/>
      <c r="J104" s="112"/>
      <c r="K104" s="112"/>
      <c r="L104" s="112"/>
      <c r="M104" s="112"/>
      <c r="N104" s="112"/>
      <c r="O104" s="112"/>
      <c r="Q104" s="120"/>
      <c r="S104" s="121">
        <f t="shared" si="18"/>
        <v>876785.34721211914</v>
      </c>
      <c r="U104" s="112">
        <f t="shared" si="16"/>
        <v>58844654.175310016</v>
      </c>
      <c r="W104" s="120">
        <f>SUM(S$40:S104)</f>
        <v>56223500.292708814</v>
      </c>
      <c r="Y104" s="112">
        <f t="shared" si="17"/>
        <v>-184124.92290000001</v>
      </c>
      <c r="AA104" s="112">
        <f>ROUND(SUM(Y$40:Y104),0)</f>
        <v>550442</v>
      </c>
    </row>
    <row r="105" spans="1:27" x14ac:dyDescent="0.25">
      <c r="A105" s="119">
        <f t="shared" si="11"/>
        <v>2085</v>
      </c>
      <c r="C105" s="123"/>
      <c r="E105" s="112"/>
      <c r="G105" s="112"/>
      <c r="I105" s="112"/>
      <c r="J105" s="112"/>
      <c r="K105" s="112"/>
      <c r="L105" s="112"/>
      <c r="M105" s="112"/>
      <c r="N105" s="112"/>
      <c r="O105" s="112"/>
      <c r="Q105" s="120"/>
      <c r="S105" s="121">
        <f t="shared" si="18"/>
        <v>876785.34721211914</v>
      </c>
      <c r="U105" s="112">
        <f t="shared" si="16"/>
        <v>58844654.175310016</v>
      </c>
      <c r="W105" s="120">
        <f>SUM(S$40:S105)</f>
        <v>57100285.639920935</v>
      </c>
      <c r="Y105" s="112">
        <f t="shared" si="17"/>
        <v>-184124.92290000001</v>
      </c>
      <c r="AA105" s="112">
        <f>ROUND(SUM(Y$40:Y105),0)</f>
        <v>366317</v>
      </c>
    </row>
    <row r="106" spans="1:27" x14ac:dyDescent="0.25">
      <c r="A106" s="119">
        <f t="shared" si="11"/>
        <v>2086</v>
      </c>
      <c r="C106" s="123"/>
      <c r="E106" s="112"/>
      <c r="G106" s="112"/>
      <c r="I106" s="112"/>
      <c r="J106" s="112"/>
      <c r="K106" s="112"/>
      <c r="L106" s="112"/>
      <c r="M106" s="112"/>
      <c r="N106" s="112"/>
      <c r="O106" s="112"/>
      <c r="Q106" s="120"/>
      <c r="S106" s="121">
        <f t="shared" si="18"/>
        <v>876785.34721211914</v>
      </c>
      <c r="U106" s="112">
        <f t="shared" si="16"/>
        <v>58844654.175310016</v>
      </c>
      <c r="W106" s="120">
        <f>SUM(S$40:S106)</f>
        <v>57977070.987133056</v>
      </c>
      <c r="Y106" s="112">
        <f t="shared" si="17"/>
        <v>-184124.92290000001</v>
      </c>
      <c r="AA106" s="112">
        <f>ROUND(SUM(Y$40:Y106),0)</f>
        <v>182192</v>
      </c>
    </row>
    <row r="107" spans="1:27" x14ac:dyDescent="0.25">
      <c r="A107" s="119">
        <f t="shared" si="11"/>
        <v>2087</v>
      </c>
      <c r="C107" s="123"/>
      <c r="E107" s="112"/>
      <c r="G107" s="112"/>
      <c r="I107" s="112"/>
      <c r="J107" s="112"/>
      <c r="K107" s="112"/>
      <c r="L107" s="112"/>
      <c r="M107" s="112"/>
      <c r="N107" s="112"/>
      <c r="O107" s="112"/>
      <c r="Q107" s="120"/>
      <c r="S107" s="121">
        <f t="shared" si="18"/>
        <v>876785.34721211914</v>
      </c>
      <c r="U107" s="112">
        <f t="shared" si="16"/>
        <v>58844654.175310016</v>
      </c>
      <c r="W107" s="120">
        <f>SUM(S$40:S107)</f>
        <v>58853856.334345177</v>
      </c>
      <c r="Y107" s="112">
        <f t="shared" ref="Y107:Y108" si="19">ROUND((Q107-S107)*0.21,4)</f>
        <v>-184124.92290000001</v>
      </c>
      <c r="AA107" s="112">
        <f>ROUND(SUM(Y$40:Y107),0)</f>
        <v>-1932</v>
      </c>
    </row>
    <row r="108" spans="1:27" x14ac:dyDescent="0.25">
      <c r="A108" s="119">
        <f t="shared" si="11"/>
        <v>2088</v>
      </c>
      <c r="C108" s="123"/>
      <c r="E108" s="112"/>
      <c r="G108" s="112"/>
      <c r="I108" s="112"/>
      <c r="J108" s="112"/>
      <c r="K108" s="112"/>
      <c r="L108" s="112"/>
      <c r="M108" s="112"/>
      <c r="N108" s="112"/>
      <c r="O108" s="112"/>
      <c r="Q108" s="120"/>
      <c r="S108" s="121">
        <f>U107-W107</f>
        <v>-9202.1590351611376</v>
      </c>
      <c r="U108" s="112">
        <f t="shared" si="16"/>
        <v>58844654.175310016</v>
      </c>
      <c r="W108" s="120">
        <f>SUM(S$40:S108)</f>
        <v>58844654.175310016</v>
      </c>
      <c r="Y108" s="112">
        <f t="shared" si="19"/>
        <v>1932.4534000000001</v>
      </c>
      <c r="AA108" s="112">
        <f>ROUND(SUM(Y$40:Y108),0)</f>
        <v>0</v>
      </c>
    </row>
    <row r="109" spans="1:27" x14ac:dyDescent="0.25">
      <c r="A109" s="119"/>
      <c r="C109" s="147">
        <f>SUM(C40:C108)</f>
        <v>1.0000000000000002</v>
      </c>
      <c r="E109" s="122">
        <f>SUM(E40:E108)</f>
        <v>58844654.175310016</v>
      </c>
      <c r="G109" s="122">
        <f>SUM(G40:G108)</f>
        <v>37992003.479999997</v>
      </c>
      <c r="I109" s="122">
        <f>SUM(I40:I108)</f>
        <v>19614388.472972885</v>
      </c>
      <c r="J109" s="112"/>
      <c r="K109" s="122">
        <f>SUM(K40:K108)</f>
        <v>1238262.2223371339</v>
      </c>
      <c r="L109" s="112"/>
      <c r="M109" s="122">
        <f>SUM(M40:M108)</f>
        <v>0</v>
      </c>
      <c r="N109" s="112"/>
      <c r="O109" s="122">
        <f>SUM(O40:O108)</f>
        <v>0</v>
      </c>
      <c r="Q109" s="122">
        <f>SUM(Q40:Q108)</f>
        <v>58844654.175310016</v>
      </c>
      <c r="S109" s="122">
        <f>SUM(S40:S108)</f>
        <v>58844654.175310016</v>
      </c>
      <c r="W109" s="120"/>
      <c r="Y109" s="122">
        <f>SUM(Y40:Y108)</f>
        <v>4.6054576682763582E-4</v>
      </c>
      <c r="AA109" s="122"/>
    </row>
    <row r="110" spans="1:27" x14ac:dyDescent="0.25">
      <c r="A110" s="119"/>
      <c r="C110" s="118"/>
      <c r="G110" s="112"/>
      <c r="I110" s="112"/>
      <c r="J110" s="112"/>
      <c r="K110" s="112"/>
      <c r="L110" s="112"/>
      <c r="M110" s="112"/>
      <c r="N110" s="112"/>
      <c r="O110" s="112"/>
      <c r="Q110" s="120"/>
      <c r="S110" s="112"/>
      <c r="W110" s="120"/>
      <c r="Y110" s="112"/>
    </row>
    <row r="111" spans="1:27" x14ac:dyDescent="0.25">
      <c r="A111" s="119"/>
      <c r="C111" s="118"/>
      <c r="G111" s="112"/>
      <c r="I111" s="112"/>
      <c r="J111" s="112"/>
      <c r="K111" s="112"/>
      <c r="L111" s="112"/>
      <c r="M111" s="112"/>
      <c r="N111" s="112"/>
      <c r="O111" s="112"/>
      <c r="Q111" s="120"/>
      <c r="S111" s="112"/>
      <c r="W111" s="120"/>
      <c r="Y111" s="112"/>
    </row>
    <row r="112" spans="1:27" x14ac:dyDescent="0.25">
      <c r="A112" s="119"/>
      <c r="C112" s="118"/>
      <c r="E112" s="112"/>
      <c r="G112" s="112"/>
      <c r="H112" s="112"/>
      <c r="I112" s="112"/>
      <c r="J112" s="112"/>
      <c r="K112" s="112"/>
      <c r="L112" s="112"/>
      <c r="M112" s="112"/>
      <c r="O112" s="120"/>
      <c r="Q112" s="121"/>
      <c r="U112" s="120"/>
      <c r="W112" s="112"/>
    </row>
    <row r="113" spans="1:5" ht="17.25" x14ac:dyDescent="0.25">
      <c r="A113" s="151" t="s">
        <v>120</v>
      </c>
      <c r="C113" s="118"/>
      <c r="E113" s="112"/>
    </row>
    <row r="114" spans="1:5" x14ac:dyDescent="0.25">
      <c r="A114" s="117"/>
    </row>
    <row r="115" spans="1:5" x14ac:dyDescent="0.25">
      <c r="A115" s="117"/>
    </row>
    <row r="116" spans="1:5" x14ac:dyDescent="0.25">
      <c r="A116" s="117"/>
    </row>
    <row r="117" spans="1:5" x14ac:dyDescent="0.25">
      <c r="A117" s="117"/>
    </row>
  </sheetData>
  <mergeCells count="2">
    <mergeCell ref="G37:O37"/>
    <mergeCell ref="C19:U19"/>
  </mergeCells>
  <pageMargins left="0.7" right="0.7" top="0.75" bottom="0.75" header="0.3" footer="0.3"/>
  <pageSetup scale="35" orientation="landscape" r:id="rId1"/>
  <headerFooter>
    <oddHeader>&amp;R&amp;"Times New Roman,Bold"&amp;10KyPSC Case No. 2021-00190
AG-DR-01-015(b) 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260"/>
  <sheetViews>
    <sheetView zoomScaleNormal="100" workbookViewId="0">
      <selection activeCell="I30" sqref="I30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44.85546875" style="2" customWidth="1"/>
    <col min="5" max="7" width="18.7109375" style="2" customWidth="1"/>
    <col min="8" max="12" width="20.28515625" style="2" customWidth="1"/>
    <col min="13" max="13" width="2.28515625" style="2" customWidth="1"/>
    <col min="14" max="14" width="12.5703125" style="2"/>
    <col min="15" max="15" width="15.140625" style="2" customWidth="1"/>
    <col min="16" max="16" width="12.5703125" style="2"/>
    <col min="17" max="17" width="52.42578125" style="2" customWidth="1"/>
    <col min="18" max="20" width="20.28515625" style="2" customWidth="1"/>
    <col min="21" max="21" width="2.28515625" style="2" customWidth="1"/>
    <col min="22" max="22" width="12.5703125" style="2"/>
    <col min="23" max="23" width="15.140625" style="2" customWidth="1"/>
    <col min="24" max="24" width="12.5703125" style="2"/>
    <col min="25" max="25" width="65.28515625" style="2" customWidth="1"/>
    <col min="26" max="30" width="20.28515625" style="2" customWidth="1"/>
    <col min="31" max="31" width="33.140625" style="2" customWidth="1"/>
    <col min="32" max="32" width="20.28515625" style="2" customWidth="1"/>
    <col min="33" max="33" width="2.28515625" style="2" customWidth="1"/>
    <col min="34" max="34" width="15.140625" style="2" customWidth="1"/>
    <col min="35" max="40" width="22.85546875" style="2" customWidth="1"/>
    <col min="41" max="41" width="26.7109375" style="2" customWidth="1"/>
    <col min="42" max="42" width="22.85546875" style="2" customWidth="1"/>
    <col min="43" max="43" width="20.28515625" style="2" customWidth="1"/>
    <col min="44" max="44" width="2.28515625" style="2" customWidth="1"/>
    <col min="45" max="45" width="26.7109375" style="2" customWidth="1"/>
    <col min="46" max="46" width="37" style="2" customWidth="1"/>
    <col min="47" max="47" width="46" style="2" customWidth="1"/>
    <col min="48" max="50" width="15.140625" style="2" customWidth="1"/>
    <col min="51" max="51" width="26.7109375" style="2" customWidth="1"/>
    <col min="52" max="52" width="15.140625" style="2" customWidth="1"/>
    <col min="53" max="53" width="2.28515625" style="2" customWidth="1"/>
    <col min="54" max="54" width="10" style="2" customWidth="1"/>
    <col min="55" max="55" width="12.5703125" style="2"/>
    <col min="56" max="56" width="39.5703125" style="2" customWidth="1"/>
    <col min="57" max="57" width="16.42578125" style="2" customWidth="1"/>
    <col min="58" max="60" width="20.28515625" style="2" customWidth="1"/>
    <col min="61" max="62" width="16.42578125" style="2" customWidth="1"/>
    <col min="63" max="63" width="26.7109375" style="2" customWidth="1"/>
    <col min="64" max="64" width="39.5703125" style="2" customWidth="1"/>
    <col min="65" max="65" width="12.5703125" style="2"/>
    <col min="66" max="66" width="16.42578125" style="2" customWidth="1"/>
    <col min="67" max="67" width="17.7109375" style="2" customWidth="1"/>
    <col min="68" max="16384" width="12.5703125" style="2"/>
  </cols>
  <sheetData>
    <row r="1" spans="1:67" ht="18.75" x14ac:dyDescent="0.3">
      <c r="A1" s="163" t="s">
        <v>47</v>
      </c>
      <c r="B1" s="164"/>
      <c r="C1" s="164"/>
      <c r="D1" s="164"/>
      <c r="E1" s="164"/>
      <c r="F1" s="164"/>
      <c r="G1" s="164"/>
      <c r="BN1" s="3"/>
      <c r="BO1" s="3"/>
    </row>
    <row r="2" spans="1:67" ht="18.75" x14ac:dyDescent="0.3">
      <c r="A2" s="163" t="s">
        <v>63</v>
      </c>
      <c r="B2" s="164"/>
      <c r="C2" s="164"/>
      <c r="D2" s="164"/>
      <c r="E2" s="164"/>
      <c r="F2" s="164"/>
      <c r="G2" s="164"/>
      <c r="BN2" s="3"/>
      <c r="BO2" s="3"/>
    </row>
    <row r="3" spans="1:67" ht="16.5" thickBot="1" x14ac:dyDescent="0.3">
      <c r="A3" s="4"/>
      <c r="B3" s="4"/>
      <c r="C3" s="4"/>
      <c r="D3" s="4"/>
      <c r="E3" s="4"/>
      <c r="F3" s="5"/>
      <c r="G3" s="4"/>
      <c r="BN3" s="3"/>
      <c r="BO3" s="3"/>
    </row>
    <row r="4" spans="1:67" x14ac:dyDescent="0.25">
      <c r="A4" s="6"/>
      <c r="B4" s="6"/>
      <c r="C4" s="6"/>
      <c r="D4" s="6"/>
      <c r="E4" s="6"/>
      <c r="F4" s="6"/>
      <c r="G4" s="6"/>
      <c r="BN4" s="3"/>
      <c r="BO4" s="3"/>
    </row>
    <row r="5" spans="1:6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BN5" s="3"/>
      <c r="BO5" s="3"/>
    </row>
    <row r="6" spans="1:67" x14ac:dyDescent="0.25">
      <c r="A6" s="165" t="s">
        <v>52</v>
      </c>
      <c r="B6" s="166" t="s">
        <v>50</v>
      </c>
      <c r="C6" s="167"/>
      <c r="D6" s="8"/>
      <c r="E6" s="8"/>
      <c r="F6" s="8"/>
      <c r="G6" s="9" t="s">
        <v>46</v>
      </c>
    </row>
    <row r="7" spans="1:67" ht="18" x14ac:dyDescent="0.25">
      <c r="A7" s="165"/>
      <c r="B7" s="10" t="s">
        <v>51</v>
      </c>
      <c r="C7" s="10" t="s">
        <v>45</v>
      </c>
      <c r="D7" s="10" t="s">
        <v>53</v>
      </c>
      <c r="E7" s="10" t="s">
        <v>54</v>
      </c>
      <c r="F7" s="11" t="s">
        <v>57</v>
      </c>
      <c r="G7" s="12" t="s">
        <v>55</v>
      </c>
    </row>
    <row r="9" spans="1:67" x14ac:dyDescent="0.25">
      <c r="B9" s="162" t="s">
        <v>56</v>
      </c>
      <c r="C9" s="162"/>
      <c r="D9" s="162"/>
    </row>
    <row r="10" spans="1:67" x14ac:dyDescent="0.25">
      <c r="A10" s="14">
        <f>MAX(A9:A$9)+1</f>
        <v>1</v>
      </c>
      <c r="B10" s="15">
        <v>360</v>
      </c>
      <c r="C10" s="14">
        <v>3600</v>
      </c>
      <c r="D10" s="16" t="s">
        <v>19</v>
      </c>
      <c r="E10" s="34">
        <v>13811257.98</v>
      </c>
      <c r="F10" s="34"/>
      <c r="G10" s="22">
        <f>+E10+F10</f>
        <v>13811257.98</v>
      </c>
    </row>
    <row r="11" spans="1:67" x14ac:dyDescent="0.25">
      <c r="A11" s="14">
        <f>MAX(A$9:A10)+1</f>
        <v>2</v>
      </c>
      <c r="B11" s="15">
        <v>360</v>
      </c>
      <c r="C11" s="14">
        <v>3601</v>
      </c>
      <c r="D11" s="16" t="s">
        <v>20</v>
      </c>
      <c r="E11" s="24">
        <v>26233545.710000001</v>
      </c>
      <c r="F11" s="24"/>
      <c r="G11" s="17">
        <f t="shared" ref="G11:G33" si="0">+E11+F11</f>
        <v>26233545.710000001</v>
      </c>
    </row>
    <row r="12" spans="1:67" x14ac:dyDescent="0.25">
      <c r="A12" s="14">
        <f>MAX(A$9:A11)+1</f>
        <v>3</v>
      </c>
      <c r="B12" s="15">
        <v>361</v>
      </c>
      <c r="C12" s="14">
        <v>3610</v>
      </c>
      <c r="D12" s="16" t="s">
        <v>21</v>
      </c>
      <c r="E12" s="24">
        <v>17295205.030000001</v>
      </c>
      <c r="F12" s="24"/>
      <c r="G12" s="17">
        <f t="shared" si="0"/>
        <v>17295205.030000001</v>
      </c>
    </row>
    <row r="13" spans="1:67" x14ac:dyDescent="0.25">
      <c r="A13" s="14">
        <f>MAX(A$9:A12)+1</f>
        <v>4</v>
      </c>
      <c r="B13" s="15">
        <v>362</v>
      </c>
      <c r="C13" s="14">
        <v>3620</v>
      </c>
      <c r="D13" s="16" t="s">
        <v>22</v>
      </c>
      <c r="E13" s="24">
        <v>206982425.69999999</v>
      </c>
      <c r="F13" s="24">
        <v>-30848428</v>
      </c>
      <c r="G13" s="17">
        <f t="shared" si="0"/>
        <v>176133997.69999999</v>
      </c>
    </row>
    <row r="14" spans="1:67" x14ac:dyDescent="0.25">
      <c r="A14" s="14">
        <f>MAX(A$9:A13)+1</f>
        <v>5</v>
      </c>
      <c r="B14" s="15">
        <v>362</v>
      </c>
      <c r="C14" s="14">
        <v>3622</v>
      </c>
      <c r="D14" s="16" t="s">
        <v>23</v>
      </c>
      <c r="E14" s="24">
        <v>110602629.66</v>
      </c>
      <c r="F14" s="24">
        <v>-3617026</v>
      </c>
      <c r="G14" s="17">
        <f t="shared" si="0"/>
        <v>106985603.66</v>
      </c>
    </row>
    <row r="15" spans="1:67" x14ac:dyDescent="0.25">
      <c r="A15" s="14">
        <f>MAX(A$9:A14)+1</f>
        <v>6</v>
      </c>
      <c r="B15" s="18">
        <v>362</v>
      </c>
      <c r="C15" s="19">
        <v>3635</v>
      </c>
      <c r="D15" s="20" t="s">
        <v>24</v>
      </c>
      <c r="E15" s="24">
        <v>918431.52</v>
      </c>
      <c r="F15" s="24">
        <v>-917190</v>
      </c>
      <c r="G15" s="17">
        <f t="shared" si="0"/>
        <v>1241.5200000000186</v>
      </c>
    </row>
    <row r="16" spans="1:67" x14ac:dyDescent="0.25">
      <c r="A16" s="14">
        <f>MAX(A$9:A15)+1</f>
        <v>7</v>
      </c>
      <c r="B16" s="15">
        <v>364</v>
      </c>
      <c r="C16" s="14">
        <v>3640</v>
      </c>
      <c r="D16" s="16" t="s">
        <v>25</v>
      </c>
      <c r="E16" s="24">
        <v>285124441.00999999</v>
      </c>
      <c r="F16" s="24">
        <v>-3581655</v>
      </c>
      <c r="G16" s="17">
        <f t="shared" si="0"/>
        <v>281542786.00999999</v>
      </c>
    </row>
    <row r="17" spans="1:7" x14ac:dyDescent="0.25">
      <c r="A17" s="14">
        <f>MAX(A$9:A16)+1</f>
        <v>8</v>
      </c>
      <c r="B17" s="15">
        <v>365</v>
      </c>
      <c r="C17" s="14" t="s">
        <v>26</v>
      </c>
      <c r="D17" s="16" t="s">
        <v>27</v>
      </c>
      <c r="E17" s="24">
        <f>496532259.14+14966620.14</f>
        <v>511498879.27999997</v>
      </c>
      <c r="F17" s="24">
        <v>-28765939</v>
      </c>
      <c r="G17" s="17">
        <f t="shared" si="0"/>
        <v>482732940.27999997</v>
      </c>
    </row>
    <row r="18" spans="1:7" x14ac:dyDescent="0.25">
      <c r="A18" s="14">
        <f>MAX(A$9:A17)+1</f>
        <v>9</v>
      </c>
      <c r="B18" s="15">
        <v>366</v>
      </c>
      <c r="C18" s="14">
        <v>3660</v>
      </c>
      <c r="D18" s="16" t="s">
        <v>28</v>
      </c>
      <c r="E18" s="24">
        <v>99489609.010000005</v>
      </c>
      <c r="F18" s="24"/>
      <c r="G18" s="17">
        <f t="shared" si="0"/>
        <v>99489609.010000005</v>
      </c>
    </row>
    <row r="19" spans="1:7" x14ac:dyDescent="0.25">
      <c r="A19" s="14">
        <f>MAX(A$9:A18)+1</f>
        <v>10</v>
      </c>
      <c r="B19" s="15">
        <v>367</v>
      </c>
      <c r="C19" s="14">
        <v>3670</v>
      </c>
      <c r="D19" s="16" t="s">
        <v>29</v>
      </c>
      <c r="E19" s="24">
        <v>311123111.23000002</v>
      </c>
      <c r="F19" s="24"/>
      <c r="G19" s="17">
        <f t="shared" si="0"/>
        <v>311123111.23000002</v>
      </c>
    </row>
    <row r="20" spans="1:7" x14ac:dyDescent="0.25">
      <c r="A20" s="14">
        <f>MAX(A$9:A19)+1</f>
        <v>11</v>
      </c>
      <c r="B20" s="15">
        <v>368</v>
      </c>
      <c r="C20" s="14" t="s">
        <v>30</v>
      </c>
      <c r="D20" s="16" t="s">
        <v>31</v>
      </c>
      <c r="E20" s="24">
        <v>334454432.89999998</v>
      </c>
      <c r="F20" s="24"/>
      <c r="G20" s="17">
        <f t="shared" si="0"/>
        <v>334454432.89999998</v>
      </c>
    </row>
    <row r="21" spans="1:7" x14ac:dyDescent="0.25">
      <c r="A21" s="14">
        <f>MAX(A$9:A20)+1</f>
        <v>12</v>
      </c>
      <c r="B21" s="15">
        <v>368</v>
      </c>
      <c r="C21" s="14">
        <v>3682</v>
      </c>
      <c r="D21" s="16" t="s">
        <v>32</v>
      </c>
      <c r="E21" s="24">
        <v>5183057</v>
      </c>
      <c r="F21" s="24"/>
      <c r="G21" s="17">
        <f t="shared" si="0"/>
        <v>5183057</v>
      </c>
    </row>
    <row r="22" spans="1:7" x14ac:dyDescent="0.25">
      <c r="A22" s="14">
        <f>MAX(A$9:A21)+1</f>
        <v>13</v>
      </c>
      <c r="B22" s="15">
        <v>369</v>
      </c>
      <c r="C22" s="14">
        <v>3691</v>
      </c>
      <c r="D22" s="16" t="s">
        <v>33</v>
      </c>
      <c r="E22" s="24">
        <v>5923249.4800000004</v>
      </c>
      <c r="F22" s="24"/>
      <c r="G22" s="17">
        <f t="shared" si="0"/>
        <v>5923249.4800000004</v>
      </c>
    </row>
    <row r="23" spans="1:7" x14ac:dyDescent="0.25">
      <c r="A23" s="14">
        <f>MAX(A$9:A22)+1</f>
        <v>14</v>
      </c>
      <c r="B23" s="15">
        <v>369</v>
      </c>
      <c r="C23" s="14">
        <v>3692</v>
      </c>
      <c r="D23" s="16" t="s">
        <v>34</v>
      </c>
      <c r="E23" s="24">
        <v>76284822.540000007</v>
      </c>
      <c r="F23" s="24"/>
      <c r="G23" s="17">
        <f t="shared" si="0"/>
        <v>76284822.540000007</v>
      </c>
    </row>
    <row r="24" spans="1:7" x14ac:dyDescent="0.25">
      <c r="A24" s="14">
        <f>MAX(A$9:A23)+1</f>
        <v>15</v>
      </c>
      <c r="B24" s="15">
        <v>370</v>
      </c>
      <c r="C24" s="14">
        <v>3700</v>
      </c>
      <c r="D24" s="16" t="s">
        <v>35</v>
      </c>
      <c r="E24" s="24">
        <f>6038206.97+6485042.98</f>
        <v>12523249.949999999</v>
      </c>
      <c r="F24" s="24"/>
      <c r="G24" s="17">
        <f t="shared" si="0"/>
        <v>12523249.949999999</v>
      </c>
    </row>
    <row r="25" spans="1:7" x14ac:dyDescent="0.25">
      <c r="A25" s="14">
        <f>MAX(A$9:A24)+1</f>
        <v>16</v>
      </c>
      <c r="B25" s="18">
        <v>370</v>
      </c>
      <c r="C25" s="19">
        <v>3701</v>
      </c>
      <c r="D25" s="20" t="s">
        <v>36</v>
      </c>
      <c r="E25" s="24">
        <f>10217982.08+5983622.14</f>
        <v>16201604.219999999</v>
      </c>
      <c r="F25" s="24"/>
      <c r="G25" s="17">
        <f t="shared" si="0"/>
        <v>16201604.219999999</v>
      </c>
    </row>
    <row r="26" spans="1:7" x14ac:dyDescent="0.25">
      <c r="A26" s="14">
        <f>MAX(A$9:A25)+1</f>
        <v>17</v>
      </c>
      <c r="B26" s="18">
        <v>370</v>
      </c>
      <c r="C26" s="19">
        <v>3702</v>
      </c>
      <c r="D26" s="20" t="s">
        <v>37</v>
      </c>
      <c r="E26" s="24">
        <v>65188887.079999998</v>
      </c>
      <c r="F26" s="24">
        <f>-E26</f>
        <v>-65188887.079999998</v>
      </c>
      <c r="G26" s="17">
        <f t="shared" si="0"/>
        <v>0</v>
      </c>
    </row>
    <row r="27" spans="1:7" x14ac:dyDescent="0.25">
      <c r="A27" s="14">
        <f>MAX(A$9:A26)+1</f>
        <v>18</v>
      </c>
      <c r="B27" s="18">
        <v>371</v>
      </c>
      <c r="C27" s="19">
        <v>3710</v>
      </c>
      <c r="D27" s="20" t="s">
        <v>38</v>
      </c>
      <c r="E27" s="24">
        <v>4658801.83</v>
      </c>
      <c r="F27" s="24"/>
      <c r="G27" s="17">
        <f t="shared" si="0"/>
        <v>4658801.83</v>
      </c>
    </row>
    <row r="28" spans="1:7" x14ac:dyDescent="0.25">
      <c r="A28" s="14">
        <f>MAX(A$9:A27)+1</f>
        <v>19</v>
      </c>
      <c r="B28" s="18">
        <v>371</v>
      </c>
      <c r="C28" s="19">
        <v>3712</v>
      </c>
      <c r="D28" s="20" t="s">
        <v>48</v>
      </c>
      <c r="E28" s="24">
        <v>1016162.03</v>
      </c>
      <c r="F28" s="24">
        <f>-E28</f>
        <v>-1016162.03</v>
      </c>
      <c r="G28" s="17">
        <f t="shared" si="0"/>
        <v>0</v>
      </c>
    </row>
    <row r="29" spans="1:7" x14ac:dyDescent="0.25">
      <c r="A29" s="14">
        <f>MAX(A$9:A28)+1</f>
        <v>20</v>
      </c>
      <c r="B29" s="18">
        <v>372</v>
      </c>
      <c r="C29" s="19">
        <v>3720</v>
      </c>
      <c r="D29" s="20" t="s">
        <v>39</v>
      </c>
      <c r="E29" s="24">
        <v>102503</v>
      </c>
      <c r="F29" s="24"/>
      <c r="G29" s="17">
        <f t="shared" si="0"/>
        <v>102503</v>
      </c>
    </row>
    <row r="30" spans="1:7" x14ac:dyDescent="0.25">
      <c r="A30" s="14">
        <f>MAX(A$9:A29)+1</f>
        <v>21</v>
      </c>
      <c r="B30" s="18">
        <v>373</v>
      </c>
      <c r="C30" s="19" t="s">
        <v>40</v>
      </c>
      <c r="D30" s="20" t="s">
        <v>49</v>
      </c>
      <c r="E30" s="24">
        <f>4690589.43+15760319.02</f>
        <v>20450908.449999999</v>
      </c>
      <c r="F30" s="24"/>
      <c r="G30" s="17">
        <f t="shared" si="0"/>
        <v>20450908.449999999</v>
      </c>
    </row>
    <row r="31" spans="1:7" x14ac:dyDescent="0.25">
      <c r="A31" s="14">
        <f>MAX(A$9:A30)+1</f>
        <v>22</v>
      </c>
      <c r="B31" s="18">
        <v>373</v>
      </c>
      <c r="C31" s="19">
        <v>3732</v>
      </c>
      <c r="D31" s="20" t="s">
        <v>42</v>
      </c>
      <c r="E31" s="24">
        <v>27635978.190000001</v>
      </c>
      <c r="F31" s="24"/>
      <c r="G31" s="17">
        <f t="shared" si="0"/>
        <v>27635978.190000001</v>
      </c>
    </row>
    <row r="32" spans="1:7" x14ac:dyDescent="0.25">
      <c r="A32" s="14">
        <f>MAX(A$9:A31)+1</f>
        <v>23</v>
      </c>
      <c r="B32" s="18">
        <v>373</v>
      </c>
      <c r="C32" s="19">
        <v>3733</v>
      </c>
      <c r="D32" s="20" t="s">
        <v>43</v>
      </c>
      <c r="E32" s="24">
        <v>15084071.32</v>
      </c>
      <c r="F32" s="24"/>
      <c r="G32" s="17">
        <f t="shared" si="0"/>
        <v>15084071.32</v>
      </c>
    </row>
    <row r="33" spans="1:7" x14ac:dyDescent="0.25">
      <c r="A33" s="14">
        <f>MAX(A$9:A32)+1</f>
        <v>24</v>
      </c>
      <c r="B33" s="18">
        <v>373</v>
      </c>
      <c r="C33" s="19">
        <v>3734</v>
      </c>
      <c r="D33" s="20" t="s">
        <v>44</v>
      </c>
      <c r="E33" s="24">
        <v>6225676.25</v>
      </c>
      <c r="F33" s="24">
        <f>-E33</f>
        <v>-6225676.25</v>
      </c>
      <c r="G33" s="17">
        <f t="shared" si="0"/>
        <v>0</v>
      </c>
    </row>
    <row r="34" spans="1:7" x14ac:dyDescent="0.25">
      <c r="A34" s="14"/>
      <c r="B34" s="18"/>
      <c r="C34" s="19"/>
      <c r="D34" s="20"/>
      <c r="E34" s="78"/>
      <c r="F34" s="78"/>
      <c r="G34" s="78"/>
    </row>
    <row r="35" spans="1:7" ht="16.5" thickBot="1" x14ac:dyDescent="0.3">
      <c r="A35" s="14">
        <f>MAX(A$9:A33)+1</f>
        <v>25</v>
      </c>
      <c r="C35" s="13"/>
      <c r="D35" s="13"/>
      <c r="E35" s="29">
        <f>SUM(E10:E33)</f>
        <v>2174012940.3699999</v>
      </c>
      <c r="F35" s="29">
        <f>SUM(F10:F33)</f>
        <v>-140160963.36000001</v>
      </c>
      <c r="G35" s="29">
        <f>SUM(G10:G33)</f>
        <v>2033851977.0099998</v>
      </c>
    </row>
    <row r="36" spans="1:7" ht="16.5" thickTop="1" x14ac:dyDescent="0.25">
      <c r="A36" s="80"/>
      <c r="B36" s="80"/>
      <c r="C36" s="80"/>
      <c r="D36" s="80"/>
      <c r="E36" s="80"/>
      <c r="F36" s="80"/>
      <c r="G36" s="80"/>
    </row>
    <row r="37" spans="1:7" x14ac:dyDescent="0.25">
      <c r="A37" s="61"/>
    </row>
    <row r="38" spans="1:7" x14ac:dyDescent="0.25">
      <c r="B38" s="79" t="s">
        <v>70</v>
      </c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45" spans="1:2" x14ac:dyDescent="0.25">
      <c r="A245" s="3" t="s">
        <v>1</v>
      </c>
      <c r="B245" s="3"/>
    </row>
    <row r="247" spans="1:2" x14ac:dyDescent="0.25">
      <c r="A247" s="3" t="s">
        <v>2</v>
      </c>
      <c r="B247" s="3"/>
    </row>
    <row r="249" spans="1:2" x14ac:dyDescent="0.25">
      <c r="A249" s="3" t="s">
        <v>3</v>
      </c>
      <c r="B249" s="3"/>
    </row>
    <row r="251" spans="1:2" x14ac:dyDescent="0.25">
      <c r="A251" s="3" t="s">
        <v>4</v>
      </c>
      <c r="B251" s="3"/>
    </row>
    <row r="252" spans="1:2" x14ac:dyDescent="0.25">
      <c r="B252" s="3"/>
    </row>
    <row r="253" spans="1:2" x14ac:dyDescent="0.25">
      <c r="B253" s="3"/>
    </row>
    <row r="254" spans="1:2" x14ac:dyDescent="0.25">
      <c r="B254" s="3"/>
    </row>
    <row r="255" spans="1:2" x14ac:dyDescent="0.25">
      <c r="B255" s="3"/>
    </row>
    <row r="258" spans="1:2" x14ac:dyDescent="0.25">
      <c r="A258" s="3" t="s">
        <v>5</v>
      </c>
      <c r="B258" s="3"/>
    </row>
    <row r="260" spans="1:2" x14ac:dyDescent="0.25">
      <c r="A260" s="3" t="s">
        <v>6</v>
      </c>
      <c r="B260" s="3"/>
    </row>
  </sheetData>
  <mergeCells count="5">
    <mergeCell ref="B9:D9"/>
    <mergeCell ref="A1:G1"/>
    <mergeCell ref="A2:G2"/>
    <mergeCell ref="A6:A7"/>
    <mergeCell ref="B6:C6"/>
  </mergeCells>
  <pageMargins left="0.2" right="0.2" top="0.75" bottom="0.75" header="0.3" footer="0.3"/>
  <pageSetup scale="85" orientation="landscape" r:id="rId1"/>
  <headerFooter>
    <oddHeader>&amp;RPUCO CaseNo. 15-795-EL-RDR
Attachment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5"/>
  <sheetViews>
    <sheetView topLeftCell="A31" zoomScaleNormal="100" workbookViewId="0">
      <selection activeCell="G32" sqref="G32"/>
    </sheetView>
  </sheetViews>
  <sheetFormatPr defaultColWidth="12.5703125" defaultRowHeight="15.75" x14ac:dyDescent="0.25"/>
  <cols>
    <col min="1" max="1" width="7.5703125" style="2" customWidth="1"/>
    <col min="2" max="3" width="15.7109375" style="2" customWidth="1"/>
    <col min="4" max="4" width="44.85546875" style="2" customWidth="1"/>
    <col min="5" max="7" width="18.7109375" style="2" customWidth="1"/>
    <col min="8" max="8" width="20.28515625" style="2" customWidth="1"/>
    <col min="9" max="9" width="2.28515625" style="2" customWidth="1"/>
    <col min="10" max="10" width="12.5703125" style="2"/>
    <col min="11" max="11" width="15.140625" style="2" customWidth="1"/>
    <col min="12" max="12" width="12.5703125" style="2"/>
    <col min="13" max="13" width="65.28515625" style="2" customWidth="1"/>
    <col min="14" max="18" width="20.28515625" style="2" customWidth="1"/>
    <col min="19" max="19" width="33.140625" style="2" customWidth="1"/>
    <col min="20" max="20" width="20.28515625" style="2" customWidth="1"/>
    <col min="21" max="21" width="2.28515625" style="2" customWidth="1"/>
    <col min="22" max="22" width="15.140625" style="2" customWidth="1"/>
    <col min="23" max="28" width="22.85546875" style="2" customWidth="1"/>
    <col min="29" max="29" width="26.7109375" style="2" customWidth="1"/>
    <col min="30" max="30" width="22.85546875" style="2" customWidth="1"/>
    <col min="31" max="31" width="20.28515625" style="2" customWidth="1"/>
    <col min="32" max="32" width="2.28515625" style="2" customWidth="1"/>
    <col min="33" max="33" width="26.7109375" style="2" customWidth="1"/>
    <col min="34" max="34" width="37" style="2" customWidth="1"/>
    <col min="35" max="35" width="46" style="2" customWidth="1"/>
    <col min="36" max="38" width="15.140625" style="2" customWidth="1"/>
    <col min="39" max="39" width="26.7109375" style="2" customWidth="1"/>
    <col min="40" max="40" width="15.140625" style="2" customWidth="1"/>
    <col min="41" max="41" width="2.28515625" style="2" customWidth="1"/>
    <col min="42" max="42" width="10" style="2" customWidth="1"/>
    <col min="43" max="43" width="12.5703125" style="2"/>
    <col min="44" max="44" width="39.5703125" style="2" customWidth="1"/>
    <col min="45" max="45" width="16.42578125" style="2" customWidth="1"/>
    <col min="46" max="48" width="20.28515625" style="2" customWidth="1"/>
    <col min="49" max="50" width="16.42578125" style="2" customWidth="1"/>
    <col min="51" max="51" width="26.7109375" style="2" customWidth="1"/>
    <col min="52" max="52" width="39.5703125" style="2" customWidth="1"/>
    <col min="53" max="53" width="12.5703125" style="2"/>
    <col min="54" max="54" width="16.42578125" style="2" customWidth="1"/>
    <col min="55" max="55" width="17.7109375" style="2" customWidth="1"/>
    <col min="56" max="16384" width="12.5703125" style="2"/>
  </cols>
  <sheetData>
    <row r="1" spans="1:7" x14ac:dyDescent="0.25">
      <c r="A1" s="168" t="s">
        <v>47</v>
      </c>
      <c r="B1" s="169"/>
      <c r="C1" s="169"/>
      <c r="D1" s="169"/>
      <c r="E1" s="169"/>
      <c r="F1" s="169"/>
      <c r="G1" s="169"/>
    </row>
    <row r="2" spans="1:7" x14ac:dyDescent="0.25">
      <c r="A2" s="168" t="s">
        <v>64</v>
      </c>
      <c r="B2" s="169"/>
      <c r="C2" s="169"/>
      <c r="D2" s="169"/>
      <c r="E2" s="169"/>
      <c r="F2" s="169"/>
      <c r="G2" s="169"/>
    </row>
    <row r="3" spans="1:7" ht="16.5" thickBot="1" x14ac:dyDescent="0.3">
      <c r="A3" s="4"/>
      <c r="B3" s="4"/>
      <c r="C3" s="4"/>
      <c r="D3" s="4"/>
      <c r="E3" s="4"/>
      <c r="F3" s="5"/>
      <c r="G3" s="4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165" t="s">
        <v>52</v>
      </c>
      <c r="B5" s="166" t="s">
        <v>50</v>
      </c>
      <c r="C5" s="167"/>
      <c r="D5" s="8"/>
      <c r="E5" s="8"/>
      <c r="F5" s="8"/>
      <c r="G5" s="9" t="s">
        <v>46</v>
      </c>
    </row>
    <row r="6" spans="1:7" ht="18" x14ac:dyDescent="0.25">
      <c r="A6" s="165"/>
      <c r="B6" s="10" t="s">
        <v>51</v>
      </c>
      <c r="C6" s="10" t="s">
        <v>45</v>
      </c>
      <c r="D6" s="10" t="s">
        <v>53</v>
      </c>
      <c r="E6" s="10" t="s">
        <v>54</v>
      </c>
      <c r="F6" s="11" t="s">
        <v>57</v>
      </c>
      <c r="G6" s="12" t="s">
        <v>55</v>
      </c>
    </row>
    <row r="8" spans="1:7" x14ac:dyDescent="0.25">
      <c r="B8" s="162" t="s">
        <v>56</v>
      </c>
      <c r="C8" s="162"/>
      <c r="D8" s="162"/>
    </row>
    <row r="9" spans="1:7" x14ac:dyDescent="0.25">
      <c r="A9" s="14">
        <f>MAX(A$8:A8)+1</f>
        <v>1</v>
      </c>
      <c r="B9" s="15">
        <v>360</v>
      </c>
      <c r="C9" s="14">
        <v>3600</v>
      </c>
      <c r="D9" s="16" t="s">
        <v>19</v>
      </c>
      <c r="E9" s="35">
        <v>2772.11</v>
      </c>
      <c r="F9" s="35"/>
      <c r="G9" s="22">
        <f>+E9+F9</f>
        <v>2772.11</v>
      </c>
    </row>
    <row r="10" spans="1:7" x14ac:dyDescent="0.25">
      <c r="A10" s="14">
        <f>MAX(A$8:A9)+1</f>
        <v>2</v>
      </c>
      <c r="B10" s="15">
        <v>360</v>
      </c>
      <c r="C10" s="14">
        <v>3601</v>
      </c>
      <c r="D10" s="16" t="s">
        <v>20</v>
      </c>
      <c r="E10" s="36">
        <v>3564848.22</v>
      </c>
      <c r="F10" s="36"/>
      <c r="G10" s="17">
        <f t="shared" ref="G10:G33" si="0">+E10+F10</f>
        <v>3564848.22</v>
      </c>
    </row>
    <row r="11" spans="1:7" x14ac:dyDescent="0.25">
      <c r="A11" s="14">
        <f>MAX(A$8:A10)+1</f>
        <v>3</v>
      </c>
      <c r="B11" s="15">
        <v>361</v>
      </c>
      <c r="C11" s="14">
        <v>3610</v>
      </c>
      <c r="D11" s="16" t="s">
        <v>21</v>
      </c>
      <c r="E11" s="36">
        <v>4324903.45</v>
      </c>
      <c r="F11" s="36"/>
      <c r="G11" s="17">
        <f t="shared" si="0"/>
        <v>4324903.45</v>
      </c>
    </row>
    <row r="12" spans="1:7" x14ac:dyDescent="0.25">
      <c r="A12" s="14">
        <f>MAX(A$8:A11)+1</f>
        <v>4</v>
      </c>
      <c r="B12" s="15">
        <v>362</v>
      </c>
      <c r="C12" s="14">
        <v>3620</v>
      </c>
      <c r="D12" s="16" t="s">
        <v>22</v>
      </c>
      <c r="E12" s="36">
        <v>77946165.700000003</v>
      </c>
      <c r="F12" s="37">
        <v>-2298117</v>
      </c>
      <c r="G12" s="17">
        <f t="shared" si="0"/>
        <v>75648048.700000003</v>
      </c>
    </row>
    <row r="13" spans="1:7" x14ac:dyDescent="0.25">
      <c r="A13" s="14">
        <f>MAX(A$8:A12)+1</f>
        <v>5</v>
      </c>
      <c r="B13" s="15">
        <v>362</v>
      </c>
      <c r="C13" s="14">
        <v>3622</v>
      </c>
      <c r="D13" s="16" t="s">
        <v>23</v>
      </c>
      <c r="E13" s="36">
        <v>42852707.740000002</v>
      </c>
      <c r="F13" s="37">
        <v>-276191</v>
      </c>
      <c r="G13" s="17">
        <f t="shared" si="0"/>
        <v>42576516.740000002</v>
      </c>
    </row>
    <row r="14" spans="1:7" x14ac:dyDescent="0.25">
      <c r="A14" s="14">
        <f>MAX(A$8:A13)+1</f>
        <v>6</v>
      </c>
      <c r="B14" s="18">
        <v>363</v>
      </c>
      <c r="C14" s="19">
        <v>3635</v>
      </c>
      <c r="D14" s="20" t="s">
        <v>60</v>
      </c>
      <c r="E14" s="37">
        <v>112771.68</v>
      </c>
      <c r="F14" s="37">
        <v>-112502</v>
      </c>
      <c r="G14" s="21">
        <f t="shared" si="0"/>
        <v>269.67999999999302</v>
      </c>
    </row>
    <row r="15" spans="1:7" x14ac:dyDescent="0.25">
      <c r="A15" s="14">
        <f>MAX(A$8:A14)+1</f>
        <v>7</v>
      </c>
      <c r="B15" s="15">
        <v>364</v>
      </c>
      <c r="C15" s="14">
        <v>3640</v>
      </c>
      <c r="D15" s="16" t="s">
        <v>25</v>
      </c>
      <c r="E15" s="36">
        <v>117411737.70999999</v>
      </c>
      <c r="F15" s="37">
        <v>-184693</v>
      </c>
      <c r="G15" s="17">
        <f t="shared" si="0"/>
        <v>117227044.70999999</v>
      </c>
    </row>
    <row r="16" spans="1:7" x14ac:dyDescent="0.25">
      <c r="A16" s="14">
        <f>MAX(A$8:A15)+1</f>
        <v>8</v>
      </c>
      <c r="B16" s="15">
        <v>365</v>
      </c>
      <c r="C16" s="14" t="s">
        <v>26</v>
      </c>
      <c r="D16" s="16" t="s">
        <v>27</v>
      </c>
      <c r="E16" s="36">
        <f>109874194.44+712550.75</f>
        <v>110586745.19</v>
      </c>
      <c r="F16" s="37">
        <v>-2264372</v>
      </c>
      <c r="G16" s="17">
        <f t="shared" si="0"/>
        <v>108322373.19</v>
      </c>
    </row>
    <row r="17" spans="1:7" x14ac:dyDescent="0.25">
      <c r="A17" s="14">
        <f>MAX(A$8:A16)+1</f>
        <v>9</v>
      </c>
      <c r="B17" s="15">
        <v>366</v>
      </c>
      <c r="C17" s="14">
        <v>3660</v>
      </c>
      <c r="D17" s="16" t="s">
        <v>28</v>
      </c>
      <c r="E17" s="36">
        <v>40934953.549999997</v>
      </c>
      <c r="F17" s="36"/>
      <c r="G17" s="17">
        <f t="shared" si="0"/>
        <v>40934953.549999997</v>
      </c>
    </row>
    <row r="18" spans="1:7" x14ac:dyDescent="0.25">
      <c r="A18" s="14">
        <f>MAX(A$8:A17)+1</f>
        <v>10</v>
      </c>
      <c r="B18" s="15">
        <v>367</v>
      </c>
      <c r="C18" s="14">
        <v>3670</v>
      </c>
      <c r="D18" s="16" t="s">
        <v>29</v>
      </c>
      <c r="E18" s="36">
        <v>86291016.260000005</v>
      </c>
      <c r="F18" s="36"/>
      <c r="G18" s="17">
        <f t="shared" si="0"/>
        <v>86291016.260000005</v>
      </c>
    </row>
    <row r="19" spans="1:7" x14ac:dyDescent="0.25">
      <c r="A19" s="14">
        <f>MAX(A$8:A18)+1</f>
        <v>11</v>
      </c>
      <c r="B19" s="15">
        <v>368</v>
      </c>
      <c r="C19" s="14" t="s">
        <v>30</v>
      </c>
      <c r="D19" s="16" t="s">
        <v>31</v>
      </c>
      <c r="E19" s="36">
        <f>143389307.33+304.09</f>
        <v>143389611.42000002</v>
      </c>
      <c r="F19" s="36"/>
      <c r="G19" s="17">
        <f t="shared" si="0"/>
        <v>143389611.42000002</v>
      </c>
    </row>
    <row r="20" spans="1:7" x14ac:dyDescent="0.25">
      <c r="A20" s="14">
        <f>MAX(A$8:A19)+1</f>
        <v>12</v>
      </c>
      <c r="B20" s="15">
        <v>368</v>
      </c>
      <c r="C20" s="14">
        <v>3682</v>
      </c>
      <c r="D20" s="16" t="s">
        <v>32</v>
      </c>
      <c r="E20" s="36">
        <v>2991332.88</v>
      </c>
      <c r="F20" s="36"/>
      <c r="G20" s="17">
        <f t="shared" si="0"/>
        <v>2991332.88</v>
      </c>
    </row>
    <row r="21" spans="1:7" x14ac:dyDescent="0.25">
      <c r="A21" s="14">
        <f>MAX(A$8:A20)+1</f>
        <v>13</v>
      </c>
      <c r="B21" s="15">
        <v>369</v>
      </c>
      <c r="C21" s="14">
        <v>3691</v>
      </c>
      <c r="D21" s="16" t="s">
        <v>33</v>
      </c>
      <c r="E21" s="36">
        <v>2446029.7000000002</v>
      </c>
      <c r="F21" s="36"/>
      <c r="G21" s="17">
        <f t="shared" si="0"/>
        <v>2446029.7000000002</v>
      </c>
    </row>
    <row r="22" spans="1:7" x14ac:dyDescent="0.25">
      <c r="A22" s="14">
        <f>MAX(A$8:A21)+1</f>
        <v>14</v>
      </c>
      <c r="B22" s="15">
        <v>369</v>
      </c>
      <c r="C22" s="14">
        <v>3692</v>
      </c>
      <c r="D22" s="16" t="s">
        <v>34</v>
      </c>
      <c r="E22" s="36">
        <v>43450562.579999998</v>
      </c>
      <c r="F22" s="36"/>
      <c r="G22" s="17">
        <f t="shared" si="0"/>
        <v>43450562.579999998</v>
      </c>
    </row>
    <row r="23" spans="1:7" x14ac:dyDescent="0.25">
      <c r="A23" s="14">
        <f>MAX(A$8:A22)+1</f>
        <v>15</v>
      </c>
      <c r="B23" s="15">
        <v>370</v>
      </c>
      <c r="C23" s="14">
        <v>3700</v>
      </c>
      <c r="D23" s="16" t="s">
        <v>35</v>
      </c>
      <c r="E23" s="36">
        <f>-6593279.28+1580648.53</f>
        <v>-5012630.75</v>
      </c>
      <c r="F23" s="37"/>
      <c r="G23" s="17">
        <f t="shared" si="0"/>
        <v>-5012630.75</v>
      </c>
    </row>
    <row r="24" spans="1:7" x14ac:dyDescent="0.25">
      <c r="A24" s="14">
        <f>MAX(A$8:A23)+1</f>
        <v>16</v>
      </c>
      <c r="B24" s="15">
        <v>370</v>
      </c>
      <c r="C24" s="14">
        <v>3701</v>
      </c>
      <c r="D24" s="16" t="s">
        <v>36</v>
      </c>
      <c r="E24" s="36">
        <f>6137687.03+1095203.96</f>
        <v>7232890.9900000002</v>
      </c>
      <c r="F24" s="37"/>
      <c r="G24" s="17">
        <f t="shared" si="0"/>
        <v>7232890.9900000002</v>
      </c>
    </row>
    <row r="25" spans="1:7" x14ac:dyDescent="0.25">
      <c r="A25" s="14">
        <f>MAX(A$8:A24)+1</f>
        <v>17</v>
      </c>
      <c r="B25" s="15">
        <v>370</v>
      </c>
      <c r="C25" s="14">
        <v>3702</v>
      </c>
      <c r="D25" s="16" t="s">
        <v>37</v>
      </c>
      <c r="E25" s="36">
        <v>13849049.76</v>
      </c>
      <c r="F25" s="37">
        <f>-E25</f>
        <v>-13849049.76</v>
      </c>
      <c r="G25" s="17">
        <f t="shared" si="0"/>
        <v>0</v>
      </c>
    </row>
    <row r="26" spans="1:7" x14ac:dyDescent="0.25">
      <c r="A26" s="14">
        <f>MAX(A$8:A25)+1</f>
        <v>18</v>
      </c>
      <c r="B26" s="15">
        <v>371</v>
      </c>
      <c r="C26" s="14">
        <v>3710</v>
      </c>
      <c r="D26" s="16" t="s">
        <v>38</v>
      </c>
      <c r="E26" s="36">
        <v>304909.43</v>
      </c>
      <c r="F26" s="37"/>
      <c r="G26" s="17">
        <f t="shared" si="0"/>
        <v>304909.43</v>
      </c>
    </row>
    <row r="27" spans="1:7" x14ac:dyDescent="0.25">
      <c r="A27" s="14">
        <f>MAX(A$8:A26)+1</f>
        <v>19</v>
      </c>
      <c r="B27" s="15">
        <v>371</v>
      </c>
      <c r="C27" s="14">
        <v>3712</v>
      </c>
      <c r="D27" s="16" t="s">
        <v>48</v>
      </c>
      <c r="E27" s="36">
        <v>-819947.74</v>
      </c>
      <c r="F27" s="37">
        <f>-E27</f>
        <v>819947.74</v>
      </c>
      <c r="G27" s="17">
        <f t="shared" si="0"/>
        <v>0</v>
      </c>
    </row>
    <row r="28" spans="1:7" x14ac:dyDescent="0.25">
      <c r="A28" s="14">
        <f>MAX(A$8:A27)+1</f>
        <v>20</v>
      </c>
      <c r="B28" s="15">
        <v>372</v>
      </c>
      <c r="C28" s="14">
        <v>3720</v>
      </c>
      <c r="D28" s="16" t="s">
        <v>39</v>
      </c>
      <c r="E28" s="36">
        <v>-63514.74</v>
      </c>
      <c r="F28" s="37"/>
      <c r="G28" s="17">
        <f t="shared" si="0"/>
        <v>-63514.74</v>
      </c>
    </row>
    <row r="29" spans="1:7" x14ac:dyDescent="0.25">
      <c r="A29" s="14">
        <f>MAX(A$8:A28)+1</f>
        <v>21</v>
      </c>
      <c r="B29" s="15">
        <v>373</v>
      </c>
      <c r="C29" s="14" t="s">
        <v>40</v>
      </c>
      <c r="D29" s="16" t="s">
        <v>41</v>
      </c>
      <c r="E29" s="36">
        <f>-1614384.9+11740642.47</f>
        <v>10126257.57</v>
      </c>
      <c r="F29" s="37"/>
      <c r="G29" s="17">
        <f t="shared" si="0"/>
        <v>10126257.57</v>
      </c>
    </row>
    <row r="30" spans="1:7" x14ac:dyDescent="0.25">
      <c r="A30" s="14">
        <f>MAX(A$8:A29)+1</f>
        <v>22</v>
      </c>
      <c r="B30" s="15">
        <v>373</v>
      </c>
      <c r="C30" s="14">
        <v>3732</v>
      </c>
      <c r="D30" s="16" t="s">
        <v>42</v>
      </c>
      <c r="E30" s="36">
        <v>7891550.1299999999</v>
      </c>
      <c r="F30" s="37"/>
      <c r="G30" s="17">
        <f t="shared" si="0"/>
        <v>7891550.1299999999</v>
      </c>
    </row>
    <row r="31" spans="1:7" x14ac:dyDescent="0.25">
      <c r="A31" s="14">
        <f>MAX(A$8:A30)+1</f>
        <v>23</v>
      </c>
      <c r="B31" s="15">
        <v>373</v>
      </c>
      <c r="C31" s="14">
        <v>3733</v>
      </c>
      <c r="D31" s="16" t="s">
        <v>43</v>
      </c>
      <c r="E31" s="36">
        <v>7428638.8499999996</v>
      </c>
      <c r="F31" s="37"/>
      <c r="G31" s="17">
        <f t="shared" si="0"/>
        <v>7428638.8499999996</v>
      </c>
    </row>
    <row r="32" spans="1:7" x14ac:dyDescent="0.25">
      <c r="A32" s="14">
        <f>MAX(A$8:A31)+1</f>
        <v>24</v>
      </c>
      <c r="B32" s="15">
        <v>373</v>
      </c>
      <c r="C32" s="14">
        <v>3734</v>
      </c>
      <c r="D32" s="16" t="s">
        <v>44</v>
      </c>
      <c r="E32" s="36">
        <v>-115827.84</v>
      </c>
      <c r="F32" s="37">
        <f>-E32</f>
        <v>115827.84</v>
      </c>
      <c r="G32" s="17">
        <f t="shared" si="0"/>
        <v>0</v>
      </c>
    </row>
    <row r="33" spans="1:7" x14ac:dyDescent="0.25">
      <c r="A33" s="14">
        <f>MAX(A$8:A32)+1</f>
        <v>25</v>
      </c>
      <c r="C33" s="15">
        <v>108</v>
      </c>
      <c r="D33" s="2" t="s">
        <v>61</v>
      </c>
      <c r="E33" s="37">
        <f>-13910.32-2241620.27</f>
        <v>-2255530.59</v>
      </c>
      <c r="F33" s="37"/>
      <c r="G33" s="17">
        <f t="shared" si="0"/>
        <v>-2255530.59</v>
      </c>
    </row>
    <row r="34" spans="1:7" x14ac:dyDescent="0.25">
      <c r="C34" s="13"/>
      <c r="D34" s="13"/>
      <c r="E34" s="78"/>
      <c r="F34" s="78"/>
      <c r="G34" s="78"/>
    </row>
    <row r="35" spans="1:7" x14ac:dyDescent="0.25">
      <c r="A35" s="14">
        <f>MAX(A$8:A33)+1</f>
        <v>26</v>
      </c>
      <c r="C35" s="13"/>
      <c r="D35" s="13"/>
      <c r="E35" s="58">
        <f>SUM(E9:E33)</f>
        <v>714872003.25999999</v>
      </c>
      <c r="F35" s="59">
        <f>SUM(F9:F33)</f>
        <v>-18049149.18</v>
      </c>
      <c r="G35" s="58">
        <f>SUM(G9:G33)</f>
        <v>696822854.08000004</v>
      </c>
    </row>
    <row r="36" spans="1:7" x14ac:dyDescent="0.25">
      <c r="A36" s="80"/>
      <c r="B36" s="80"/>
      <c r="C36" s="80"/>
      <c r="D36" s="80"/>
      <c r="E36" s="80"/>
      <c r="F36" s="80"/>
      <c r="G36" s="80"/>
    </row>
    <row r="37" spans="1:7" s="6" customFormat="1" x14ac:dyDescent="0.25">
      <c r="A37" s="62"/>
      <c r="B37" s="63"/>
      <c r="C37" s="43"/>
      <c r="D37" s="45"/>
      <c r="E37" s="46"/>
      <c r="F37" s="47"/>
      <c r="G37" s="27"/>
    </row>
    <row r="38" spans="1:7" s="6" customFormat="1" x14ac:dyDescent="0.25">
      <c r="A38" s="43"/>
      <c r="B38" s="79" t="s">
        <v>70</v>
      </c>
      <c r="C38" s="43"/>
      <c r="D38" s="45"/>
      <c r="E38" s="48"/>
      <c r="F38" s="48"/>
      <c r="G38" s="27"/>
    </row>
    <row r="39" spans="1:7" s="6" customFormat="1" x14ac:dyDescent="0.25">
      <c r="A39" s="43"/>
      <c r="B39" s="44"/>
      <c r="C39" s="43"/>
      <c r="D39" s="45"/>
      <c r="E39" s="48"/>
      <c r="F39" s="49"/>
      <c r="G39" s="27"/>
    </row>
    <row r="40" spans="1:7" s="6" customFormat="1" x14ac:dyDescent="0.25">
      <c r="A40" s="43"/>
      <c r="B40" s="44"/>
      <c r="C40" s="43"/>
      <c r="D40" s="45"/>
      <c r="E40" s="48"/>
      <c r="F40" s="48"/>
      <c r="G40" s="27"/>
    </row>
    <row r="41" spans="1:7" s="6" customFormat="1" x14ac:dyDescent="0.25">
      <c r="A41" s="43"/>
      <c r="B41" s="44"/>
      <c r="C41" s="43"/>
      <c r="D41" s="45"/>
      <c r="E41" s="48"/>
      <c r="F41" s="49"/>
      <c r="G41" s="27"/>
    </row>
    <row r="42" spans="1:7" s="6" customFormat="1" x14ac:dyDescent="0.25">
      <c r="A42" s="43"/>
      <c r="B42" s="50"/>
      <c r="C42" s="51"/>
      <c r="D42" s="52"/>
      <c r="E42" s="48"/>
      <c r="F42" s="48"/>
      <c r="G42" s="27"/>
    </row>
    <row r="43" spans="1:7" s="6" customFormat="1" x14ac:dyDescent="0.25">
      <c r="A43" s="43"/>
      <c r="B43" s="44"/>
      <c r="C43" s="43"/>
      <c r="D43" s="45"/>
      <c r="E43" s="48"/>
      <c r="F43" s="48"/>
      <c r="G43" s="27"/>
    </row>
    <row r="44" spans="1:7" s="6" customFormat="1" x14ac:dyDescent="0.25">
      <c r="A44" s="43"/>
      <c r="B44" s="44"/>
      <c r="C44" s="43"/>
      <c r="D44" s="45"/>
      <c r="E44" s="48"/>
      <c r="F44" s="48"/>
      <c r="G44" s="27"/>
    </row>
    <row r="45" spans="1:7" s="6" customFormat="1" x14ac:dyDescent="0.25">
      <c r="A45" s="43"/>
      <c r="B45" s="44"/>
      <c r="C45" s="43"/>
      <c r="D45" s="45"/>
      <c r="E45" s="48"/>
      <c r="F45" s="48"/>
      <c r="G45" s="27"/>
    </row>
    <row r="46" spans="1:7" s="6" customFormat="1" x14ac:dyDescent="0.25">
      <c r="A46" s="43"/>
      <c r="B46" s="44"/>
      <c r="C46" s="43"/>
      <c r="D46" s="45"/>
      <c r="E46" s="48"/>
      <c r="F46" s="48"/>
      <c r="G46" s="27"/>
    </row>
    <row r="47" spans="1:7" s="6" customFormat="1" x14ac:dyDescent="0.25">
      <c r="A47" s="43"/>
      <c r="B47" s="44"/>
      <c r="C47" s="43"/>
      <c r="D47" s="45"/>
      <c r="E47" s="48"/>
      <c r="F47" s="48"/>
      <c r="G47" s="27"/>
    </row>
    <row r="48" spans="1:7" s="6" customFormat="1" x14ac:dyDescent="0.25">
      <c r="A48" s="43"/>
      <c r="B48" s="44"/>
      <c r="C48" s="43"/>
      <c r="D48" s="45"/>
      <c r="E48" s="48"/>
      <c r="F48" s="49"/>
      <c r="G48" s="27"/>
    </row>
    <row r="49" spans="1:7" s="6" customFormat="1" x14ac:dyDescent="0.25">
      <c r="A49" s="43"/>
      <c r="B49" s="44"/>
      <c r="C49" s="43"/>
      <c r="D49" s="45"/>
      <c r="E49" s="48"/>
      <c r="F49" s="49"/>
      <c r="G49" s="27"/>
    </row>
    <row r="50" spans="1:7" s="6" customFormat="1" x14ac:dyDescent="0.25">
      <c r="A50" s="43"/>
      <c r="B50" s="44"/>
      <c r="C50" s="43"/>
      <c r="D50" s="45"/>
      <c r="E50" s="48"/>
      <c r="F50" s="49"/>
      <c r="G50" s="27"/>
    </row>
    <row r="51" spans="1:7" s="6" customFormat="1" x14ac:dyDescent="0.25">
      <c r="A51" s="43"/>
      <c r="B51" s="44"/>
      <c r="C51" s="43"/>
      <c r="D51" s="45"/>
      <c r="E51" s="48"/>
      <c r="F51" s="49"/>
      <c r="G51" s="27"/>
    </row>
    <row r="52" spans="1:7" s="6" customFormat="1" x14ac:dyDescent="0.25">
      <c r="A52" s="43"/>
      <c r="B52" s="44"/>
      <c r="C52" s="43"/>
      <c r="D52" s="45"/>
      <c r="E52" s="48"/>
      <c r="F52" s="48"/>
      <c r="G52" s="27"/>
    </row>
    <row r="53" spans="1:7" s="6" customFormat="1" x14ac:dyDescent="0.25">
      <c r="A53" s="43"/>
      <c r="B53" s="44"/>
      <c r="E53" s="48"/>
      <c r="F53" s="48"/>
      <c r="G53" s="27"/>
    </row>
    <row r="54" spans="1:7" s="6" customFormat="1" x14ac:dyDescent="0.25">
      <c r="A54" s="43"/>
      <c r="B54" s="44"/>
      <c r="C54" s="43"/>
      <c r="D54" s="45"/>
      <c r="E54" s="27"/>
      <c r="F54" s="27"/>
      <c r="G54" s="27"/>
    </row>
    <row r="55" spans="1:7" s="6" customFormat="1" x14ac:dyDescent="0.25">
      <c r="C55" s="53"/>
      <c r="D55" s="53"/>
      <c r="E55" s="53"/>
    </row>
    <row r="56" spans="1:7" s="6" customFormat="1" x14ac:dyDescent="0.25">
      <c r="A56" s="43"/>
      <c r="B56" s="44"/>
      <c r="C56" s="43"/>
      <c r="D56" s="45"/>
      <c r="E56" s="46"/>
      <c r="F56" s="46"/>
      <c r="G56" s="27"/>
    </row>
    <row r="57" spans="1:7" s="6" customFormat="1" x14ac:dyDescent="0.25">
      <c r="A57" s="43"/>
      <c r="B57" s="44"/>
      <c r="C57" s="43"/>
      <c r="D57" s="45"/>
      <c r="E57" s="48"/>
      <c r="F57" s="48"/>
      <c r="G57" s="54"/>
    </row>
    <row r="58" spans="1:7" s="6" customFormat="1" x14ac:dyDescent="0.25">
      <c r="A58" s="43"/>
      <c r="B58" s="44"/>
      <c r="C58" s="43"/>
      <c r="D58" s="45"/>
      <c r="E58" s="48"/>
      <c r="F58" s="48"/>
      <c r="G58" s="54"/>
    </row>
    <row r="59" spans="1:7" s="6" customFormat="1" x14ac:dyDescent="0.25">
      <c r="A59" s="43"/>
      <c r="B59" s="44"/>
      <c r="C59" s="43"/>
      <c r="D59" s="45"/>
      <c r="E59" s="48"/>
      <c r="F59" s="48"/>
      <c r="G59" s="54"/>
    </row>
    <row r="60" spans="1:7" s="6" customFormat="1" x14ac:dyDescent="0.25">
      <c r="A60" s="43"/>
      <c r="B60" s="44"/>
      <c r="C60" s="43"/>
      <c r="D60" s="45"/>
      <c r="E60" s="48"/>
      <c r="F60" s="48"/>
      <c r="G60" s="54"/>
    </row>
    <row r="61" spans="1:7" s="6" customFormat="1" x14ac:dyDescent="0.25">
      <c r="A61" s="43"/>
      <c r="B61" s="44"/>
      <c r="C61" s="43"/>
      <c r="D61" s="45"/>
      <c r="E61" s="48"/>
      <c r="F61" s="49"/>
      <c r="G61" s="54"/>
    </row>
    <row r="62" spans="1:7" s="6" customFormat="1" x14ac:dyDescent="0.25">
      <c r="A62" s="43"/>
      <c r="B62" s="44"/>
      <c r="C62" s="43"/>
      <c r="D62" s="45"/>
      <c r="E62" s="49"/>
      <c r="F62" s="49"/>
      <c r="G62" s="54"/>
    </row>
    <row r="63" spans="1:7" s="6" customFormat="1" x14ac:dyDescent="0.25">
      <c r="A63" s="43"/>
      <c r="B63" s="44"/>
      <c r="C63" s="43"/>
      <c r="D63" s="45"/>
      <c r="E63" s="48"/>
      <c r="F63" s="49"/>
      <c r="G63" s="54"/>
    </row>
    <row r="64" spans="1:7" s="6" customFormat="1" x14ac:dyDescent="0.25">
      <c r="A64" s="43"/>
      <c r="B64" s="44"/>
      <c r="C64" s="43"/>
      <c r="D64" s="45"/>
      <c r="E64" s="48"/>
      <c r="F64" s="49"/>
      <c r="G64" s="54"/>
    </row>
    <row r="65" spans="1:7" s="6" customFormat="1" x14ac:dyDescent="0.25">
      <c r="A65" s="43"/>
      <c r="B65" s="44"/>
      <c r="C65" s="43"/>
      <c r="D65" s="45"/>
      <c r="E65" s="48"/>
      <c r="F65" s="49"/>
      <c r="G65" s="54"/>
    </row>
    <row r="66" spans="1:7" s="6" customFormat="1" x14ac:dyDescent="0.25">
      <c r="A66" s="43"/>
      <c r="B66" s="50"/>
      <c r="C66" s="51"/>
      <c r="D66" s="52"/>
      <c r="E66" s="49"/>
      <c r="F66" s="49"/>
      <c r="G66" s="54"/>
    </row>
    <row r="67" spans="1:7" s="6" customFormat="1" x14ac:dyDescent="0.25">
      <c r="A67" s="43"/>
      <c r="B67" s="44"/>
      <c r="C67" s="43"/>
      <c r="D67" s="45"/>
      <c r="E67" s="48"/>
      <c r="F67" s="49"/>
      <c r="G67" s="54"/>
    </row>
    <row r="68" spans="1:7" s="6" customFormat="1" x14ac:dyDescent="0.25">
      <c r="A68" s="43"/>
      <c r="B68" s="44"/>
      <c r="C68" s="43"/>
      <c r="D68" s="45"/>
      <c r="E68" s="48"/>
      <c r="F68" s="49"/>
      <c r="G68" s="54"/>
    </row>
    <row r="69" spans="1:7" s="6" customFormat="1" x14ac:dyDescent="0.25">
      <c r="A69" s="43"/>
      <c r="B69" s="44"/>
      <c r="C69" s="43"/>
      <c r="D69" s="45"/>
      <c r="E69" s="48"/>
      <c r="F69" s="49"/>
      <c r="G69" s="54"/>
    </row>
    <row r="70" spans="1:7" s="6" customFormat="1" x14ac:dyDescent="0.25">
      <c r="A70" s="43"/>
      <c r="B70" s="44"/>
      <c r="C70" s="43"/>
      <c r="D70" s="45"/>
      <c r="E70" s="48"/>
      <c r="F70" s="49"/>
      <c r="G70" s="54"/>
    </row>
    <row r="71" spans="1:7" s="6" customFormat="1" x14ac:dyDescent="0.25">
      <c r="A71" s="43"/>
      <c r="B71" s="44"/>
      <c r="C71" s="43"/>
      <c r="D71" s="45"/>
      <c r="E71" s="48"/>
      <c r="F71" s="49"/>
      <c r="G71" s="54"/>
    </row>
    <row r="72" spans="1:7" s="6" customFormat="1" x14ac:dyDescent="0.25">
      <c r="A72" s="43"/>
      <c r="B72" s="44"/>
      <c r="C72" s="43"/>
      <c r="D72" s="45"/>
      <c r="E72" s="48"/>
      <c r="F72" s="49"/>
      <c r="G72" s="54"/>
    </row>
    <row r="73" spans="1:7" s="6" customFormat="1" x14ac:dyDescent="0.25">
      <c r="A73" s="43"/>
      <c r="C73" s="55"/>
      <c r="D73" s="53"/>
      <c r="E73" s="49"/>
      <c r="F73" s="49"/>
      <c r="G73" s="54"/>
    </row>
    <row r="74" spans="1:7" s="6" customFormat="1" x14ac:dyDescent="0.25">
      <c r="A74" s="43"/>
      <c r="C74" s="55"/>
      <c r="D74" s="53"/>
      <c r="E74" s="49"/>
      <c r="F74" s="49"/>
      <c r="G74" s="56"/>
    </row>
    <row r="75" spans="1:7" s="6" customFormat="1" x14ac:dyDescent="0.25">
      <c r="A75" s="43"/>
      <c r="C75" s="55"/>
      <c r="D75" s="53"/>
      <c r="E75" s="48"/>
      <c r="F75" s="49"/>
      <c r="G75" s="56"/>
    </row>
    <row r="76" spans="1:7" s="6" customFormat="1" x14ac:dyDescent="0.25">
      <c r="A76" s="43"/>
      <c r="C76" s="55"/>
      <c r="D76" s="53"/>
      <c r="E76" s="48"/>
      <c r="F76" s="49"/>
      <c r="G76" s="56"/>
    </row>
    <row r="77" spans="1:7" s="6" customFormat="1" x14ac:dyDescent="0.25">
      <c r="A77" s="43"/>
      <c r="E77" s="49"/>
      <c r="F77" s="49"/>
      <c r="G77" s="56"/>
    </row>
    <row r="78" spans="1:7" s="6" customFormat="1" x14ac:dyDescent="0.25">
      <c r="E78" s="27"/>
      <c r="F78" s="41"/>
      <c r="G78" s="41"/>
    </row>
    <row r="79" spans="1:7" s="6" customFormat="1" x14ac:dyDescent="0.25">
      <c r="E79" s="27"/>
      <c r="F79" s="41"/>
      <c r="G79" s="41"/>
    </row>
    <row r="80" spans="1:7" s="6" customFormat="1" x14ac:dyDescent="0.25">
      <c r="A80" s="43"/>
      <c r="C80" s="57"/>
      <c r="D80" s="42"/>
      <c r="E80" s="58"/>
      <c r="F80" s="59"/>
      <c r="G80" s="59"/>
    </row>
    <row r="81" spans="1:7" s="6" customFormat="1" x14ac:dyDescent="0.25">
      <c r="C81" s="53"/>
      <c r="D81" s="53"/>
      <c r="E81" s="53"/>
      <c r="G81" s="27"/>
    </row>
    <row r="82" spans="1:7" s="6" customFormat="1" x14ac:dyDescent="0.25">
      <c r="A82" s="43"/>
      <c r="C82" s="53"/>
      <c r="D82" s="60"/>
      <c r="E82" s="58"/>
      <c r="F82" s="58"/>
      <c r="G82" s="58"/>
    </row>
    <row r="83" spans="1:7" s="6" customFormat="1" x14ac:dyDescent="0.25"/>
    <row r="84" spans="1:7" s="6" customFormat="1" x14ac:dyDescent="0.25"/>
    <row r="85" spans="1:7" x14ac:dyDescent="0.25">
      <c r="E85" s="38"/>
    </row>
  </sheetData>
  <mergeCells count="5">
    <mergeCell ref="B8:D8"/>
    <mergeCell ref="A1:G1"/>
    <mergeCell ref="A2:G2"/>
    <mergeCell ref="A5:A6"/>
    <mergeCell ref="B5:C5"/>
  </mergeCells>
  <pageMargins left="0.2" right="0.2" top="0.75" bottom="0.75" header="0.3" footer="0.3"/>
  <pageSetup scale="86" orientation="landscape" r:id="rId1"/>
  <headerFooter>
    <oddHeader>&amp;RPUCO CaseNo. 15-795-EL-RDR
Attachment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28"/>
  <sheetViews>
    <sheetView topLeftCell="A19" zoomScaleNormal="100" workbookViewId="0">
      <selection activeCell="G32" sqref="G32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37.85546875" style="2" customWidth="1"/>
    <col min="5" max="6" width="18.7109375" style="2" customWidth="1"/>
    <col min="7" max="7" width="6.42578125" style="2" customWidth="1"/>
    <col min="8" max="8" width="18.7109375" style="2" customWidth="1"/>
    <col min="9" max="13" width="20.28515625" style="2" customWidth="1"/>
    <col min="14" max="14" width="2.28515625" style="2" customWidth="1"/>
    <col min="15" max="15" width="12.5703125" style="2"/>
    <col min="16" max="16" width="15.140625" style="2" customWidth="1"/>
    <col min="17" max="17" width="12.5703125" style="2"/>
    <col min="18" max="18" width="52.42578125" style="2" customWidth="1"/>
    <col min="19" max="21" width="20.28515625" style="2" customWidth="1"/>
    <col min="22" max="22" width="2.28515625" style="2" customWidth="1"/>
    <col min="23" max="23" width="12.5703125" style="2"/>
    <col min="24" max="24" width="15.140625" style="2" customWidth="1"/>
    <col min="25" max="25" width="12.5703125" style="2"/>
    <col min="26" max="26" width="65.28515625" style="2" customWidth="1"/>
    <col min="27" max="31" width="20.28515625" style="2" customWidth="1"/>
    <col min="32" max="32" width="33.140625" style="2" customWidth="1"/>
    <col min="33" max="33" width="20.28515625" style="2" customWidth="1"/>
    <col min="34" max="34" width="2.28515625" style="2" customWidth="1"/>
    <col min="35" max="35" width="15.140625" style="2" customWidth="1"/>
    <col min="36" max="41" width="22.85546875" style="2" customWidth="1"/>
    <col min="42" max="42" width="26.7109375" style="2" customWidth="1"/>
    <col min="43" max="43" width="22.85546875" style="2" customWidth="1"/>
    <col min="44" max="44" width="20.28515625" style="2" customWidth="1"/>
    <col min="45" max="45" width="2.28515625" style="2" customWidth="1"/>
    <col min="46" max="46" width="26.7109375" style="2" customWidth="1"/>
    <col min="47" max="47" width="37" style="2" customWidth="1"/>
    <col min="48" max="48" width="46" style="2" customWidth="1"/>
    <col min="49" max="51" width="15.140625" style="2" customWidth="1"/>
    <col min="52" max="52" width="26.7109375" style="2" customWidth="1"/>
    <col min="53" max="53" width="15.140625" style="2" customWidth="1"/>
    <col min="54" max="54" width="2.28515625" style="2" customWidth="1"/>
    <col min="55" max="55" width="10" style="2" customWidth="1"/>
    <col min="56" max="56" width="12.5703125" style="2"/>
    <col min="57" max="57" width="39.5703125" style="2" customWidth="1"/>
    <col min="58" max="58" width="16.42578125" style="2" customWidth="1"/>
    <col min="59" max="61" width="20.28515625" style="2" customWidth="1"/>
    <col min="62" max="63" width="16.42578125" style="2" customWidth="1"/>
    <col min="64" max="64" width="26.7109375" style="2" customWidth="1"/>
    <col min="65" max="65" width="39.5703125" style="2" customWidth="1"/>
    <col min="66" max="66" width="12.5703125" style="2"/>
    <col min="67" max="67" width="16.42578125" style="2" customWidth="1"/>
    <col min="68" max="68" width="17.7109375" style="2" customWidth="1"/>
    <col min="69" max="16384" width="12.5703125" style="2"/>
  </cols>
  <sheetData>
    <row r="1" spans="1:68" ht="18.75" x14ac:dyDescent="0.3">
      <c r="A1" s="164" t="s">
        <v>47</v>
      </c>
      <c r="B1" s="164"/>
      <c r="C1" s="164"/>
      <c r="D1" s="164"/>
      <c r="E1" s="164"/>
      <c r="F1" s="164"/>
      <c r="G1" s="164"/>
      <c r="H1" s="164"/>
      <c r="BO1" s="3"/>
      <c r="BP1" s="3"/>
    </row>
    <row r="2" spans="1:68" ht="18.75" x14ac:dyDescent="0.3">
      <c r="A2" s="163" t="s">
        <v>65</v>
      </c>
      <c r="B2" s="164"/>
      <c r="C2" s="164"/>
      <c r="D2" s="164"/>
      <c r="E2" s="164"/>
      <c r="F2" s="164"/>
      <c r="G2" s="164"/>
      <c r="H2" s="164"/>
      <c r="BO2" s="3"/>
      <c r="BP2" s="3"/>
    </row>
    <row r="3" spans="1:68" ht="16.5" thickBot="1" x14ac:dyDescent="0.3">
      <c r="A3" s="4"/>
      <c r="B3" s="4"/>
      <c r="C3" s="4"/>
      <c r="D3" s="4"/>
      <c r="E3" s="4"/>
      <c r="F3" s="5"/>
      <c r="G3" s="5"/>
      <c r="H3" s="4"/>
      <c r="BO3" s="3"/>
      <c r="BP3" s="3"/>
    </row>
    <row r="4" spans="1:68" x14ac:dyDescent="0.25">
      <c r="A4" s="6"/>
      <c r="B4" s="6"/>
      <c r="C4" s="6"/>
      <c r="D4" s="6"/>
      <c r="E4" s="6"/>
      <c r="F4" s="6"/>
      <c r="G4" s="6"/>
      <c r="H4" s="6"/>
      <c r="BO4" s="3"/>
      <c r="BP4" s="3"/>
    </row>
    <row r="5" spans="1:68" x14ac:dyDescent="0.25">
      <c r="A5" s="165" t="s">
        <v>52</v>
      </c>
      <c r="B5" s="166" t="s">
        <v>50</v>
      </c>
      <c r="C5" s="167"/>
      <c r="D5" s="8"/>
      <c r="E5" s="8"/>
      <c r="F5" s="8"/>
      <c r="G5" s="8"/>
      <c r="H5" s="9" t="s">
        <v>46</v>
      </c>
    </row>
    <row r="6" spans="1:68" x14ac:dyDescent="0.25">
      <c r="A6" s="165"/>
      <c r="B6" s="10" t="s">
        <v>51</v>
      </c>
      <c r="C6" s="10" t="s">
        <v>45</v>
      </c>
      <c r="D6" s="10" t="s">
        <v>53</v>
      </c>
      <c r="E6" s="10" t="s">
        <v>54</v>
      </c>
      <c r="F6" s="64" t="s">
        <v>67</v>
      </c>
      <c r="G6" s="66"/>
      <c r="H6" s="12" t="s">
        <v>55</v>
      </c>
    </row>
    <row r="8" spans="1:68" x14ac:dyDescent="0.25">
      <c r="B8" s="162" t="s">
        <v>7</v>
      </c>
      <c r="C8" s="162"/>
      <c r="D8" s="162"/>
    </row>
    <row r="9" spans="1:68" x14ac:dyDescent="0.25">
      <c r="A9" s="14">
        <f>MAX(A8:A$8)+1</f>
        <v>1</v>
      </c>
      <c r="B9" s="15">
        <v>282</v>
      </c>
      <c r="C9" s="15" t="s">
        <v>58</v>
      </c>
      <c r="D9" s="16" t="s">
        <v>8</v>
      </c>
      <c r="E9" s="40">
        <v>-42048747.796507388</v>
      </c>
      <c r="F9" s="39">
        <v>0</v>
      </c>
      <c r="G9" s="39"/>
      <c r="H9" s="22">
        <f>+E9+F9</f>
        <v>-42048747.796507388</v>
      </c>
    </row>
    <row r="10" spans="1:68" x14ac:dyDescent="0.25">
      <c r="A10" s="14">
        <f>MAX(A$8:A9)+1</f>
        <v>2</v>
      </c>
      <c r="B10" s="15">
        <v>282</v>
      </c>
      <c r="C10" s="15" t="s">
        <v>58</v>
      </c>
      <c r="D10" s="16" t="s">
        <v>9</v>
      </c>
      <c r="E10" s="37">
        <v>-2061213.1272797743</v>
      </c>
      <c r="F10" s="37">
        <v>0</v>
      </c>
      <c r="G10" s="37"/>
      <c r="H10" s="17">
        <f t="shared" ref="H10:H20" si="0">+E10+F10</f>
        <v>-2061213.1272797743</v>
      </c>
    </row>
    <row r="11" spans="1:68" x14ac:dyDescent="0.25">
      <c r="A11" s="14">
        <f>MAX(A$8:A10)+1</f>
        <v>3</v>
      </c>
      <c r="B11" s="15">
        <v>282</v>
      </c>
      <c r="C11" s="15" t="s">
        <v>58</v>
      </c>
      <c r="D11" s="16" t="s">
        <v>10</v>
      </c>
      <c r="E11" s="37">
        <v>-14304819.103321634</v>
      </c>
      <c r="F11" s="37">
        <v>0</v>
      </c>
      <c r="G11" s="37"/>
      <c r="H11" s="17">
        <f t="shared" si="0"/>
        <v>-14304819.103321634</v>
      </c>
    </row>
    <row r="12" spans="1:68" x14ac:dyDescent="0.25">
      <c r="A12" s="14">
        <f>MAX(A$8:A11)+1</f>
        <v>4</v>
      </c>
      <c r="B12" s="15">
        <v>282</v>
      </c>
      <c r="C12" s="15" t="s">
        <v>58</v>
      </c>
      <c r="D12" s="16" t="s">
        <v>11</v>
      </c>
      <c r="E12" s="37">
        <v>16695826.330966173</v>
      </c>
      <c r="F12" s="37">
        <v>0</v>
      </c>
      <c r="G12" s="37"/>
      <c r="H12" s="17">
        <f t="shared" si="0"/>
        <v>16695826.330966173</v>
      </c>
    </row>
    <row r="13" spans="1:68" x14ac:dyDescent="0.25">
      <c r="A13" s="14">
        <f>MAX(A$8:A12)+1</f>
        <v>5</v>
      </c>
      <c r="B13" s="15">
        <v>282</v>
      </c>
      <c r="C13" s="15" t="s">
        <v>58</v>
      </c>
      <c r="D13" s="16" t="s">
        <v>12</v>
      </c>
      <c r="E13" s="37">
        <v>1236727.8763678644</v>
      </c>
      <c r="F13" s="37">
        <v>0</v>
      </c>
      <c r="G13" s="37"/>
      <c r="H13" s="17">
        <f t="shared" si="0"/>
        <v>1236727.8763678644</v>
      </c>
    </row>
    <row r="14" spans="1:68" x14ac:dyDescent="0.25">
      <c r="A14" s="14">
        <f>MAX(A$8:A13)+1</f>
        <v>6</v>
      </c>
      <c r="B14" s="15">
        <v>282</v>
      </c>
      <c r="C14" s="15" t="s">
        <v>58</v>
      </c>
      <c r="D14" s="20" t="s">
        <v>13</v>
      </c>
      <c r="E14" s="37">
        <v>-36318575.302669622</v>
      </c>
      <c r="F14" s="37">
        <f>-E14</f>
        <v>36318575.302669622</v>
      </c>
      <c r="G14" s="37"/>
      <c r="H14" s="17">
        <f t="shared" si="0"/>
        <v>0</v>
      </c>
    </row>
    <row r="15" spans="1:68" x14ac:dyDescent="0.25">
      <c r="A15" s="14">
        <f>MAX(A$8:A14)+1</f>
        <v>7</v>
      </c>
      <c r="B15" s="15">
        <v>282</v>
      </c>
      <c r="C15" s="15" t="s">
        <v>58</v>
      </c>
      <c r="D15" s="16" t="s">
        <v>14</v>
      </c>
      <c r="E15" s="37">
        <v>3421613.7912844252</v>
      </c>
      <c r="F15" s="37">
        <v>0</v>
      </c>
      <c r="G15" s="37"/>
      <c r="H15" s="17">
        <f t="shared" si="0"/>
        <v>3421613.7912844252</v>
      </c>
    </row>
    <row r="16" spans="1:68" x14ac:dyDescent="0.25">
      <c r="A16" s="14">
        <f>MAX(A$8:A15)+1</f>
        <v>8</v>
      </c>
      <c r="B16" s="15">
        <v>282</v>
      </c>
      <c r="C16" s="15" t="s">
        <v>58</v>
      </c>
      <c r="D16" s="25" t="s">
        <v>15</v>
      </c>
      <c r="E16" s="37">
        <v>21519065.048800845</v>
      </c>
      <c r="F16" s="37">
        <v>0</v>
      </c>
      <c r="G16" s="37"/>
      <c r="H16" s="17">
        <f t="shared" si="0"/>
        <v>21519065.048800845</v>
      </c>
    </row>
    <row r="17" spans="1:8" x14ac:dyDescent="0.25">
      <c r="A17" s="14">
        <f>MAX(A$8:A16)+1</f>
        <v>9</v>
      </c>
      <c r="B17" s="15">
        <v>282</v>
      </c>
      <c r="C17" s="15" t="s">
        <v>58</v>
      </c>
      <c r="D17" s="16" t="s">
        <v>16</v>
      </c>
      <c r="E17" s="37">
        <v>-288569.8378191684</v>
      </c>
      <c r="F17" s="37">
        <f>-E17</f>
        <v>288569.8378191684</v>
      </c>
      <c r="G17" s="37"/>
      <c r="H17" s="17">
        <f t="shared" si="0"/>
        <v>0</v>
      </c>
    </row>
    <row r="18" spans="1:8" x14ac:dyDescent="0.25">
      <c r="A18" s="14">
        <f>MAX(A$8:A17)+1</f>
        <v>10</v>
      </c>
      <c r="B18" s="15">
        <v>282</v>
      </c>
      <c r="C18" s="15" t="s">
        <v>58</v>
      </c>
      <c r="D18" s="16" t="s">
        <v>17</v>
      </c>
      <c r="E18" s="37">
        <v>0</v>
      </c>
      <c r="F18" s="37">
        <v>0</v>
      </c>
      <c r="G18" s="37"/>
      <c r="H18" s="17">
        <f t="shared" si="0"/>
        <v>0</v>
      </c>
    </row>
    <row r="19" spans="1:8" x14ac:dyDescent="0.25">
      <c r="A19" s="14">
        <f>MAX(A$8:A18)+1</f>
        <v>11</v>
      </c>
      <c r="B19" s="15">
        <v>282</v>
      </c>
      <c r="C19" s="15" t="s">
        <v>58</v>
      </c>
      <c r="D19" s="16" t="s">
        <v>18</v>
      </c>
      <c r="E19" s="37">
        <v>-364175135.3277905</v>
      </c>
      <c r="F19" s="37">
        <v>63020426</v>
      </c>
      <c r="G19" s="67" t="s">
        <v>66</v>
      </c>
      <c r="H19" s="17">
        <f t="shared" si="0"/>
        <v>-301154709.3277905</v>
      </c>
    </row>
    <row r="20" spans="1:8" x14ac:dyDescent="0.25">
      <c r="A20" s="14">
        <f>MAX(A$8:A19)+1</f>
        <v>12</v>
      </c>
      <c r="B20" s="15">
        <v>282</v>
      </c>
      <c r="C20" s="15" t="s">
        <v>58</v>
      </c>
      <c r="D20" s="20" t="s">
        <v>62</v>
      </c>
      <c r="E20" s="37">
        <v>4039977.7294683573</v>
      </c>
      <c r="F20" s="37">
        <v>0</v>
      </c>
      <c r="G20" s="37"/>
      <c r="H20" s="17">
        <f t="shared" si="0"/>
        <v>4039977.7294683573</v>
      </c>
    </row>
    <row r="21" spans="1:8" x14ac:dyDescent="0.25">
      <c r="A21" s="14"/>
      <c r="B21" s="15"/>
      <c r="C21" s="14"/>
      <c r="D21" s="16"/>
      <c r="E21" s="23"/>
      <c r="F21" s="23"/>
      <c r="G21" s="27"/>
      <c r="H21" s="23"/>
    </row>
    <row r="22" spans="1:8" ht="16.5" thickBot="1" x14ac:dyDescent="0.3">
      <c r="A22" s="14">
        <f>MAX(A$8:A20)+1</f>
        <v>13</v>
      </c>
      <c r="C22" s="26" t="s">
        <v>59</v>
      </c>
      <c r="E22" s="65">
        <f>SUM(E9:E21)</f>
        <v>-412283849.71850044</v>
      </c>
      <c r="F22" s="65">
        <f>SUM(F9:F21)</f>
        <v>99627571.140488788</v>
      </c>
      <c r="G22" s="65"/>
      <c r="H22" s="65">
        <f>SUM(H9:H21)</f>
        <v>-312656278.57801163</v>
      </c>
    </row>
    <row r="23" spans="1:8" ht="16.5" thickTop="1" x14ac:dyDescent="0.25">
      <c r="A23" s="80"/>
      <c r="B23" s="80"/>
      <c r="C23" s="81"/>
      <c r="D23" s="81"/>
      <c r="E23" s="81"/>
      <c r="F23" s="80"/>
      <c r="G23" s="80"/>
      <c r="H23" s="80"/>
    </row>
    <row r="24" spans="1:8" x14ac:dyDescent="0.25">
      <c r="C24" s="13"/>
      <c r="D24" s="13"/>
      <c r="E24" s="13"/>
    </row>
    <row r="25" spans="1:8" x14ac:dyDescent="0.25">
      <c r="B25" s="79" t="s">
        <v>70</v>
      </c>
      <c r="C25" s="13"/>
      <c r="D25" s="13"/>
      <c r="E25" s="13"/>
    </row>
    <row r="26" spans="1:8" x14ac:dyDescent="0.25">
      <c r="C26" s="13"/>
      <c r="D26" s="13"/>
      <c r="E26" s="13"/>
    </row>
    <row r="27" spans="1:8" x14ac:dyDescent="0.25">
      <c r="C27" s="13"/>
      <c r="D27" s="13"/>
      <c r="E27" s="13"/>
    </row>
    <row r="28" spans="1:8" x14ac:dyDescent="0.25">
      <c r="C28" s="13"/>
      <c r="D28" s="13"/>
      <c r="E28" s="13"/>
    </row>
  </sheetData>
  <mergeCells count="5">
    <mergeCell ref="B8:D8"/>
    <mergeCell ref="A1:H1"/>
    <mergeCell ref="A2:H2"/>
    <mergeCell ref="A5:A6"/>
    <mergeCell ref="B5:C5"/>
  </mergeCells>
  <pageMargins left="0.2" right="0.2" top="0.75" bottom="0.75" header="0.3" footer="0.3"/>
  <pageSetup scale="96" orientation="landscape" r:id="rId1"/>
  <headerFooter>
    <oddHeader>&amp;RPUCO CaseNo. 15-795-EL-RDR
Attachment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Props1.xml><?xml version="1.0" encoding="utf-8"?>
<ds:datastoreItem xmlns:ds="http://schemas.openxmlformats.org/officeDocument/2006/customXml" ds:itemID="{1E97D727-E979-4C07-880A-40BADCF72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ABE00E-FF97-4552-BDD9-F8A32851B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EC3E24-2687-4B81-B2BB-20CB1E0720D9}">
  <ds:schemaRefs>
    <ds:schemaRef ds:uri="http://purl.org/dc/elements/1.1/"/>
    <ds:schemaRef ds:uri="http://purl.org/dc/dcmitype/"/>
    <ds:schemaRef ds:uri="http://schemas.microsoft.com/office/2006/metadata/properties"/>
    <ds:schemaRef ds:uri="e48392ff-e111-4ddb-bb98-e239aebbafc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f0100b5-1501-4fd1-abc2-4edbffacf3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Rev Req Summary</vt:lpstr>
      <vt:lpstr>13 month average calc</vt:lpstr>
      <vt:lpstr>Depr and ADIT</vt:lpstr>
      <vt:lpstr>Plant Data (Mar15)</vt:lpstr>
      <vt:lpstr>Accum Depr (Mar15)</vt:lpstr>
      <vt:lpstr>Accum Def Inc Tax (Mar15)</vt:lpstr>
      <vt:lpstr>'Plant Data (Mar15)'!Print_Area</vt:lpstr>
      <vt:lpstr>'Rev Req Summary'!Print_Area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UL-60 Pipeline Rev Req</dc:subject>
  <dc:creator>T19577</dc:creator>
  <cp:lastModifiedBy>Brown, Jay P</cp:lastModifiedBy>
  <cp:lastPrinted>2021-07-12T20:07:16Z</cp:lastPrinted>
  <dcterms:created xsi:type="dcterms:W3CDTF">2013-09-30T17:41:08Z</dcterms:created>
  <dcterms:modified xsi:type="dcterms:W3CDTF">2021-07-13T15:16:32Z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