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CB08559C-17B5-454B-AE1B-F0ED017CB08A}" xr6:coauthVersionLast="45" xr6:coauthVersionMax="45" xr10:uidLastSave="{00000000-0000-0000-0000-000000000000}"/>
  <bookViews>
    <workbookView xWindow="-108" yWindow="-108" windowWidth="23256" windowHeight="12576" tabRatio="599" firstSheet="4" activeTab="2" xr2:uid="{00000000-000D-0000-FFFF-FFFF00000000}"/>
  </bookViews>
  <sheets>
    <sheet name="INPUT" sheetId="1" r:id="rId1"/>
    <sheet name="PRINT" sheetId="2" r:id="rId2"/>
    <sheet name="SCH M" sheetId="3" r:id="rId3"/>
    <sheet name="SCH M-2.1" sheetId="4" r:id="rId4"/>
    <sheet name="SCH M-2.2" sheetId="5" r:id="rId5"/>
    <sheet name="SCH M-2.3" sheetId="6" r:id="rId6"/>
    <sheet name="Rate RS" sheetId="7" r:id="rId7"/>
    <sheet name="Rate GS COM" sheetId="8" r:id="rId8"/>
    <sheet name="Rate GS IND" sheetId="9" r:id="rId9"/>
    <sheet name="Rate GS OPA" sheetId="10" r:id="rId10"/>
    <sheet name="Rate FT-LG" sheetId="11" r:id="rId11"/>
    <sheet name="Rate IT" sheetId="12" r:id="rId12"/>
    <sheet name="SCH N" sheetId="13" r:id="rId13"/>
    <sheet name="Revenue Requirements" sheetId="15" r:id="rId14"/>
    <sheet name="Proposed Rates" sheetId="16" r:id="rId15"/>
    <sheet name="Avg Incr" sheetId="18" r:id="rId16"/>
    <sheet name="Module1" sheetId="14" state="veryHidden" r:id="rId17"/>
  </sheets>
  <externalReferences>
    <externalReference r:id="rId18"/>
  </externalReferences>
  <definedNames>
    <definedName name="_Fill" localSheetId="15" hidden="1">'Avg Incr'!#REF!</definedName>
    <definedName name="_Fill" localSheetId="10" hidden="1">'Rate FT-LG'!$AR$827:$AR$844</definedName>
    <definedName name="_Fill" localSheetId="7" hidden="1">'Rate GS COM'!#REF!</definedName>
    <definedName name="_Fill" localSheetId="8" hidden="1">'Rate GS IND'!$AR$833:$AR$850</definedName>
    <definedName name="_Fill" localSheetId="9" hidden="1">'Rate GS OPA'!$AR$875:$AR$892</definedName>
    <definedName name="_Fill" localSheetId="11" hidden="1">'Rate IT'!$AR$879:$AR$896</definedName>
    <definedName name="_Fill" localSheetId="6" hidden="1">'Rate RS'!#REF!</definedName>
    <definedName name="_Fill" localSheetId="2" hidden="1">'SCH M'!#REF!</definedName>
    <definedName name="_Fill" localSheetId="3" hidden="1">'SCH M-2.1'!#REF!</definedName>
    <definedName name="_Fill" localSheetId="4" hidden="1">'SCH M-2.2'!#REF!</definedName>
    <definedName name="_Fill" localSheetId="5" hidden="1">'SCH M-2.3'!#REF!</definedName>
    <definedName name="_Fill" hidden="1">'SCH N'!#REF!</definedName>
    <definedName name="_Regression_Int" localSheetId="10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6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SE">INPUT!$B$7</definedName>
    <definedName name="CASE_NO">[1]INPUT!$B$11</definedName>
    <definedName name="COMPANY">INPUT!$B$6</definedName>
    <definedName name="CUR_ASRP_DGS">INPUT!#REF!</definedName>
    <definedName name="CUR_ASRP_FTL">INPUT!#REF!</definedName>
    <definedName name="CUR_ASRP_GS">INPUT!#REF!</definedName>
    <definedName name="CUR_ASRP_IT">INPUT!#REF!</definedName>
    <definedName name="CUR_ASRP_RS">INPUT!#REF!</definedName>
    <definedName name="CUR_ASRP_SSIT">INPUT!#REF!</definedName>
    <definedName name="CUR_BASE_FUEL">[1]INPUT!$C$20</definedName>
    <definedName name="CUR_DCI">[1]INPUT!$C$171</definedName>
    <definedName name="CUR_DCI_DIST">[1]INPUT!$C$172</definedName>
    <definedName name="CUR_DCI_DTP">[1]INPUT!$C$173</definedName>
    <definedName name="CUR_DCI_DTS">[1]INPUT!$C$174</definedName>
    <definedName name="CUR_DCI_EH">[1]INPUT!$C$175</definedName>
    <definedName name="CUR_DCI_GSFL">[1]INPUT!$C$177</definedName>
    <definedName name="CUR_DCI_SL">[1]INPUT!$C$180</definedName>
    <definedName name="CUR_DCI_SP">[1]INPUT!$C$176</definedName>
    <definedName name="CUR_DP_CST">'[1]Rate DP'!$AC$79</definedName>
    <definedName name="CUR_DP_DEMAND">'[1]Rate DP'!$AC$83</definedName>
    <definedName name="CUR_DP_KWH1">'[1]Rate DP'!$AC$87</definedName>
    <definedName name="CUR_DP_KWH2">'[1]Rate DP'!$AC$88</definedName>
    <definedName name="CUR_DS_CST_2">'[1]Rate DS'!$AC$85</definedName>
    <definedName name="CUR_DS_DEM_1">'[1]Rate DS'!$AC$89</definedName>
    <definedName name="CUR_DS_DEM_3">'[1]Rate DS'!$AC$90</definedName>
    <definedName name="CUR_DS_KWH_1">'[1]Rate DS'!$AC$94</definedName>
    <definedName name="CUR_DS_KWH_2">'[1]Rate DS'!$AC$95</definedName>
    <definedName name="CUR_DS_KWH_3">'[1]Rate DS'!$AC$96</definedName>
    <definedName name="CUR_DT_SEC_CST3">'[1]Rate DT-Sec'!$AC$94</definedName>
    <definedName name="CUR_DT_SEC_DEMOFF">'[1]Rate DT-Sec'!$AC$99</definedName>
    <definedName name="CUR_DT_SEC_DEMON">'[1]Rate DT-Sec'!$AC$98</definedName>
    <definedName name="CUR_DT_SUM_E_OFF">'[1]Rate DT-Pri'!$AC$107</definedName>
    <definedName name="CUR_DT_SUM_E_ON">'[1]Rate DT-Pri'!$AC$106</definedName>
    <definedName name="CUR_DT_SUM_PEAK_ON">'[1]Rate DT-Pri'!$AC$98</definedName>
    <definedName name="CUR_DT_SUM_PK_OFF">'[1]Rate DT-Pri'!$AC$99</definedName>
    <definedName name="CUR_DT_WIN_E_ON">'[1]Rate DT-Pri'!$AC$123</definedName>
    <definedName name="CUR_DT_WIN_PEAK_ON">'[1]Rate DT-Pri'!$AC$115</definedName>
    <definedName name="CUR_DT_WIN_PK_OFF">'[1]Rate DT-Pri'!$AC$116</definedName>
    <definedName name="CUR_EH_CST_2">'[1]Rate EH'!$AC$75</definedName>
    <definedName name="CUR_EH_KWH_1">'[1]Rate EH'!$AC$83</definedName>
    <definedName name="CUR_ESM">[1]INPUT!$C$168</definedName>
    <definedName name="CUR_FAC">[1]INPUT!$C$19</definedName>
    <definedName name="CUR_FTL_COM">INPUT!$C$45</definedName>
    <definedName name="CUR_FTL_CUST">INPUT!$C$44</definedName>
    <definedName name="CUR_FTL_GCAT">INPUT!$C$29</definedName>
    <definedName name="CUR_FTR_DIST">[1]INPUT!$C$186</definedName>
    <definedName name="CUR_FTR_DP">[1]INPUT!$C$192</definedName>
    <definedName name="CUR_FTR_DTP">[1]INPUT!$C$187</definedName>
    <definedName name="CUR_FTR_DTS">[1]INPUT!$C$188</definedName>
    <definedName name="CUR_FTR_EH">[1]INPUT!$C$189</definedName>
    <definedName name="CUR_FTR_GSFL">[1]INPUT!$C$191</definedName>
    <definedName name="CUR_FTR_RES">[1]INPUT!$C$185</definedName>
    <definedName name="CUR_FTR_SL">[1]INPUT!$C$194</definedName>
    <definedName name="CUR_FTR_SP">[1]INPUT!$C$190</definedName>
    <definedName name="CUR_FTR_TT">[1]INPUT!$C$193</definedName>
    <definedName name="CUR_GS">INPUT!$C$41</definedName>
    <definedName name="CUR_GS_CUST">INPUT!$C$40</definedName>
    <definedName name="CUR_GS_DSM">INPUT!$C$24</definedName>
    <definedName name="CUR_INT_CHG">INPUT!$C$32</definedName>
    <definedName name="CUR_IT_COM">INPUT!$C$49</definedName>
    <definedName name="CUR_IT_CUST">INPUT!$C$48</definedName>
    <definedName name="CUR_RS">INPUT!$C$37</definedName>
    <definedName name="CUR_RS_CUST">INPUT!$C$36</definedName>
    <definedName name="CUR_RS_DSM">INPUT!$C$23</definedName>
    <definedName name="CUR_RS_ENERGY">'[1]Rate RS'!$AB$69</definedName>
    <definedName name="CUR_RS_HEA">INPUT!$C$22</definedName>
    <definedName name="CUR_TT_KWH">[1]INPUT!$C$124</definedName>
    <definedName name="CUR_TT_SUM_CST">'[1]Rate TT'!$AC$86</definedName>
    <definedName name="CUR_TT_SUM_PEAK">'[1]Rate TT'!$AC$89</definedName>
    <definedName name="CUR_TT_SUM_PK_OFF">'[1]Rate TT'!$AC$90</definedName>
    <definedName name="CUR_TT_WIN_CST">'[1]Rate TT'!$AC$100</definedName>
    <definedName name="CUR_TT_WIN_PEAK">'[1]Rate TT'!$AC$103</definedName>
    <definedName name="CUR_TT_WIN_PK_OFF">'[1]Rate TT'!$AC$104</definedName>
    <definedName name="DATA_PERIOD">INPUT!$B$12:$F$12</definedName>
    <definedName name="DATA_TYPE">INPUT!$B$12</definedName>
    <definedName name="DATE">[1]INPUT!$B$10</definedName>
    <definedName name="DCI_Name">[1]INPUT!$B$200</definedName>
    <definedName name="DSM_DIST">[1]INPUT!$C$30</definedName>
    <definedName name="DSM_RES">[1]INPUT!$C$29</definedName>
    <definedName name="DSM_RS_CUST">[1]INPUT!$J$29</definedName>
    <definedName name="DSM_TRANS">[1]INPUT!$C$31</definedName>
    <definedName name="DSMR_Name">[1]INPUT!$B$198</definedName>
    <definedName name="EGC">INPUT!$C$18</definedName>
    <definedName name="ESM_Name">[1]INPUT!$B$199</definedName>
    <definedName name="FAC_Name">[1]INPUT!$B$201</definedName>
    <definedName name="FILING_TYPE">INPUT!$B$13</definedName>
    <definedName name="FTR_Name">[1]INPUT!$B$202</definedName>
    <definedName name="GCR">INPUT!$C$17</definedName>
    <definedName name="HEA_Name">[1]INPUT!$B$197</definedName>
    <definedName name="Migration_CC">'Proposed Rates'!$C$29</definedName>
    <definedName name="NAME">[1]INPUT!$B$8</definedName>
    <definedName name="PERIOD">INPUT!$E$17</definedName>
    <definedName name="_xlnm.Print_Area" localSheetId="15">'Avg Incr'!$A$11:$N$18</definedName>
    <definedName name="_xlnm.Print_Area" localSheetId="10">'Rate FT-LG'!$T$38:$AP$75</definedName>
    <definedName name="_xlnm.Print_Area" localSheetId="7">'Rate GS COM'!$A$1:$R$42</definedName>
    <definedName name="_xlnm.Print_Area" localSheetId="8">'Rate GS IND'!$A$1:$R$42</definedName>
    <definedName name="_xlnm.Print_Area" localSheetId="9">'Rate GS OPA'!$A$1:$R$42</definedName>
    <definedName name="_xlnm.Print_Area" localSheetId="11">'Rate IT'!$A$1:$R$36</definedName>
    <definedName name="_xlnm.Print_Area" localSheetId="6">'Rate RS'!$A$1:$R$43</definedName>
    <definedName name="_xlnm.Print_Area" localSheetId="2">'SCH M'!$A$1:$K$51</definedName>
    <definedName name="_xlnm.Print_Area" localSheetId="3">'SCH M-2.1'!$A$1:$T$41</definedName>
    <definedName name="_xlnm.Print_Area" localSheetId="4">'SCH M-2.2'!$A$1:$X$53</definedName>
    <definedName name="_xlnm.Print_Area" localSheetId="5">'SCH M-2.3'!$A$1:$R$55</definedName>
    <definedName name="_xlnm.Print_Area" localSheetId="12">'SCH N'!$A$54:$Q$108</definedName>
    <definedName name="PRO_ASRP_DGS">INPUT!#REF!</definedName>
    <definedName name="PRO_ASRP_FTL">INPUT!#REF!</definedName>
    <definedName name="PRO_ASRP_GS">INPUT!#REF!</definedName>
    <definedName name="PRO_ASRP_IT">INPUT!#REF!</definedName>
    <definedName name="PRO_ASRP_RS">INPUT!#REF!</definedName>
    <definedName name="PRO_ASRP_SSIT">INPUT!#REF!</definedName>
    <definedName name="PRO_BASE_FUEL">[1]INPUT!$D$20</definedName>
    <definedName name="PRO_DCI">[1]INPUT!$D$171</definedName>
    <definedName name="PRO_DCI_DIST">[1]INPUT!$D$172</definedName>
    <definedName name="PRO_DCI_DP">[1]INPUT!$D$178</definedName>
    <definedName name="PRO_DCI_DTP">[1]INPUT!$D$173</definedName>
    <definedName name="PRO_DCI_DTS">[1]INPUT!$D$174</definedName>
    <definedName name="PRO_DCI_EH">[1]INPUT!$D$175</definedName>
    <definedName name="PRO_DCI_GSFL">[1]INPUT!$D$177</definedName>
    <definedName name="PRO_DCI_SL">[1]INPUT!$D$180</definedName>
    <definedName name="PRO_DCI_SP">[1]INPUT!$D$176</definedName>
    <definedName name="PRO_DP_CST">'[1]Rate DP'!$J$25</definedName>
    <definedName name="PRO_DP_DEMAND">'[1]Rate DP'!$J$29</definedName>
    <definedName name="PRO_DP_KWH1">'[1]Rate DP'!$J$33</definedName>
    <definedName name="PRO_DP_KWH2">'[1]Rate DP'!$J$34</definedName>
    <definedName name="PRO_DS_CST_2">'[1]Rate DS'!$J$27</definedName>
    <definedName name="PRO_DS_DEM_1">'[1]Rate DS'!$J$31</definedName>
    <definedName name="PRO_DS_DEM_3">'[1]Rate DS'!$J$32</definedName>
    <definedName name="PRO_DS_KWH_1">'[1]Rate DS'!$J$36</definedName>
    <definedName name="PRO_DS_KWH_2">'[1]Rate DS'!$J$37</definedName>
    <definedName name="PRO_DS_KWH_3">'[1]Rate DS'!$J$38</definedName>
    <definedName name="PRO_DSM_DIST">[1]INPUT!$D$30</definedName>
    <definedName name="PRO_DSM_RES">[1]INPUT!$D$29</definedName>
    <definedName name="PRO_DSM_TRANS">[1]INPUT!$D$31</definedName>
    <definedName name="PRO_DT_SEC_CST3">'[1]Rate DT-Sec'!$J$24</definedName>
    <definedName name="PRO_DT_SUM_E_OFF">'[1]Rate DT-Pri'!$J$35</definedName>
    <definedName name="PRO_DT_SUM_E_ON">'[1]Rate DT-Pri'!$J$34</definedName>
    <definedName name="PRO_DT_SUM_PEAK">'[1]Rate DT-Pri'!$J$26</definedName>
    <definedName name="PRO_DT_SUM_PK_OFF">'[1]Rate DT-Pri'!$J$27</definedName>
    <definedName name="PRO_DT_WIN_E_OFF">'[1]Rate DT-Pri'!$J$52</definedName>
    <definedName name="PRO_DT_WIN_E_ON">'[1]Rate DT-Pri'!$J$51</definedName>
    <definedName name="PRO_DT_WIN_PEAK">'[1]Rate DT-Pri'!$J$43</definedName>
    <definedName name="PRO_DT_WIN_PK_OFF">'[1]Rate DT-Pri'!$J$44</definedName>
    <definedName name="PRO_EH_CST_2">'[1]Rate EH'!$J$25</definedName>
    <definedName name="PRO_EH_KWH_1">'[1]Rate EH'!$J$33</definedName>
    <definedName name="PRO_ESM">[1]INPUT!$D$168</definedName>
    <definedName name="PRO_FAC">[1]INPUT!$D$19</definedName>
    <definedName name="PRO_FTL_COM">INPUT!$D$45</definedName>
    <definedName name="PRO_FTL_CUST">INPUT!$D$44</definedName>
    <definedName name="PRO_FTL_GCAT">INPUT!$D$29</definedName>
    <definedName name="PRO_FTR_DIST">[1]INPUT!$D$186</definedName>
    <definedName name="PRO_FTR_DP">[1]INPUT!$D$192</definedName>
    <definedName name="PRO_FTR_DTP">[1]INPUT!$D$187</definedName>
    <definedName name="PRO_FTR_DTS">[1]INPUT!$D$188</definedName>
    <definedName name="PRO_FTR_EH">[1]INPUT!$D$189</definedName>
    <definedName name="PRO_FTR_GSFL">[1]INPUT!$D$191</definedName>
    <definedName name="PRO_FTR_RES">[1]INPUT!$D$185</definedName>
    <definedName name="PRO_FTR_SL">[1]INPUT!$D$194</definedName>
    <definedName name="PRO_FTR_SP">[1]INPUT!$D$190</definedName>
    <definedName name="PRO_FTR_TT">[1]INPUT!$D$193</definedName>
    <definedName name="PRO_GS">INPUT!$D$41</definedName>
    <definedName name="PRO_GS_CUST">INPUT!$D$40</definedName>
    <definedName name="PRO_GS_DSM">INPUT!$D$24</definedName>
    <definedName name="PRO_IND_CHG">INPUT!$D$32</definedName>
    <definedName name="PRO_IT_COM">INPUT!$D$49</definedName>
    <definedName name="PRO_IT_CUST">INPUT!$D$48</definedName>
    <definedName name="PRO_PSM">[1]INPUT!$D$34</definedName>
    <definedName name="PRO_RS_COM">INPUT!$D$37</definedName>
    <definedName name="PRO_RS_CUST">INPUT!$D$36</definedName>
    <definedName name="PRO_RS_DSM">INPUT!$D$23</definedName>
    <definedName name="PRO_RS_ENERGY">'[1]Rate RS'!$J$26</definedName>
    <definedName name="PRO_RS_HEA">INPUT!$D$22</definedName>
    <definedName name="PRO_SUM_TT_ON_KWH">[1]INPUT!$D$124</definedName>
    <definedName name="PRO_TT_OFF">[1]INPUT!$D$126</definedName>
    <definedName name="PRO_TT_SUM_CST">'[1]Rate TT'!$J$21</definedName>
    <definedName name="PRO_TT_SUM_PEAK">'[1]Rate TT'!$J$24</definedName>
    <definedName name="PRO_TT_SUM_PK_OFF">'[1]Rate TT'!$J$25</definedName>
    <definedName name="PRO_TT_WIN_CST">'[1]Rate TT'!$J$35</definedName>
    <definedName name="PRO_TT_WIN_PEAK">'[1]Rate TT'!$J$38</definedName>
    <definedName name="PRO_TT_WIN_PK_OFF">'[1]Rate TT'!$J$39</definedName>
    <definedName name="PRO_WIN_TT_ON_KWH">[1]INPUT!$D$125</definedName>
    <definedName name="PSM_Name">[1]INPUT!$B$203</definedName>
    <definedName name="RS_PSM">[1]INPUT!$C$34</definedName>
    <definedName name="SCH_M">'SCH M'!$A$1:$K$51</definedName>
    <definedName name="SCH_M_2.1">'SCH M-2.1'!$A$1:$T$41</definedName>
    <definedName name="SCH_M_2.2PG1">'SCH M-2.2'!$A$1:$X$53</definedName>
    <definedName name="SCH_M_2.2PG2">'Rate RS'!$T$42:$AP$84</definedName>
    <definedName name="SCH_M_2.2PG3">'Rate GS COM'!$T$41:$AP$82</definedName>
    <definedName name="SCH_M_2.2PG4">'Rate GS IND'!$T$46:$AP$87</definedName>
    <definedName name="SCH_M_2.2PG5">'Rate GS OPA'!$T$43:$AP$84</definedName>
    <definedName name="SCH_M_2.2PG6">'Rate FT-LG'!$T$38:$AP$75</definedName>
    <definedName name="SCH_M_2.2PG7">'Rate IT'!$T$41:$AP$76</definedName>
    <definedName name="SCH_M_2.3PG1">'SCH M-2.3'!$A$1:$R$55</definedName>
    <definedName name="SCH_M_2.3PG2">'Rate RS'!$A$1:$R$43</definedName>
    <definedName name="SCH_M_2.3PG3">'Rate GS COM'!$A$1:$R$42</definedName>
    <definedName name="SCH_M_2.3PG4">'Rate GS IND'!$A$1:$R$42</definedName>
    <definedName name="SCH_M_2.3PG5">'Rate GS OPA'!$A$1:$R$42</definedName>
    <definedName name="SCH_M_2.3PG6">'Rate FT-LG'!$A$1:$R$37</definedName>
    <definedName name="SCH_M_2.3PG7">'Rate IT'!$A$1:$R$36</definedName>
    <definedName name="SCH_N_1" localSheetId="15">'Avg Incr'!$A$1:$K$10</definedName>
    <definedName name="SCH_N_1">'SCH N'!$A$1:$N$53</definedName>
    <definedName name="SCH_N_2" localSheetId="15">'Avg Incr'!$A$11:$N$18</definedName>
    <definedName name="SCH_N_2">'SCH N'!$A$54:$Q$108</definedName>
    <definedName name="SERV_TYPE">INPUT!$C$11</definedName>
    <definedName name="SERVICE">[1]INPUT!$D$12</definedName>
    <definedName name="TIME">INPUT!$B$4</definedName>
    <definedName name="TIME_PERIOD">INPUT!$B$9</definedName>
    <definedName name="TITLE">[1]INPUT!$B$15</definedName>
    <definedName name="TITLE1">INPUT!$B$8</definedName>
    <definedName name="TYPE">[1]INPUT!$B$14</definedName>
    <definedName name="WIT">INPUT!$C$15</definedName>
    <definedName name="Z_B7519FF1_05A6_4A79_8E47_A233872313D4_.wvu.PrintArea" localSheetId="15" hidden="1">'Avg Incr'!$A$11:$N$18</definedName>
    <definedName name="Z_B7519FF1_05A6_4A79_8E47_A233872313D4_.wvu.PrintArea" localSheetId="10" hidden="1">'Rate FT-LG'!$A$1:$R$37</definedName>
    <definedName name="Z_B7519FF1_05A6_4A79_8E47_A233872313D4_.wvu.PrintArea" localSheetId="7" hidden="1">'Rate GS COM'!$A$1:$R$42</definedName>
    <definedName name="Z_B7519FF1_05A6_4A79_8E47_A233872313D4_.wvu.PrintArea" localSheetId="8" hidden="1">'Rate GS IND'!$A$1:$R$42</definedName>
    <definedName name="Z_B7519FF1_05A6_4A79_8E47_A233872313D4_.wvu.PrintArea" localSheetId="9" hidden="1">'Rate GS OPA'!$A$1:$R$42</definedName>
    <definedName name="Z_B7519FF1_05A6_4A79_8E47_A233872313D4_.wvu.PrintArea" localSheetId="11" hidden="1">'Rate IT'!$A$1:$R$36</definedName>
    <definedName name="Z_B7519FF1_05A6_4A79_8E47_A233872313D4_.wvu.PrintArea" localSheetId="6" hidden="1">'Rate RS'!$A$1:$R$43</definedName>
    <definedName name="Z_B7519FF1_05A6_4A79_8E47_A233872313D4_.wvu.PrintArea" localSheetId="2" hidden="1">'SCH M'!$A$1:$K$51</definedName>
    <definedName name="Z_B7519FF1_05A6_4A79_8E47_A233872313D4_.wvu.PrintArea" localSheetId="3" hidden="1">'SCH M-2.1'!$A$1:$T$41</definedName>
    <definedName name="Z_B7519FF1_05A6_4A79_8E47_A233872313D4_.wvu.PrintArea" localSheetId="4" hidden="1">'SCH M-2.2'!$A$1:$X$53</definedName>
    <definedName name="Z_B7519FF1_05A6_4A79_8E47_A233872313D4_.wvu.PrintArea" localSheetId="5" hidden="1">'SCH M-2.3'!$A$1:$R$55</definedName>
    <definedName name="Z_B7519FF1_05A6_4A79_8E47_A233872313D4_.wvu.PrintArea" localSheetId="12" hidden="1">'SCH N'!$A$54:$Q$108</definedName>
  </definedNames>
  <calcPr calcId="191029"/>
  <customWorkbookViews>
    <customWorkbookView name="ramshof - Personal View" guid="{B7519FF1-05A6-4A79-8E47-A233872313D4}" mergeInterval="0" personalView="1" maximized="1" xWindow="1" yWindow="1" windowWidth="1280" windowHeight="833" tabRatio="5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3" i="1"/>
  <c r="C23" i="1"/>
  <c r="F92" i="13" l="1"/>
  <c r="L92" i="13" s="1"/>
  <c r="F93" i="13"/>
  <c r="L93" i="13" s="1"/>
  <c r="F94" i="13"/>
  <c r="L94" i="13" s="1"/>
  <c r="F95" i="13"/>
  <c r="L95" i="13" s="1"/>
  <c r="F96" i="13"/>
  <c r="L96" i="13" s="1"/>
  <c r="F97" i="13"/>
  <c r="L97" i="13" s="1"/>
  <c r="F98" i="13"/>
  <c r="L98" i="13" s="1"/>
  <c r="F99" i="13"/>
  <c r="L99" i="13" s="1"/>
  <c r="F100" i="13"/>
  <c r="L100" i="13" s="1"/>
  <c r="F101" i="13"/>
  <c r="L101" i="13" s="1"/>
  <c r="F102" i="13"/>
  <c r="L102" i="13" s="1"/>
  <c r="F91" i="13"/>
  <c r="L91" i="13" s="1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75" i="13"/>
  <c r="C16" i="18" l="1"/>
  <c r="D16" i="18" s="1"/>
  <c r="I16" i="18" s="1"/>
  <c r="C14" i="18"/>
  <c r="D14" i="18" s="1"/>
  <c r="I14" i="18" s="1"/>
  <c r="C13" i="18"/>
  <c r="C12" i="18"/>
  <c r="B12" i="18" s="1"/>
  <c r="C11" i="18"/>
  <c r="B11" i="18" s="1"/>
  <c r="C10" i="18"/>
  <c r="B10" i="18" s="1"/>
  <c r="C9" i="18"/>
  <c r="B9" i="18" s="1"/>
  <c r="E16" i="18" l="1"/>
  <c r="B14" i="18"/>
  <c r="B13" i="18"/>
  <c r="D11" i="18"/>
  <c r="D12" i="18"/>
  <c r="D10" i="18"/>
  <c r="B16" i="18" l="1"/>
  <c r="J16" i="18"/>
  <c r="K16" i="18" s="1"/>
  <c r="F16" i="18"/>
  <c r="G16" i="18" s="1"/>
  <c r="D4" i="1"/>
  <c r="V75" i="11"/>
  <c r="L32" i="11"/>
  <c r="G27" i="16" l="1"/>
  <c r="K21" i="16" l="1"/>
  <c r="K32" i="16"/>
  <c r="L39" i="6" l="1"/>
  <c r="AB65" i="12" l="1"/>
  <c r="AB62" i="12"/>
  <c r="AB62" i="11"/>
  <c r="AB59" i="11"/>
  <c r="AB67" i="8"/>
  <c r="AB64" i="8"/>
  <c r="D36" i="1" l="1"/>
  <c r="D40" i="1"/>
  <c r="D44" i="1"/>
  <c r="D48" i="1"/>
  <c r="F37" i="13" l="1"/>
  <c r="F38" i="13"/>
  <c r="F39" i="13"/>
  <c r="F40" i="13"/>
  <c r="F41" i="13"/>
  <c r="F42" i="13"/>
  <c r="F43" i="13"/>
  <c r="F44" i="13"/>
  <c r="F45" i="13"/>
  <c r="F46" i="13"/>
  <c r="F47" i="13"/>
  <c r="F48" i="13"/>
  <c r="F36" i="13"/>
  <c r="C104" i="13" l="1"/>
  <c r="D24" i="1"/>
  <c r="C24" i="1"/>
  <c r="D22" i="1"/>
  <c r="C22" i="1"/>
  <c r="D9" i="18" s="1"/>
  <c r="A1" i="1"/>
  <c r="K82" i="13" l="1"/>
  <c r="K83" i="13"/>
  <c r="K84" i="13"/>
  <c r="K76" i="13"/>
  <c r="K77" i="13"/>
  <c r="K85" i="13"/>
  <c r="K78" i="13"/>
  <c r="K86" i="13"/>
  <c r="K79" i="13"/>
  <c r="K87" i="13"/>
  <c r="K88" i="13"/>
  <c r="K80" i="13"/>
  <c r="K81" i="13"/>
  <c r="K75" i="13"/>
  <c r="D13" i="18"/>
  <c r="I13" i="18" s="1"/>
  <c r="F21" i="13"/>
  <c r="F29" i="13"/>
  <c r="F27" i="13"/>
  <c r="F22" i="13"/>
  <c r="F30" i="13"/>
  <c r="F23" i="13"/>
  <c r="F31" i="13"/>
  <c r="F20" i="13"/>
  <c r="F24" i="13"/>
  <c r="F32" i="13"/>
  <c r="F28" i="13"/>
  <c r="F25" i="13"/>
  <c r="F33" i="13"/>
  <c r="F26" i="13"/>
  <c r="L81" i="13" l="1"/>
  <c r="L86" i="13"/>
  <c r="L78" i="13"/>
  <c r="L75" i="13"/>
  <c r="L85" i="13"/>
  <c r="L77" i="13"/>
  <c r="L76" i="13"/>
  <c r="L80" i="13"/>
  <c r="L88" i="13"/>
  <c r="L84" i="13"/>
  <c r="L87" i="13"/>
  <c r="L83" i="13"/>
  <c r="L79" i="13"/>
  <c r="L82" i="13"/>
  <c r="T79" i="10"/>
  <c r="T77" i="10"/>
  <c r="T75" i="10"/>
  <c r="T82" i="9"/>
  <c r="T80" i="9"/>
  <c r="T78" i="9"/>
  <c r="T77" i="8"/>
  <c r="T75" i="8"/>
  <c r="T73" i="8"/>
  <c r="T79" i="7"/>
  <c r="T77" i="7"/>
  <c r="T75" i="7"/>
  <c r="H9" i="18" l="1"/>
  <c r="I9" i="18" s="1"/>
  <c r="H12" i="18"/>
  <c r="I12" i="18" s="1"/>
  <c r="H10" i="18"/>
  <c r="I10" i="18" s="1"/>
  <c r="H11" i="18"/>
  <c r="I11" i="18" s="1"/>
  <c r="L41" i="5"/>
  <c r="T41" i="5" s="1"/>
  <c r="C51" i="13"/>
  <c r="P27" i="10"/>
  <c r="O17" i="16"/>
  <c r="J22" i="12"/>
  <c r="O10" i="16"/>
  <c r="O8" i="16"/>
  <c r="K17" i="16"/>
  <c r="J22" i="11"/>
  <c r="K10" i="16"/>
  <c r="K8" i="16"/>
  <c r="G17" i="16"/>
  <c r="G10" i="16"/>
  <c r="G8" i="16"/>
  <c r="C11" i="15" l="1"/>
  <c r="G7" i="16"/>
  <c r="G9" i="16" s="1"/>
  <c r="G11" i="16" s="1"/>
  <c r="G12" i="16" s="1"/>
  <c r="G13" i="16" s="1"/>
  <c r="G21" i="16"/>
  <c r="J24" i="8" l="1"/>
  <c r="K7" i="16"/>
  <c r="K9" i="16" s="1"/>
  <c r="K11" i="16" s="1"/>
  <c r="K12" i="16" s="1"/>
  <c r="K13" i="16" s="1"/>
  <c r="H29" i="15"/>
  <c r="C17" i="16"/>
  <c r="C10" i="16"/>
  <c r="C8" i="16"/>
  <c r="N3" i="16"/>
  <c r="N2" i="16"/>
  <c r="J3" i="16"/>
  <c r="J2" i="16"/>
  <c r="F3" i="16"/>
  <c r="F2" i="16"/>
  <c r="B3" i="16"/>
  <c r="B2" i="16"/>
  <c r="M15" i="15"/>
  <c r="M14" i="15"/>
  <c r="G15" i="15"/>
  <c r="G14" i="15"/>
  <c r="G11" i="15"/>
  <c r="M11" i="15" s="1"/>
  <c r="G10" i="15"/>
  <c r="M10" i="15" s="1"/>
  <c r="B3" i="15"/>
  <c r="G3" i="15" s="1"/>
  <c r="B4" i="15"/>
  <c r="G4" i="15" s="1"/>
  <c r="G7" i="15" l="1"/>
  <c r="M6" i="15"/>
  <c r="C14" i="15" l="1"/>
  <c r="C19" i="16" l="1"/>
  <c r="C7" i="16" l="1"/>
  <c r="C9" i="16" s="1"/>
  <c r="C11" i="16" s="1"/>
  <c r="C12" i="16" l="1"/>
  <c r="C13" i="16" s="1"/>
  <c r="AB68" i="7" l="1"/>
  <c r="AB65" i="7"/>
  <c r="J24" i="7"/>
  <c r="AB74" i="10" l="1"/>
  <c r="AB77" i="9"/>
  <c r="V77" i="9"/>
  <c r="AB72" i="8"/>
  <c r="V72" i="8"/>
  <c r="AB74" i="7"/>
  <c r="F9" i="6" l="1"/>
  <c r="F9" i="5"/>
  <c r="F9" i="4"/>
  <c r="A11" i="3"/>
  <c r="P32" i="4"/>
  <c r="J32" i="4"/>
  <c r="H32" i="4"/>
  <c r="L32" i="4" s="1"/>
  <c r="F32" i="4"/>
  <c r="L44" i="6"/>
  <c r="P44" i="5" s="1"/>
  <c r="L43" i="6"/>
  <c r="L40" i="6"/>
  <c r="L38" i="6"/>
  <c r="H44" i="6"/>
  <c r="V44" i="5"/>
  <c r="E46" i="3" s="1"/>
  <c r="R44" i="6" l="1"/>
  <c r="G46" i="3" s="1"/>
  <c r="I46" i="3" s="1"/>
  <c r="R32" i="4"/>
  <c r="J32" i="7"/>
  <c r="A4" i="8"/>
  <c r="N63" i="13"/>
  <c r="A61" i="13"/>
  <c r="A60" i="13"/>
  <c r="A58" i="13"/>
  <c r="A54" i="13"/>
  <c r="A8" i="13"/>
  <c r="A7" i="13"/>
  <c r="A5" i="13"/>
  <c r="A1" i="13"/>
  <c r="AN49" i="12"/>
  <c r="T47" i="12"/>
  <c r="T46" i="12"/>
  <c r="T45" i="12"/>
  <c r="T44" i="12"/>
  <c r="T41" i="12"/>
  <c r="R9" i="12"/>
  <c r="A7" i="12"/>
  <c r="A6" i="12"/>
  <c r="A5" i="12"/>
  <c r="A4" i="12"/>
  <c r="A1" i="12"/>
  <c r="AN46" i="11"/>
  <c r="T44" i="11"/>
  <c r="T43" i="11"/>
  <c r="T42" i="11"/>
  <c r="T41" i="11"/>
  <c r="T38" i="11"/>
  <c r="R9" i="11"/>
  <c r="A7" i="11"/>
  <c r="A6" i="11"/>
  <c r="A5" i="11"/>
  <c r="A4" i="11"/>
  <c r="A1" i="11"/>
  <c r="AN51" i="10"/>
  <c r="T49" i="10"/>
  <c r="T48" i="10"/>
  <c r="T47" i="10"/>
  <c r="T46" i="10"/>
  <c r="T43" i="10"/>
  <c r="R9" i="10"/>
  <c r="A7" i="10"/>
  <c r="A6" i="10"/>
  <c r="A5" i="10"/>
  <c r="A4" i="10"/>
  <c r="A1" i="10"/>
  <c r="AN54" i="9"/>
  <c r="T52" i="9"/>
  <c r="T51" i="9"/>
  <c r="T50" i="9"/>
  <c r="T49" i="9"/>
  <c r="T46" i="9"/>
  <c r="R9" i="9"/>
  <c r="A7" i="9"/>
  <c r="A6" i="9"/>
  <c r="A5" i="9"/>
  <c r="A4" i="9"/>
  <c r="A1" i="9"/>
  <c r="AN49" i="8"/>
  <c r="T47" i="8"/>
  <c r="T46" i="8"/>
  <c r="T45" i="8"/>
  <c r="T44" i="8"/>
  <c r="T41" i="8"/>
  <c r="R9" i="8"/>
  <c r="A7" i="8"/>
  <c r="A6" i="8"/>
  <c r="A5" i="8"/>
  <c r="A1" i="8"/>
  <c r="AN50" i="7"/>
  <c r="T48" i="7"/>
  <c r="T47" i="7"/>
  <c r="T46" i="7"/>
  <c r="T45" i="7"/>
  <c r="T42" i="7"/>
  <c r="A7" i="7"/>
  <c r="A6" i="7"/>
  <c r="R9" i="7"/>
  <c r="A5" i="7"/>
  <c r="A4" i="7"/>
  <c r="A1" i="7"/>
  <c r="R9" i="6"/>
  <c r="A7" i="6"/>
  <c r="A6" i="6"/>
  <c r="A5" i="6"/>
  <c r="A4" i="6"/>
  <c r="A1" i="6"/>
  <c r="A7" i="5"/>
  <c r="A6" i="5"/>
  <c r="V9" i="5"/>
  <c r="A5" i="5"/>
  <c r="A4" i="5"/>
  <c r="A1" i="5"/>
  <c r="A7" i="4"/>
  <c r="A6" i="4"/>
  <c r="R9" i="4"/>
  <c r="A5" i="4"/>
  <c r="A4" i="4"/>
  <c r="A1" i="4"/>
  <c r="K10" i="3"/>
  <c r="A8" i="3"/>
  <c r="A7" i="3"/>
  <c r="A5" i="3"/>
  <c r="A4" i="3"/>
  <c r="A1" i="3"/>
  <c r="H29" i="10"/>
  <c r="L33" i="10" s="1"/>
  <c r="F29" i="10"/>
  <c r="H29" i="9"/>
  <c r="L33" i="9" s="1"/>
  <c r="F29" i="9"/>
  <c r="H29" i="8"/>
  <c r="L33" i="8" s="1"/>
  <c r="F29" i="8"/>
  <c r="AB73" i="7"/>
  <c r="L32" i="7"/>
  <c r="H29" i="7"/>
  <c r="L34" i="7" s="1"/>
  <c r="F29" i="7"/>
  <c r="AB67" i="11"/>
  <c r="AL67" i="11" s="1"/>
  <c r="AL69" i="11" s="1"/>
  <c r="AL71" i="11" s="1"/>
  <c r="P23" i="4" s="1"/>
  <c r="J30" i="11"/>
  <c r="P30" i="11" s="1"/>
  <c r="P32" i="11" s="1"/>
  <c r="P34" i="11" s="1"/>
  <c r="P31" i="6" s="1"/>
  <c r="H27" i="11"/>
  <c r="F27" i="11"/>
  <c r="L24" i="7"/>
  <c r="R24" i="7" s="1"/>
  <c r="C15" i="16" s="1"/>
  <c r="L24" i="8"/>
  <c r="R24" i="8" s="1"/>
  <c r="J24" i="9"/>
  <c r="L24" i="9" s="1"/>
  <c r="R24" i="9" s="1"/>
  <c r="J24" i="10"/>
  <c r="L24" i="10" s="1"/>
  <c r="R24" i="10" s="1"/>
  <c r="L22" i="11"/>
  <c r="R22" i="11" s="1"/>
  <c r="K15" i="16" s="1"/>
  <c r="K18" i="16" s="1"/>
  <c r="K35" i="16" s="1"/>
  <c r="AB69" i="9"/>
  <c r="AB72" i="9"/>
  <c r="AB66" i="10"/>
  <c r="AB69" i="10"/>
  <c r="A2" i="13"/>
  <c r="A10" i="13"/>
  <c r="M10" i="13"/>
  <c r="A55" i="13"/>
  <c r="A63" i="13"/>
  <c r="A2" i="12"/>
  <c r="A9" i="12"/>
  <c r="T42" i="12"/>
  <c r="AN47" i="12"/>
  <c r="T49" i="12"/>
  <c r="A2" i="11"/>
  <c r="A9" i="11"/>
  <c r="F34" i="11"/>
  <c r="F31" i="6" s="1"/>
  <c r="H34" i="11"/>
  <c r="H31" i="6" s="1"/>
  <c r="T39" i="11"/>
  <c r="AN44" i="11"/>
  <c r="T46" i="11"/>
  <c r="X59" i="11"/>
  <c r="AD59" i="11" s="1"/>
  <c r="Z62" i="11"/>
  <c r="A2" i="10"/>
  <c r="A9" i="10"/>
  <c r="F37" i="10"/>
  <c r="F25" i="6" s="1"/>
  <c r="H37" i="10"/>
  <c r="H25" i="6" s="1"/>
  <c r="T44" i="10"/>
  <c r="AN49" i="10"/>
  <c r="T51" i="10"/>
  <c r="X66" i="10"/>
  <c r="Z69" i="10"/>
  <c r="AD74" i="10" s="1"/>
  <c r="A2" i="9"/>
  <c r="A9" i="9"/>
  <c r="F37" i="9"/>
  <c r="F24" i="6" s="1"/>
  <c r="H37" i="9"/>
  <c r="H24" i="6" s="1"/>
  <c r="T47" i="9"/>
  <c r="AN52" i="9"/>
  <c r="T54" i="9"/>
  <c r="X69" i="9"/>
  <c r="Z72" i="9"/>
  <c r="AD77" i="9" s="1"/>
  <c r="A2" i="8"/>
  <c r="A9" i="8"/>
  <c r="F37" i="8"/>
  <c r="F23" i="6" s="1"/>
  <c r="H37" i="8"/>
  <c r="H23" i="6" s="1"/>
  <c r="T42" i="8"/>
  <c r="AN47" i="8"/>
  <c r="T49" i="8"/>
  <c r="X64" i="8"/>
  <c r="X77" i="8" s="1"/>
  <c r="F23" i="5" s="1"/>
  <c r="Z67" i="8"/>
  <c r="A2" i="7"/>
  <c r="A9" i="7"/>
  <c r="F38" i="7"/>
  <c r="F20" i="6" s="1"/>
  <c r="F21" i="6" s="1"/>
  <c r="H38" i="7"/>
  <c r="H20" i="6" s="1"/>
  <c r="T43" i="7"/>
  <c r="AN48" i="7"/>
  <c r="T50" i="7"/>
  <c r="X65" i="7"/>
  <c r="C10" i="15" s="1"/>
  <c r="Z68" i="7"/>
  <c r="A2" i="6"/>
  <c r="A9" i="6"/>
  <c r="H41" i="6"/>
  <c r="L45" i="6"/>
  <c r="P45" i="5" s="1"/>
  <c r="P32" i="6"/>
  <c r="R37" i="6"/>
  <c r="G39" i="3" s="1"/>
  <c r="R38" i="6"/>
  <c r="G40" i="3" s="1"/>
  <c r="R39" i="6"/>
  <c r="G41" i="3" s="1"/>
  <c r="R40" i="6"/>
  <c r="G42" i="3" s="1"/>
  <c r="F41" i="6"/>
  <c r="F42" i="6"/>
  <c r="H42" i="6"/>
  <c r="H43" i="6"/>
  <c r="R43" i="6"/>
  <c r="G45" i="3" s="1"/>
  <c r="A2" i="5"/>
  <c r="A9" i="5"/>
  <c r="T32" i="5"/>
  <c r="P37" i="5"/>
  <c r="V37" i="5"/>
  <c r="P38" i="5"/>
  <c r="V38" i="5"/>
  <c r="E40" i="3" s="1"/>
  <c r="P39" i="5"/>
  <c r="V39" i="5"/>
  <c r="E41" i="3" s="1"/>
  <c r="P40" i="5"/>
  <c r="V40" i="5"/>
  <c r="E42" i="3" s="1"/>
  <c r="V42" i="5"/>
  <c r="P43" i="5"/>
  <c r="V43" i="5"/>
  <c r="E45" i="3" s="1"/>
  <c r="V45" i="5"/>
  <c r="E47" i="3" s="1"/>
  <c r="F46" i="5"/>
  <c r="H46" i="5"/>
  <c r="A2" i="4"/>
  <c r="A9" i="4"/>
  <c r="J25" i="4"/>
  <c r="J26" i="4"/>
  <c r="J27" i="4"/>
  <c r="J28" i="4"/>
  <c r="J30" i="4"/>
  <c r="J31" i="4"/>
  <c r="J33" i="4"/>
  <c r="P24" i="4"/>
  <c r="P25" i="4"/>
  <c r="P26" i="4"/>
  <c r="P27" i="4"/>
  <c r="P28" i="4"/>
  <c r="P30" i="4"/>
  <c r="P31" i="4"/>
  <c r="P33" i="4"/>
  <c r="F25" i="4"/>
  <c r="H25" i="4"/>
  <c r="L25" i="4" s="1"/>
  <c r="F26" i="4"/>
  <c r="H26" i="4"/>
  <c r="L26" i="4" s="1"/>
  <c r="F27" i="4"/>
  <c r="H27" i="4"/>
  <c r="L27" i="4" s="1"/>
  <c r="F28" i="4"/>
  <c r="H28" i="4"/>
  <c r="L28" i="4" s="1"/>
  <c r="F29" i="4"/>
  <c r="H29" i="4"/>
  <c r="F30" i="4"/>
  <c r="H30" i="4"/>
  <c r="L30" i="4" s="1"/>
  <c r="F31" i="4"/>
  <c r="H31" i="4"/>
  <c r="L31" i="4" s="1"/>
  <c r="F33" i="4"/>
  <c r="H33" i="4"/>
  <c r="L33" i="4" s="1"/>
  <c r="A2" i="3"/>
  <c r="A10" i="3"/>
  <c r="E39" i="3"/>
  <c r="E44" i="3"/>
  <c r="J33" i="7"/>
  <c r="L33" i="7" s="1"/>
  <c r="R33" i="7" s="1"/>
  <c r="K46" i="3" l="1"/>
  <c r="T31" i="5"/>
  <c r="J32" i="8"/>
  <c r="L32" i="8" s="1"/>
  <c r="R32" i="8" s="1"/>
  <c r="J32" i="10"/>
  <c r="L32" i="10" s="1"/>
  <c r="R32" i="10" s="1"/>
  <c r="J32" i="9"/>
  <c r="L32" i="9" s="1"/>
  <c r="R32" i="9" s="1"/>
  <c r="R33" i="9"/>
  <c r="R34" i="7"/>
  <c r="R33" i="8"/>
  <c r="R33" i="10"/>
  <c r="G15" i="16"/>
  <c r="AD62" i="11"/>
  <c r="AD67" i="8"/>
  <c r="AD72" i="8"/>
  <c r="AJ77" i="9"/>
  <c r="AN77" i="9"/>
  <c r="AP77" i="9" s="1"/>
  <c r="AN74" i="10"/>
  <c r="AP74" i="10" s="1"/>
  <c r="AJ74" i="10"/>
  <c r="X82" i="9"/>
  <c r="F20" i="4"/>
  <c r="AD64" i="8"/>
  <c r="AH64" i="8" s="1"/>
  <c r="AD68" i="7"/>
  <c r="AD74" i="7"/>
  <c r="AD65" i="7"/>
  <c r="AH65" i="7" s="1"/>
  <c r="AD66" i="10"/>
  <c r="AH66" i="10" s="1"/>
  <c r="AD69" i="10"/>
  <c r="AD72" i="9"/>
  <c r="AD69" i="9"/>
  <c r="X79" i="7"/>
  <c r="F26" i="6"/>
  <c r="F28" i="6" s="1"/>
  <c r="R30" i="11"/>
  <c r="R32" i="11" s="1"/>
  <c r="L35" i="8"/>
  <c r="R28" i="4"/>
  <c r="R26" i="4"/>
  <c r="P33" i="6"/>
  <c r="R45" i="6"/>
  <c r="G47" i="3" s="1"/>
  <c r="I47" i="3" s="1"/>
  <c r="R33" i="4"/>
  <c r="R30" i="4"/>
  <c r="F46" i="6"/>
  <c r="Z71" i="11"/>
  <c r="Z64" i="11"/>
  <c r="X64" i="11"/>
  <c r="X71" i="11"/>
  <c r="Z79" i="10"/>
  <c r="Z71" i="10"/>
  <c r="AD75" i="10" s="1"/>
  <c r="AH75" i="10" s="1"/>
  <c r="X71" i="10"/>
  <c r="X79" i="10"/>
  <c r="Z82" i="9"/>
  <c r="Z74" i="9"/>
  <c r="AD78" i="9" s="1"/>
  <c r="AH78" i="9" s="1"/>
  <c r="X74" i="9"/>
  <c r="Z77" i="8"/>
  <c r="Z69" i="8"/>
  <c r="AD73" i="8" s="1"/>
  <c r="X69" i="8"/>
  <c r="L36" i="7"/>
  <c r="Z79" i="7"/>
  <c r="Z70" i="7"/>
  <c r="AD75" i="7" s="1"/>
  <c r="AN75" i="7" s="1"/>
  <c r="AP75" i="7" s="1"/>
  <c r="AD73" i="7"/>
  <c r="AH73" i="7" s="1"/>
  <c r="X70" i="7"/>
  <c r="H26" i="6"/>
  <c r="R32" i="7"/>
  <c r="I45" i="3"/>
  <c r="I42" i="3"/>
  <c r="I41" i="3"/>
  <c r="I40" i="3"/>
  <c r="I39" i="3"/>
  <c r="R31" i="4"/>
  <c r="R27" i="4"/>
  <c r="R25" i="4"/>
  <c r="T33" i="5"/>
  <c r="K39" i="3"/>
  <c r="H21" i="6"/>
  <c r="C41" i="10"/>
  <c r="C41" i="9"/>
  <c r="V81" i="8"/>
  <c r="C42" i="7"/>
  <c r="C52" i="5"/>
  <c r="P27" i="9"/>
  <c r="V83" i="10"/>
  <c r="V86" i="9"/>
  <c r="C41" i="8"/>
  <c r="V83" i="7"/>
  <c r="C52" i="6"/>
  <c r="P27" i="7"/>
  <c r="P29" i="7" s="1"/>
  <c r="P38" i="7" s="1"/>
  <c r="P27" i="8"/>
  <c r="K20" i="13"/>
  <c r="L20" i="13" s="1"/>
  <c r="K21" i="13"/>
  <c r="L21" i="13" s="1"/>
  <c r="K22" i="13"/>
  <c r="L22" i="13" s="1"/>
  <c r="K23" i="13"/>
  <c r="L23" i="13" s="1"/>
  <c r="K24" i="13"/>
  <c r="L24" i="13" s="1"/>
  <c r="K25" i="13"/>
  <c r="L25" i="13" s="1"/>
  <c r="K26" i="13"/>
  <c r="L26" i="13" s="1"/>
  <c r="K27" i="13"/>
  <c r="L27" i="13" s="1"/>
  <c r="K28" i="13"/>
  <c r="L28" i="13" s="1"/>
  <c r="K29" i="13"/>
  <c r="L29" i="13" s="1"/>
  <c r="K30" i="13"/>
  <c r="L30" i="13" s="1"/>
  <c r="K31" i="13"/>
  <c r="L31" i="13" s="1"/>
  <c r="K32" i="13"/>
  <c r="L32" i="13" s="1"/>
  <c r="K33" i="13"/>
  <c r="L33" i="13" s="1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AH59" i="11"/>
  <c r="AJ59" i="11" s="1"/>
  <c r="AN59" i="11"/>
  <c r="H46" i="6"/>
  <c r="K40" i="3" l="1"/>
  <c r="K42" i="3"/>
  <c r="K45" i="3"/>
  <c r="K47" i="3"/>
  <c r="K41" i="3"/>
  <c r="L35" i="9"/>
  <c r="R35" i="10"/>
  <c r="AH74" i="10"/>
  <c r="AH77" i="10" s="1"/>
  <c r="AH77" i="9"/>
  <c r="AH80" i="9" s="1"/>
  <c r="AN65" i="7"/>
  <c r="AP65" i="7" s="1"/>
  <c r="AN64" i="8"/>
  <c r="AP64" i="8" s="1"/>
  <c r="R35" i="8"/>
  <c r="AD70" i="7"/>
  <c r="AH75" i="7"/>
  <c r="AJ75" i="7" s="1"/>
  <c r="AJ78" i="9"/>
  <c r="AN78" i="9"/>
  <c r="AP78" i="9" s="1"/>
  <c r="AJ75" i="10"/>
  <c r="AN75" i="10"/>
  <c r="AP75" i="10" s="1"/>
  <c r="AN73" i="8"/>
  <c r="AP73" i="8" s="1"/>
  <c r="AJ73" i="8"/>
  <c r="AD80" i="9"/>
  <c r="AH73" i="8"/>
  <c r="AD64" i="11"/>
  <c r="AD77" i="10"/>
  <c r="P29" i="8"/>
  <c r="P37" i="8" s="1"/>
  <c r="P29" i="10"/>
  <c r="P37" i="10" s="1"/>
  <c r="P29" i="9"/>
  <c r="P37" i="9" s="1"/>
  <c r="G18" i="16"/>
  <c r="R36" i="7"/>
  <c r="AN62" i="11"/>
  <c r="AN66" i="10"/>
  <c r="AP66" i="10" s="1"/>
  <c r="C18" i="16"/>
  <c r="C20" i="16" s="1"/>
  <c r="AD69" i="8"/>
  <c r="AD69" i="11"/>
  <c r="AD71" i="10"/>
  <c r="AJ72" i="8"/>
  <c r="AH72" i="8"/>
  <c r="AN72" i="8"/>
  <c r="AP72" i="8" s="1"/>
  <c r="F21" i="4"/>
  <c r="F24" i="5"/>
  <c r="AH74" i="7"/>
  <c r="AJ74" i="7" s="1"/>
  <c r="AN74" i="7"/>
  <c r="L35" i="10"/>
  <c r="R35" i="9"/>
  <c r="AD74" i="9"/>
  <c r="AN69" i="9"/>
  <c r="AH69" i="9"/>
  <c r="F20" i="5"/>
  <c r="F21" i="5" s="1"/>
  <c r="F19" i="4"/>
  <c r="AN67" i="11"/>
  <c r="AH67" i="11"/>
  <c r="H31" i="5"/>
  <c r="H23" i="4"/>
  <c r="F31" i="5"/>
  <c r="F23" i="4"/>
  <c r="H25" i="5"/>
  <c r="H22" i="4"/>
  <c r="F22" i="4"/>
  <c r="F25" i="5"/>
  <c r="AJ66" i="10"/>
  <c r="H24" i="5"/>
  <c r="H21" i="4"/>
  <c r="H20" i="4"/>
  <c r="H23" i="5"/>
  <c r="H20" i="5"/>
  <c r="H21" i="5" s="1"/>
  <c r="H19" i="4"/>
  <c r="AJ65" i="7"/>
  <c r="AN73" i="7"/>
  <c r="AP73" i="7" s="1"/>
  <c r="AD77" i="7"/>
  <c r="AJ73" i="7"/>
  <c r="AD75" i="8"/>
  <c r="AP59" i="11"/>
  <c r="L47" i="13"/>
  <c r="L45" i="13"/>
  <c r="L43" i="13"/>
  <c r="L41" i="13"/>
  <c r="L39" i="13"/>
  <c r="L37" i="13"/>
  <c r="AL69" i="10"/>
  <c r="AL68" i="7"/>
  <c r="AJ64" i="8"/>
  <c r="L48" i="13"/>
  <c r="L46" i="13"/>
  <c r="L44" i="13"/>
  <c r="L42" i="13"/>
  <c r="L40" i="13"/>
  <c r="L38" i="13"/>
  <c r="L36" i="13"/>
  <c r="AL67" i="8"/>
  <c r="AL72" i="9"/>
  <c r="H28" i="6"/>
  <c r="D37" i="1" l="1"/>
  <c r="AD82" i="9"/>
  <c r="AF78" i="9" s="1"/>
  <c r="AJ80" i="9"/>
  <c r="AD71" i="11"/>
  <c r="AF62" i="11" s="1"/>
  <c r="AJ77" i="10"/>
  <c r="AD79" i="10"/>
  <c r="AF74" i="10" s="1"/>
  <c r="AH75" i="8"/>
  <c r="AJ75" i="8" s="1"/>
  <c r="AN80" i="9"/>
  <c r="AP80" i="9" s="1"/>
  <c r="AN64" i="11"/>
  <c r="AD77" i="8"/>
  <c r="AP74" i="7"/>
  <c r="AH77" i="7"/>
  <c r="AJ77" i="7" s="1"/>
  <c r="F26" i="5"/>
  <c r="F28" i="5" s="1"/>
  <c r="AN69" i="11"/>
  <c r="AP69" i="9"/>
  <c r="AJ69" i="9"/>
  <c r="AP67" i="11"/>
  <c r="H26" i="5"/>
  <c r="H28" i="5" s="1"/>
  <c r="AH69" i="11"/>
  <c r="AJ69" i="11" s="1"/>
  <c r="AJ67" i="11"/>
  <c r="AN77" i="7"/>
  <c r="AN77" i="10"/>
  <c r="AP77" i="10" s="1"/>
  <c r="AD79" i="7"/>
  <c r="AN67" i="8"/>
  <c r="AL69" i="8"/>
  <c r="AN72" i="9"/>
  <c r="AL74" i="9"/>
  <c r="AN68" i="7"/>
  <c r="AL70" i="7"/>
  <c r="AN69" i="10"/>
  <c r="AL71" i="10"/>
  <c r="AN75" i="8"/>
  <c r="AL82" i="9"/>
  <c r="P24" i="6"/>
  <c r="AL77" i="8"/>
  <c r="P23" i="6"/>
  <c r="E43" i="3"/>
  <c r="E48" i="3" s="1"/>
  <c r="V46" i="5"/>
  <c r="D28" i="15" s="1"/>
  <c r="P20" i="6"/>
  <c r="P21" i="6" s="1"/>
  <c r="AL79" i="7"/>
  <c r="AL79" i="10"/>
  <c r="P25" i="6"/>
  <c r="E9" i="18" l="1"/>
  <c r="G21" i="13"/>
  <c r="M21" i="13" s="1"/>
  <c r="N21" i="13" s="1"/>
  <c r="G29" i="13"/>
  <c r="H29" i="13" s="1"/>
  <c r="I29" i="13" s="1"/>
  <c r="G24" i="13"/>
  <c r="G33" i="13"/>
  <c r="H33" i="13" s="1"/>
  <c r="I33" i="13" s="1"/>
  <c r="G26" i="13"/>
  <c r="M26" i="13" s="1"/>
  <c r="N26" i="13" s="1"/>
  <c r="G22" i="13"/>
  <c r="M22" i="13" s="1"/>
  <c r="N22" i="13" s="1"/>
  <c r="G30" i="13"/>
  <c r="H30" i="13" s="1"/>
  <c r="I30" i="13" s="1"/>
  <c r="G23" i="13"/>
  <c r="M23" i="13" s="1"/>
  <c r="N23" i="13" s="1"/>
  <c r="G31" i="13"/>
  <c r="M31" i="13" s="1"/>
  <c r="N31" i="13" s="1"/>
  <c r="G32" i="13"/>
  <c r="M32" i="13" s="1"/>
  <c r="N32" i="13" s="1"/>
  <c r="G25" i="13"/>
  <c r="M25" i="13" s="1"/>
  <c r="N25" i="13" s="1"/>
  <c r="G20" i="13"/>
  <c r="M20" i="13" s="1"/>
  <c r="N20" i="13" s="1"/>
  <c r="G28" i="13"/>
  <c r="M28" i="13" s="1"/>
  <c r="N28" i="13" s="1"/>
  <c r="G27" i="13"/>
  <c r="M27" i="13" s="1"/>
  <c r="N27" i="13" s="1"/>
  <c r="J22" i="4"/>
  <c r="L22" i="4" s="1"/>
  <c r="AF74" i="9"/>
  <c r="AF69" i="9"/>
  <c r="AF59" i="11"/>
  <c r="J23" i="4"/>
  <c r="R23" i="4" s="1"/>
  <c r="AN71" i="11"/>
  <c r="E33" i="3" s="1"/>
  <c r="AF67" i="11"/>
  <c r="L31" i="5"/>
  <c r="J31" i="5" s="1"/>
  <c r="J21" i="4"/>
  <c r="AF72" i="9"/>
  <c r="AF77" i="9"/>
  <c r="AF80" i="9"/>
  <c r="L24" i="5"/>
  <c r="J24" i="5" s="1"/>
  <c r="AF69" i="10"/>
  <c r="L25" i="5"/>
  <c r="J25" i="5" s="1"/>
  <c r="AF71" i="10"/>
  <c r="AF66" i="10"/>
  <c r="AF77" i="10"/>
  <c r="AP75" i="8"/>
  <c r="AF75" i="10"/>
  <c r="AF73" i="8"/>
  <c r="AF67" i="8"/>
  <c r="AF72" i="8"/>
  <c r="AF69" i="8"/>
  <c r="AF74" i="7"/>
  <c r="AF75" i="7"/>
  <c r="J27" i="7"/>
  <c r="L27" i="7" s="1"/>
  <c r="R27" i="7" s="1"/>
  <c r="R29" i="7" s="1"/>
  <c r="R38" i="7" s="1"/>
  <c r="H24" i="13"/>
  <c r="I24" i="13" s="1"/>
  <c r="AF75" i="8"/>
  <c r="J20" i="4"/>
  <c r="L23" i="5"/>
  <c r="J23" i="5" s="1"/>
  <c r="AF64" i="8"/>
  <c r="AP77" i="7"/>
  <c r="AP69" i="11"/>
  <c r="AF70" i="7"/>
  <c r="AF73" i="7"/>
  <c r="AF68" i="7"/>
  <c r="J19" i="4"/>
  <c r="AF65" i="7"/>
  <c r="L20" i="5"/>
  <c r="AF77" i="7"/>
  <c r="AN71" i="10"/>
  <c r="AN70" i="7"/>
  <c r="AN74" i="9"/>
  <c r="AN69" i="8"/>
  <c r="T20" i="5"/>
  <c r="T21" i="5" s="1"/>
  <c r="P19" i="4"/>
  <c r="T23" i="5"/>
  <c r="P20" i="4"/>
  <c r="T24" i="5"/>
  <c r="P21" i="4"/>
  <c r="T25" i="5"/>
  <c r="P22" i="4"/>
  <c r="P26" i="6"/>
  <c r="P28" i="6" s="1"/>
  <c r="J9" i="18" l="1"/>
  <c r="K9" i="18" s="1"/>
  <c r="F9" i="18"/>
  <c r="G9" i="18" s="1"/>
  <c r="R22" i="4"/>
  <c r="AF69" i="11"/>
  <c r="AF77" i="8"/>
  <c r="L21" i="4"/>
  <c r="L23" i="4"/>
  <c r="L20" i="4"/>
  <c r="AF64" i="11"/>
  <c r="R21" i="4"/>
  <c r="AF82" i="9"/>
  <c r="V31" i="5"/>
  <c r="D14" i="15"/>
  <c r="AF79" i="10"/>
  <c r="H23" i="13"/>
  <c r="I23" i="13" s="1"/>
  <c r="H21" i="13"/>
  <c r="I21" i="13" s="1"/>
  <c r="L29" i="7"/>
  <c r="L38" i="7" s="1"/>
  <c r="M29" i="13"/>
  <c r="N29" i="13" s="1"/>
  <c r="H31" i="13"/>
  <c r="I31" i="13" s="1"/>
  <c r="H27" i="13"/>
  <c r="I27" i="13" s="1"/>
  <c r="H28" i="13"/>
  <c r="I28" i="13" s="1"/>
  <c r="H26" i="13"/>
  <c r="I26" i="13" s="1"/>
  <c r="H20" i="13"/>
  <c r="I20" i="13" s="1"/>
  <c r="H25" i="13"/>
  <c r="I25" i="13" s="1"/>
  <c r="M30" i="13"/>
  <c r="N30" i="13" s="1"/>
  <c r="AH68" i="7"/>
  <c r="AP68" i="7" s="1"/>
  <c r="H22" i="13"/>
  <c r="I22" i="13" s="1"/>
  <c r="M24" i="13"/>
  <c r="N24" i="13" s="1"/>
  <c r="L26" i="5"/>
  <c r="N24" i="5" s="1"/>
  <c r="H32" i="13"/>
  <c r="I32" i="13" s="1"/>
  <c r="M33" i="13"/>
  <c r="N33" i="13" s="1"/>
  <c r="R20" i="4"/>
  <c r="R20" i="6"/>
  <c r="R21" i="6" s="1"/>
  <c r="G21" i="3"/>
  <c r="G22" i="3" s="1"/>
  <c r="C21" i="16"/>
  <c r="N10" i="15" s="1"/>
  <c r="L21" i="5"/>
  <c r="J20" i="5"/>
  <c r="L19" i="4"/>
  <c r="AF79" i="7"/>
  <c r="AN77" i="8"/>
  <c r="AN82" i="9"/>
  <c r="AN79" i="7"/>
  <c r="D10" i="15" s="1"/>
  <c r="J10" i="15" s="1"/>
  <c r="AN79" i="10"/>
  <c r="P34" i="6"/>
  <c r="R19" i="4"/>
  <c r="T26" i="5"/>
  <c r="T28" i="5" s="1"/>
  <c r="AF71" i="11" l="1"/>
  <c r="N20" i="5"/>
  <c r="K10" i="15"/>
  <c r="J14" i="15"/>
  <c r="K14" i="15"/>
  <c r="D11" i="15"/>
  <c r="J26" i="5"/>
  <c r="N36" i="7"/>
  <c r="N25" i="5"/>
  <c r="N23" i="5"/>
  <c r="N24" i="7"/>
  <c r="N34" i="7"/>
  <c r="N27" i="7"/>
  <c r="N32" i="7"/>
  <c r="N29" i="7"/>
  <c r="N33" i="7"/>
  <c r="L20" i="6"/>
  <c r="J20" i="6" s="1"/>
  <c r="AJ68" i="7"/>
  <c r="AH70" i="7"/>
  <c r="AP70" i="7" s="1"/>
  <c r="L28" i="5"/>
  <c r="J21" i="5"/>
  <c r="V20" i="5"/>
  <c r="E21" i="3"/>
  <c r="V25" i="5"/>
  <c r="E26" i="3"/>
  <c r="V24" i="5"/>
  <c r="E25" i="3"/>
  <c r="V23" i="5"/>
  <c r="E24" i="3"/>
  <c r="T34" i="5"/>
  <c r="K11" i="15" l="1"/>
  <c r="J11" i="15"/>
  <c r="G28" i="16" s="1"/>
  <c r="N38" i="7"/>
  <c r="L21" i="6"/>
  <c r="N20" i="6" s="1"/>
  <c r="AJ70" i="7"/>
  <c r="AH79" i="7"/>
  <c r="AP79" i="7" s="1"/>
  <c r="J28" i="5"/>
  <c r="V26" i="5"/>
  <c r="E27" i="3"/>
  <c r="I21" i="3"/>
  <c r="E22" i="3"/>
  <c r="V21" i="5"/>
  <c r="I22" i="3" l="1"/>
  <c r="G29" i="16"/>
  <c r="G30" i="16" s="1"/>
  <c r="J21" i="6"/>
  <c r="AJ79" i="7"/>
  <c r="P20" i="5"/>
  <c r="X20" i="5" s="1"/>
  <c r="V28" i="5"/>
  <c r="K21" i="3"/>
  <c r="K22" i="3"/>
  <c r="E29" i="3"/>
  <c r="R41" i="6" l="1"/>
  <c r="G43" i="3" s="1"/>
  <c r="I43" i="3" s="1"/>
  <c r="G19" i="16"/>
  <c r="G20" i="16" s="1"/>
  <c r="P21" i="5"/>
  <c r="X21" i="5" s="1"/>
  <c r="R20" i="5"/>
  <c r="J29" i="4"/>
  <c r="T46" i="5"/>
  <c r="T48" i="5" s="1"/>
  <c r="L46" i="5"/>
  <c r="G22" i="16" l="1"/>
  <c r="D41" i="1" s="1"/>
  <c r="K43" i="3"/>
  <c r="L29" i="4"/>
  <c r="R21" i="5"/>
  <c r="P29" i="4"/>
  <c r="P34" i="4" s="1"/>
  <c r="P41" i="6"/>
  <c r="N37" i="5"/>
  <c r="N44" i="5"/>
  <c r="N43" i="5"/>
  <c r="N39" i="5"/>
  <c r="N45" i="5"/>
  <c r="N42" i="5"/>
  <c r="N40" i="5"/>
  <c r="N38" i="5"/>
  <c r="N41" i="5"/>
  <c r="G36" i="13" l="1"/>
  <c r="M36" i="13" s="1"/>
  <c r="N36" i="13" s="1"/>
  <c r="G44" i="13"/>
  <c r="M44" i="13" s="1"/>
  <c r="N44" i="13" s="1"/>
  <c r="E11" i="18"/>
  <c r="G37" i="13"/>
  <c r="M37" i="13" s="1"/>
  <c r="N37" i="13" s="1"/>
  <c r="G47" i="13"/>
  <c r="M47" i="13" s="1"/>
  <c r="N47" i="13" s="1"/>
  <c r="G45" i="13"/>
  <c r="H45" i="13" s="1"/>
  <c r="I45" i="13" s="1"/>
  <c r="E10" i="18"/>
  <c r="F10" i="18" s="1"/>
  <c r="G10" i="18" s="1"/>
  <c r="J27" i="10"/>
  <c r="L27" i="10" s="1"/>
  <c r="AH69" i="10" s="1"/>
  <c r="G39" i="13"/>
  <c r="H39" i="13" s="1"/>
  <c r="I39" i="13" s="1"/>
  <c r="G42" i="13"/>
  <c r="M42" i="13" s="1"/>
  <c r="N42" i="13" s="1"/>
  <c r="E12" i="18"/>
  <c r="G46" i="13"/>
  <c r="M46" i="13" s="1"/>
  <c r="N46" i="13" s="1"/>
  <c r="J27" i="8"/>
  <c r="L27" i="8" s="1"/>
  <c r="AH67" i="8" s="1"/>
  <c r="AH69" i="8" s="1"/>
  <c r="G43" i="13"/>
  <c r="H43" i="13" s="1"/>
  <c r="I43" i="13" s="1"/>
  <c r="G41" i="13"/>
  <c r="H41" i="13" s="1"/>
  <c r="I41" i="13" s="1"/>
  <c r="G40" i="13"/>
  <c r="H40" i="13" s="1"/>
  <c r="I40" i="13" s="1"/>
  <c r="G48" i="13"/>
  <c r="H48" i="13" s="1"/>
  <c r="I48" i="13" s="1"/>
  <c r="J27" i="9"/>
  <c r="L27" i="9" s="1"/>
  <c r="L29" i="9" s="1"/>
  <c r="G38" i="13"/>
  <c r="M38" i="13" s="1"/>
  <c r="N38" i="13" s="1"/>
  <c r="H36" i="13"/>
  <c r="I36" i="13" s="1"/>
  <c r="H42" i="13"/>
  <c r="I42" i="13" s="1"/>
  <c r="F11" i="18"/>
  <c r="G11" i="18" s="1"/>
  <c r="J11" i="18"/>
  <c r="K11" i="18" s="1"/>
  <c r="F12" i="18"/>
  <c r="G12" i="18" s="1"/>
  <c r="J12" i="18"/>
  <c r="K12" i="18" s="1"/>
  <c r="L29" i="10"/>
  <c r="L37" i="10" s="1"/>
  <c r="N29" i="10" s="1"/>
  <c r="H44" i="13"/>
  <c r="I44" i="13" s="1"/>
  <c r="P46" i="6"/>
  <c r="P48" i="6" s="1"/>
  <c r="L41" i="6"/>
  <c r="P41" i="5" s="1"/>
  <c r="H47" i="13"/>
  <c r="I47" i="13" s="1"/>
  <c r="R27" i="9"/>
  <c r="R29" i="9" s="1"/>
  <c r="R37" i="9" s="1"/>
  <c r="R24" i="6" s="1"/>
  <c r="AH72" i="9"/>
  <c r="AH74" i="9" s="1"/>
  <c r="H37" i="13"/>
  <c r="I37" i="13" s="1"/>
  <c r="R27" i="10"/>
  <c r="R29" i="10" s="1"/>
  <c r="R37" i="10" s="1"/>
  <c r="G26" i="3" s="1"/>
  <c r="I26" i="3" s="1"/>
  <c r="M39" i="13"/>
  <c r="N39" i="13" s="1"/>
  <c r="H46" i="13"/>
  <c r="I46" i="13" s="1"/>
  <c r="M43" i="13"/>
  <c r="N43" i="13" s="1"/>
  <c r="H38" i="13"/>
  <c r="I38" i="13" s="1"/>
  <c r="M45" i="13"/>
  <c r="N45" i="13" s="1"/>
  <c r="M48" i="13"/>
  <c r="N48" i="13" s="1"/>
  <c r="R27" i="8"/>
  <c r="R29" i="8" s="1"/>
  <c r="AP69" i="10"/>
  <c r="AJ69" i="10"/>
  <c r="AH71" i="10"/>
  <c r="L37" i="9"/>
  <c r="N29" i="9" s="1"/>
  <c r="AP67" i="8"/>
  <c r="AJ67" i="8"/>
  <c r="R29" i="4"/>
  <c r="J10" i="18" l="1"/>
  <c r="K10" i="18" s="1"/>
  <c r="M41" i="13"/>
  <c r="N41" i="13" s="1"/>
  <c r="M40" i="13"/>
  <c r="N40" i="13" s="1"/>
  <c r="L29" i="8"/>
  <c r="L37" i="8" s="1"/>
  <c r="N29" i="8" s="1"/>
  <c r="K26" i="3"/>
  <c r="R25" i="6"/>
  <c r="AJ72" i="9"/>
  <c r="G25" i="3"/>
  <c r="I25" i="3" s="1"/>
  <c r="G23" i="16"/>
  <c r="AP72" i="9"/>
  <c r="N11" i="15"/>
  <c r="R37" i="8"/>
  <c r="G24" i="3" s="1"/>
  <c r="N33" i="8"/>
  <c r="L23" i="6"/>
  <c r="N24" i="8"/>
  <c r="N27" i="8"/>
  <c r="AP74" i="9"/>
  <c r="AJ74" i="9"/>
  <c r="AH82" i="9"/>
  <c r="AJ69" i="8"/>
  <c r="AP69" i="8"/>
  <c r="AH77" i="8"/>
  <c r="N33" i="9"/>
  <c r="L24" i="6"/>
  <c r="N32" i="9"/>
  <c r="N24" i="9"/>
  <c r="N35" i="9"/>
  <c r="N37" i="9" s="1"/>
  <c r="N27" i="9"/>
  <c r="AH79" i="10"/>
  <c r="AP71" i="10"/>
  <c r="AJ71" i="10"/>
  <c r="N35" i="10"/>
  <c r="N37" i="10" s="1"/>
  <c r="N32" i="10"/>
  <c r="N24" i="10"/>
  <c r="N33" i="10"/>
  <c r="L25" i="6"/>
  <c r="N27" i="10"/>
  <c r="O7" i="16"/>
  <c r="O9" i="16" s="1"/>
  <c r="O11" i="16" s="1"/>
  <c r="O12" i="16" s="1"/>
  <c r="O13" i="16" s="1"/>
  <c r="C15" i="15"/>
  <c r="C29" i="15" s="1"/>
  <c r="F27" i="12"/>
  <c r="F34" i="12" s="1"/>
  <c r="F32" i="6" s="1"/>
  <c r="L22" i="12"/>
  <c r="X62" i="12"/>
  <c r="N35" i="8" l="1"/>
  <c r="N37" i="8" s="1"/>
  <c r="N32" i="8"/>
  <c r="K25" i="3"/>
  <c r="R23" i="6"/>
  <c r="R26" i="6" s="1"/>
  <c r="R28" i="6" s="1"/>
  <c r="AJ79" i="10"/>
  <c r="AP79" i="10"/>
  <c r="P25" i="5"/>
  <c r="P24" i="5"/>
  <c r="AP82" i="9"/>
  <c r="AJ82" i="9"/>
  <c r="J24" i="6"/>
  <c r="P23" i="5"/>
  <c r="AP77" i="8"/>
  <c r="AJ77" i="8"/>
  <c r="J25" i="6"/>
  <c r="J23" i="6"/>
  <c r="L26" i="6"/>
  <c r="N25" i="6" s="1"/>
  <c r="I24" i="3"/>
  <c r="G27" i="3"/>
  <c r="G29" i="3" s="1"/>
  <c r="R22" i="12"/>
  <c r="O15" i="16" s="1"/>
  <c r="O18" i="16" s="1"/>
  <c r="F33" i="6"/>
  <c r="X67" i="12"/>
  <c r="X74" i="12" s="1"/>
  <c r="AD62" i="12"/>
  <c r="AH62" i="12" s="1"/>
  <c r="R24" i="5" l="1"/>
  <c r="X24" i="5"/>
  <c r="P26" i="5"/>
  <c r="R23" i="5"/>
  <c r="X23" i="5"/>
  <c r="X25" i="5"/>
  <c r="R25" i="5"/>
  <c r="K24" i="3"/>
  <c r="I27" i="3"/>
  <c r="N23" i="6"/>
  <c r="J26" i="6"/>
  <c r="L28" i="6"/>
  <c r="J28" i="6" s="1"/>
  <c r="N24" i="6"/>
  <c r="F32" i="5"/>
  <c r="F33" i="5" s="1"/>
  <c r="F24" i="4"/>
  <c r="F34" i="4" s="1"/>
  <c r="AN62" i="12"/>
  <c r="AJ62" i="12"/>
  <c r="F48" i="6"/>
  <c r="F34" i="6"/>
  <c r="R26" i="5" l="1"/>
  <c r="X26" i="5"/>
  <c r="P28" i="5"/>
  <c r="I29" i="3"/>
  <c r="K27" i="3"/>
  <c r="F48" i="5"/>
  <c r="F34" i="5"/>
  <c r="AP62" i="12"/>
  <c r="K29" i="3" l="1"/>
  <c r="X28" i="5"/>
  <c r="R28" i="5"/>
  <c r="O19" i="16"/>
  <c r="H27" i="12"/>
  <c r="H34" i="12" s="1"/>
  <c r="H32" i="6" s="1"/>
  <c r="H33" i="6" s="1"/>
  <c r="L30" i="12"/>
  <c r="Z65" i="12"/>
  <c r="O20" i="16" l="1"/>
  <c r="D49" i="1" s="1"/>
  <c r="AD65" i="12"/>
  <c r="AD70" i="12"/>
  <c r="Z67" i="12"/>
  <c r="Z74" i="12" s="1"/>
  <c r="L32" i="12"/>
  <c r="R30" i="12"/>
  <c r="R32" i="12" s="1"/>
  <c r="H34" i="6"/>
  <c r="H48" i="6"/>
  <c r="G95" i="13" l="1"/>
  <c r="G99" i="13"/>
  <c r="G92" i="13"/>
  <c r="G96" i="13"/>
  <c r="G100" i="13"/>
  <c r="G93" i="13"/>
  <c r="G97" i="13"/>
  <c r="G101" i="13"/>
  <c r="G94" i="13"/>
  <c r="G98" i="13"/>
  <c r="G102" i="13"/>
  <c r="G91" i="13"/>
  <c r="E14" i="18"/>
  <c r="J14" i="18" s="1"/>
  <c r="K14" i="18" s="1"/>
  <c r="J25" i="12"/>
  <c r="L25" i="12" s="1"/>
  <c r="R25" i="12" s="1"/>
  <c r="R27" i="12" s="1"/>
  <c r="AN70" i="12"/>
  <c r="AD72" i="12"/>
  <c r="H32" i="5"/>
  <c r="H33" i="5" s="1"/>
  <c r="H24" i="4"/>
  <c r="AH70" i="12"/>
  <c r="AJ70" i="12" s="1"/>
  <c r="AN65" i="12"/>
  <c r="AD67" i="12"/>
  <c r="M101" i="13" l="1"/>
  <c r="N101" i="13" s="1"/>
  <c r="H101" i="13"/>
  <c r="I101" i="13" s="1"/>
  <c r="H97" i="13"/>
  <c r="I97" i="13" s="1"/>
  <c r="M97" i="13"/>
  <c r="N97" i="13" s="1"/>
  <c r="F14" i="18"/>
  <c r="G14" i="18" s="1"/>
  <c r="M93" i="13"/>
  <c r="N93" i="13" s="1"/>
  <c r="H93" i="13"/>
  <c r="I93" i="13" s="1"/>
  <c r="H100" i="13"/>
  <c r="I100" i="13" s="1"/>
  <c r="M100" i="13"/>
  <c r="N100" i="13" s="1"/>
  <c r="H91" i="13"/>
  <c r="I91" i="13" s="1"/>
  <c r="M91" i="13"/>
  <c r="N91" i="13" s="1"/>
  <c r="M96" i="13"/>
  <c r="N96" i="13" s="1"/>
  <c r="H96" i="13"/>
  <c r="I96" i="13" s="1"/>
  <c r="M102" i="13"/>
  <c r="N102" i="13" s="1"/>
  <c r="H102" i="13"/>
  <c r="I102" i="13" s="1"/>
  <c r="M92" i="13"/>
  <c r="N92" i="13" s="1"/>
  <c r="H92" i="13"/>
  <c r="I92" i="13" s="1"/>
  <c r="M98" i="13"/>
  <c r="N98" i="13" s="1"/>
  <c r="H98" i="13"/>
  <c r="I98" i="13" s="1"/>
  <c r="H99" i="13"/>
  <c r="I99" i="13" s="1"/>
  <c r="M99" i="13"/>
  <c r="N99" i="13" s="1"/>
  <c r="H94" i="13"/>
  <c r="I94" i="13" s="1"/>
  <c r="M94" i="13"/>
  <c r="N94" i="13" s="1"/>
  <c r="M95" i="13"/>
  <c r="N95" i="13" s="1"/>
  <c r="H95" i="13"/>
  <c r="I95" i="13" s="1"/>
  <c r="AH65" i="12"/>
  <c r="AJ65" i="12" s="1"/>
  <c r="L27" i="12"/>
  <c r="L34" i="12" s="1"/>
  <c r="R34" i="12"/>
  <c r="O21" i="16"/>
  <c r="N15" i="15" s="1"/>
  <c r="H34" i="4"/>
  <c r="AP70" i="12"/>
  <c r="AN72" i="12"/>
  <c r="AD74" i="12"/>
  <c r="H48" i="5"/>
  <c r="H34" i="5"/>
  <c r="AH72" i="12"/>
  <c r="AJ72" i="12" s="1"/>
  <c r="AP65" i="12"/>
  <c r="AN67" i="12"/>
  <c r="AH67" i="12" l="1"/>
  <c r="AH74" i="12" s="1"/>
  <c r="P32" i="5" s="1"/>
  <c r="AP72" i="12"/>
  <c r="J24" i="4"/>
  <c r="L32" i="5"/>
  <c r="AF74" i="12"/>
  <c r="AF62" i="12"/>
  <c r="AF70" i="12"/>
  <c r="AF65" i="12"/>
  <c r="N34" i="12"/>
  <c r="L32" i="6"/>
  <c r="N22" i="12"/>
  <c r="N30" i="12"/>
  <c r="N32" i="12"/>
  <c r="N25" i="12"/>
  <c r="AN74" i="12"/>
  <c r="D15" i="15" s="1"/>
  <c r="G34" i="3"/>
  <c r="R32" i="6"/>
  <c r="AF72" i="12"/>
  <c r="AJ67" i="12" l="1"/>
  <c r="AJ74" i="12"/>
  <c r="AP67" i="12"/>
  <c r="K15" i="15"/>
  <c r="J15" i="15"/>
  <c r="D29" i="15"/>
  <c r="N27" i="12"/>
  <c r="J32" i="5"/>
  <c r="L33" i="5"/>
  <c r="R32" i="5"/>
  <c r="E34" i="3"/>
  <c r="I34" i="3" s="1"/>
  <c r="V32" i="5"/>
  <c r="AP74" i="12"/>
  <c r="J32" i="6"/>
  <c r="AF67" i="12"/>
  <c r="R24" i="4"/>
  <c r="J34" i="4"/>
  <c r="L24" i="4"/>
  <c r="N32" i="4" l="1"/>
  <c r="N33" i="4"/>
  <c r="N31" i="4"/>
  <c r="N26" i="4"/>
  <c r="N28" i="4"/>
  <c r="N30" i="4"/>
  <c r="N27" i="4"/>
  <c r="N25" i="4"/>
  <c r="N22" i="4"/>
  <c r="N20" i="4"/>
  <c r="N19" i="4"/>
  <c r="N21" i="4"/>
  <c r="N23" i="4"/>
  <c r="N29" i="4"/>
  <c r="N24" i="4"/>
  <c r="N31" i="5"/>
  <c r="J33" i="5"/>
  <c r="L34" i="5"/>
  <c r="L48" i="5"/>
  <c r="R34" i="4"/>
  <c r="T24" i="4" s="1"/>
  <c r="E35" i="3"/>
  <c r="K34" i="3"/>
  <c r="L34" i="4"/>
  <c r="V33" i="5"/>
  <c r="X32" i="5"/>
  <c r="N32" i="5"/>
  <c r="T32" i="4" l="1"/>
  <c r="T28" i="4"/>
  <c r="T26" i="4"/>
  <c r="T25" i="4"/>
  <c r="T33" i="4"/>
  <c r="T27" i="4"/>
  <c r="T30" i="4"/>
  <c r="T31" i="4"/>
  <c r="T22" i="4"/>
  <c r="T23" i="4"/>
  <c r="T21" i="4"/>
  <c r="T20" i="4"/>
  <c r="T19" i="4"/>
  <c r="T29" i="4"/>
  <c r="N33" i="5"/>
  <c r="N21" i="5"/>
  <c r="J34" i="5"/>
  <c r="E36" i="3"/>
  <c r="E50" i="3"/>
  <c r="N34" i="4"/>
  <c r="V34" i="5"/>
  <c r="V48" i="5"/>
  <c r="N46" i="5"/>
  <c r="J48" i="5"/>
  <c r="N26" i="5"/>
  <c r="N28" i="5" l="1"/>
  <c r="N34" i="5" s="1"/>
  <c r="T34" i="4"/>
  <c r="K28" i="16"/>
  <c r="K30" i="16" s="1"/>
  <c r="K31" i="16" s="1"/>
  <c r="K33" i="16" l="1"/>
  <c r="L42" i="6"/>
  <c r="K19" i="16" l="1"/>
  <c r="I16" i="15"/>
  <c r="P42" i="5"/>
  <c r="P46" i="5" s="1"/>
  <c r="L46" i="6"/>
  <c r="N42" i="6" s="1"/>
  <c r="R42" i="6"/>
  <c r="K20" i="16"/>
  <c r="K22" i="16" s="1"/>
  <c r="D45" i="1" l="1"/>
  <c r="G44" i="3"/>
  <c r="R46" i="6"/>
  <c r="I28" i="15" s="1"/>
  <c r="N44" i="6"/>
  <c r="N45" i="6"/>
  <c r="N37" i="6"/>
  <c r="N38" i="6"/>
  <c r="N39" i="6"/>
  <c r="N40" i="6"/>
  <c r="N43" i="6"/>
  <c r="N41" i="6"/>
  <c r="R46" i="5"/>
  <c r="X46" i="5"/>
  <c r="G79" i="13" l="1"/>
  <c r="G83" i="13"/>
  <c r="G87" i="13"/>
  <c r="G76" i="13"/>
  <c r="G80" i="13"/>
  <c r="G84" i="13"/>
  <c r="G88" i="13"/>
  <c r="G77" i="13"/>
  <c r="G81" i="13"/>
  <c r="G85" i="13"/>
  <c r="G75" i="13"/>
  <c r="G78" i="13"/>
  <c r="G82" i="13"/>
  <c r="G86" i="13"/>
  <c r="E13" i="18"/>
  <c r="J13" i="18" s="1"/>
  <c r="K13" i="18" s="1"/>
  <c r="J25" i="11"/>
  <c r="L25" i="11" s="1"/>
  <c r="AH62" i="11" s="1"/>
  <c r="J28" i="15"/>
  <c r="I29" i="15"/>
  <c r="I44" i="3"/>
  <c r="G48" i="3"/>
  <c r="H88" i="13" l="1"/>
  <c r="I88" i="13" s="1"/>
  <c r="M88" i="13"/>
  <c r="N88" i="13" s="1"/>
  <c r="H86" i="13"/>
  <c r="I86" i="13" s="1"/>
  <c r="M86" i="13"/>
  <c r="N86" i="13" s="1"/>
  <c r="H84" i="13"/>
  <c r="I84" i="13" s="1"/>
  <c r="M84" i="13"/>
  <c r="N84" i="13" s="1"/>
  <c r="H82" i="13"/>
  <c r="I82" i="13" s="1"/>
  <c r="M82" i="13"/>
  <c r="N82" i="13" s="1"/>
  <c r="H80" i="13"/>
  <c r="I80" i="13" s="1"/>
  <c r="M80" i="13"/>
  <c r="N80" i="13" s="1"/>
  <c r="H78" i="13"/>
  <c r="I78" i="13" s="1"/>
  <c r="M78" i="13"/>
  <c r="N78" i="13" s="1"/>
  <c r="H76" i="13"/>
  <c r="I76" i="13" s="1"/>
  <c r="M76" i="13"/>
  <c r="N76" i="13" s="1"/>
  <c r="H75" i="13"/>
  <c r="I75" i="13" s="1"/>
  <c r="M75" i="13"/>
  <c r="N75" i="13" s="1"/>
  <c r="H87" i="13"/>
  <c r="I87" i="13" s="1"/>
  <c r="M87" i="13"/>
  <c r="N87" i="13" s="1"/>
  <c r="H77" i="13"/>
  <c r="I77" i="13" s="1"/>
  <c r="M77" i="13"/>
  <c r="N77" i="13" s="1"/>
  <c r="H85" i="13"/>
  <c r="I85" i="13" s="1"/>
  <c r="M85" i="13"/>
  <c r="N85" i="13" s="1"/>
  <c r="H83" i="13"/>
  <c r="I83" i="13" s="1"/>
  <c r="M83" i="13"/>
  <c r="N83" i="13" s="1"/>
  <c r="H81" i="13"/>
  <c r="I81" i="13" s="1"/>
  <c r="M81" i="13"/>
  <c r="N81" i="13" s="1"/>
  <c r="H79" i="13"/>
  <c r="I79" i="13" s="1"/>
  <c r="M79" i="13"/>
  <c r="N79" i="13" s="1"/>
  <c r="F13" i="18"/>
  <c r="G13" i="18" s="1"/>
  <c r="L27" i="11"/>
  <c r="L34" i="11" s="1"/>
  <c r="N32" i="11" s="1"/>
  <c r="R25" i="11"/>
  <c r="R27" i="11" s="1"/>
  <c r="K29" i="15"/>
  <c r="J29" i="15"/>
  <c r="AH64" i="11"/>
  <c r="AP62" i="11"/>
  <c r="AJ62" i="11"/>
  <c r="K44" i="3"/>
  <c r="I48" i="3"/>
  <c r="K48" i="3" l="1"/>
  <c r="R34" i="11"/>
  <c r="R31" i="6" s="1"/>
  <c r="R33" i="6" s="1"/>
  <c r="R34" i="6" s="1"/>
  <c r="K23" i="16"/>
  <c r="N25" i="11"/>
  <c r="N30" i="11"/>
  <c r="N22" i="11"/>
  <c r="L31" i="6"/>
  <c r="J31" i="6" s="1"/>
  <c r="AP64" i="11"/>
  <c r="AH71" i="11"/>
  <c r="AJ64" i="11"/>
  <c r="G33" i="3" l="1"/>
  <c r="I33" i="3" s="1"/>
  <c r="N27" i="11"/>
  <c r="N34" i="11" s="1"/>
  <c r="R48" i="6"/>
  <c r="N14" i="15"/>
  <c r="N17" i="15" s="1"/>
  <c r="L33" i="6"/>
  <c r="L34" i="6" s="1"/>
  <c r="J34" i="6" s="1"/>
  <c r="AJ71" i="11"/>
  <c r="P31" i="5"/>
  <c r="AP71" i="11"/>
  <c r="K33" i="3" l="1"/>
  <c r="G35" i="3"/>
  <c r="G36" i="3" s="1"/>
  <c r="I35" i="3"/>
  <c r="N31" i="6"/>
  <c r="N32" i="6"/>
  <c r="L48" i="6"/>
  <c r="J48" i="6" s="1"/>
  <c r="J33" i="6"/>
  <c r="X31" i="5"/>
  <c r="P33" i="5"/>
  <c r="R31" i="5"/>
  <c r="K35" i="3" l="1"/>
  <c r="I50" i="3"/>
  <c r="G50" i="3"/>
  <c r="I36" i="3"/>
  <c r="N21" i="6"/>
  <c r="N26" i="6"/>
  <c r="N33" i="6"/>
  <c r="N46" i="6"/>
  <c r="N28" i="6"/>
  <c r="P34" i="5"/>
  <c r="R33" i="5"/>
  <c r="P48" i="5"/>
  <c r="X33" i="5"/>
  <c r="K36" i="3" l="1"/>
  <c r="K50" i="3"/>
  <c r="N34" i="6"/>
  <c r="X48" i="5"/>
  <c r="R48" i="5"/>
  <c r="X34" i="5"/>
  <c r="R34" i="5"/>
</calcChain>
</file>

<file path=xl/sharedStrings.xml><?xml version="1.0" encoding="utf-8"?>
<sst xmlns="http://schemas.openxmlformats.org/spreadsheetml/2006/main" count="1541" uniqueCount="346">
  <si>
    <t>AUTOMATED RATE CASE FILING SYSTEM</t>
  </si>
  <si>
    <t>WITNESS:</t>
  </si>
  <si>
    <t xml:space="preserve">  CURRENT ANNUALIZED</t>
  </si>
  <si>
    <t>PROPOSED</t>
  </si>
  <si>
    <t>% OF REV TO</t>
  </si>
  <si>
    <t>CURRENT</t>
  </si>
  <si>
    <t>REVENUE</t>
  </si>
  <si>
    <t>% INCR IN</t>
  </si>
  <si>
    <t>TOTAL</t>
  </si>
  <si>
    <t>REVENUE LESS</t>
  </si>
  <si>
    <t>TOTAL LESS</t>
  </si>
  <si>
    <t>MOST</t>
  </si>
  <si>
    <t>INCR LESS</t>
  </si>
  <si>
    <t xml:space="preserve">REV LESS </t>
  </si>
  <si>
    <t>LINE</t>
  </si>
  <si>
    <t>RATE</t>
  </si>
  <si>
    <t>CLASS /</t>
  </si>
  <si>
    <t>CUSTOMER</t>
  </si>
  <si>
    <t>% INCREASE</t>
  </si>
  <si>
    <t xml:space="preserve"> NO.</t>
  </si>
  <si>
    <t>CODE</t>
  </si>
  <si>
    <t>DESCRIPTION</t>
  </si>
  <si>
    <t>BILLS(1)</t>
  </si>
  <si>
    <t>SALES</t>
  </si>
  <si>
    <t>RATES</t>
  </si>
  <si>
    <t>(F + H)</t>
  </si>
  <si>
    <t>(F - K)</t>
  </si>
  <si>
    <t>(M / K)</t>
  </si>
  <si>
    <t>(K + H)</t>
  </si>
  <si>
    <t>(M / K1)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</si>
  <si>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</si>
  <si>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</si>
  <si>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</si>
  <si>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</si>
  <si>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</si>
  <si>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</si>
  <si>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</si>
  <si>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</si>
  <si>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</si>
  <si>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</si>
  <si>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</si>
  <si>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</si>
  <si>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</si>
  <si>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</si>
  <si>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(K1)</t>
  </si>
  <si>
    <t>(O)</t>
  </si>
  <si>
    <t>($)</t>
  </si>
  <si>
    <t>(%)</t>
  </si>
  <si>
    <t>RS</t>
  </si>
  <si>
    <t>RESIDENTIAL</t>
  </si>
  <si>
    <t>BILLS</t>
  </si>
  <si>
    <t>(1) BILLS THAT TERMINATE IN RESPECTIVE RATE STEPS.</t>
  </si>
  <si>
    <t>-</t>
  </si>
  <si>
    <t>OTHER MISC</t>
  </si>
  <si>
    <t xml:space="preserve">  TOTAL MISC</t>
  </si>
  <si>
    <t xml:space="preserve">    TOTAL</t>
  </si>
  <si>
    <t>LEVEL</t>
  </si>
  <si>
    <t>DOLLAR</t>
  </si>
  <si>
    <t>PERCENT</t>
  </si>
  <si>
    <t>of</t>
  </si>
  <si>
    <t>INCREASE</t>
  </si>
  <si>
    <t>BILL</t>
  </si>
  <si>
    <t>DEMAND</t>
  </si>
  <si>
    <t>USE</t>
  </si>
  <si>
    <t>(D - C)</t>
  </si>
  <si>
    <t>(E / C)</t>
  </si>
  <si>
    <t>(C + G)</t>
  </si>
  <si>
    <t>(D + G)</t>
  </si>
  <si>
    <t>***  MENU  ***</t>
  </si>
  <si>
    <t>ROUTINE</t>
  </si>
  <si>
    <t>ENTER</t>
  </si>
  <si>
    <t>PRINT SCHEDULES E-4 and E-4.1</t>
  </si>
  <si>
    <t>ALT A</t>
  </si>
  <si>
    <t>PRINT SCHEDULE E-5</t>
  </si>
  <si>
    <t>ALT B</t>
  </si>
  <si>
    <t>SAVE FILE</t>
  </si>
  <si>
    <t xml:space="preserve"> (NOTE: MUST USE WHEN SAVING FILE)</t>
  </si>
  <si>
    <t>ALT S</t>
  </si>
  <si>
    <t>GO TO MENU</t>
  </si>
  <si>
    <t>ALT M</t>
  </si>
  <si>
    <t>RANGE NAME INDEX</t>
  </si>
  <si>
    <t>ALT I</t>
  </si>
  <si>
    <t>ANNUALIZED TEST YEAR REVENUES AT PROPOSED VS. MOST CURRENT RATES</t>
  </si>
  <si>
    <t>PROPOSED ANNUALIZED</t>
  </si>
  <si>
    <t>CURRENT ANNUALIZED</t>
  </si>
  <si>
    <t>CUSTOMER CHARGE:</t>
  </si>
  <si>
    <t xml:space="preserve">    ALL CONSUMPTION</t>
  </si>
  <si>
    <t>SCHEDULE M-2.3</t>
  </si>
  <si>
    <t>SCHEDULE M-2.2</t>
  </si>
  <si>
    <t>PAGE  1  OF  1</t>
  </si>
  <si>
    <t>CLASSIFICATION</t>
  </si>
  <si>
    <t>REVENUE AT</t>
  </si>
  <si>
    <t>CHANGE</t>
  </si>
  <si>
    <t>(D=C-B)</t>
  </si>
  <si>
    <t>(AMOUNT)</t>
  </si>
  <si>
    <t>SCHEDULE M</t>
  </si>
  <si>
    <t>(E=D / B)</t>
  </si>
  <si>
    <t>REVENUES AT PRESENT AND PROPOSED RATES</t>
  </si>
  <si>
    <t>WORK PAPER REFERENCE NO(S).:</t>
  </si>
  <si>
    <t>TYPICAL BILL COMPARISON</t>
  </si>
  <si>
    <t>SCHEDULE N</t>
  </si>
  <si>
    <t>PRESENT</t>
  </si>
  <si>
    <t>% OF</t>
  </si>
  <si>
    <t xml:space="preserve">WORK PAPER REFERENCE NO(S).: </t>
  </si>
  <si>
    <t>SCHEDULE M-2.1</t>
  </si>
  <si>
    <t>AVERAGE</t>
  </si>
  <si>
    <t>(F=E/D)</t>
  </si>
  <si>
    <t>% OF REV</t>
  </si>
  <si>
    <t>TO TOTAL</t>
  </si>
  <si>
    <t xml:space="preserve">EXCLUSIVE OF </t>
  </si>
  <si>
    <t>NOTE: DETAIL CONTAINED ON SCHEDULES M-2.2 AND M-2.3.</t>
  </si>
  <si>
    <t>(GAS SERVICE)</t>
  </si>
  <si>
    <t>GAS COST</t>
  </si>
  <si>
    <t>GAS COST REV</t>
  </si>
  <si>
    <t>($/MCF)</t>
  </si>
  <si>
    <t>(MCF)</t>
  </si>
  <si>
    <t>REVENUE(3)</t>
  </si>
  <si>
    <t>SALES(2)</t>
  </si>
  <si>
    <t>(2) REFLECTS NORMALIZED VOLUMES.</t>
  </si>
  <si>
    <t>GS</t>
  </si>
  <si>
    <t>COMMERCIAL</t>
  </si>
  <si>
    <t>Input Areas in Grey</t>
  </si>
  <si>
    <t>TYPE OF SERVICE:</t>
  </si>
  <si>
    <t xml:space="preserve">     CUSTOMER CHARGE PER  MONTH</t>
  </si>
  <si>
    <t>COMMODITY CHARGE:</t>
  </si>
  <si>
    <t>NON-RESIDENTIAL</t>
  </si>
  <si>
    <t>INDUSTRIAL</t>
  </si>
  <si>
    <t>OTHER PUBLIC AUTHORITIES</t>
  </si>
  <si>
    <t>INTERDEPARTMENTAL</t>
  </si>
  <si>
    <t>RATE IT</t>
  </si>
  <si>
    <t xml:space="preserve">     ALL CONSUMPTION</t>
  </si>
  <si>
    <t>TOTAL RS</t>
  </si>
  <si>
    <t>GS COMMERCIAL</t>
  </si>
  <si>
    <t>GS INDUSTRIAL</t>
  </si>
  <si>
    <t>GS OTHER PUB AUTH</t>
  </si>
  <si>
    <t>TOTAL GS</t>
  </si>
  <si>
    <t xml:space="preserve">RS RESIDENTIAL </t>
  </si>
  <si>
    <t>TRANSPORTATION</t>
  </si>
  <si>
    <t>MISCELLANEOUS REVENUES:</t>
  </si>
  <si>
    <t>LATE PAYMENT CHARGES</t>
  </si>
  <si>
    <t>BAD CHECK CHARGES</t>
  </si>
  <si>
    <t>TOTAL COMPANY REVENUE</t>
  </si>
  <si>
    <t>INTERRUPTIBLE</t>
  </si>
  <si>
    <t>FIRM</t>
  </si>
  <si>
    <t>TRANSPORTATION:</t>
  </si>
  <si>
    <t>SALES SERVICE:</t>
  </si>
  <si>
    <t xml:space="preserve">     TOTAL SALES SERVICE</t>
  </si>
  <si>
    <t xml:space="preserve">     TOTAL TRANSPORTATION</t>
  </si>
  <si>
    <t>OTH PUB AUTH</t>
  </si>
  <si>
    <t xml:space="preserve">   TOTAL GS</t>
  </si>
  <si>
    <t xml:space="preserve">  TOTAL RS</t>
  </si>
  <si>
    <t>TRANSPORTATION SERVICE:</t>
  </si>
  <si>
    <t xml:space="preserve">  TOTAL TRANSP SERVICE</t>
  </si>
  <si>
    <t xml:space="preserve">MISCELLANEOUS REVENUES: </t>
  </si>
  <si>
    <t xml:space="preserve">  TOTAL SALES SERVICE</t>
  </si>
  <si>
    <t xml:space="preserve">    TOTAL COMPANY</t>
  </si>
  <si>
    <t>IT</t>
  </si>
  <si>
    <t xml:space="preserve">   TOTAL MISCELLANEOUS</t>
  </si>
  <si>
    <t>(RS)</t>
  </si>
  <si>
    <t>Not</t>
  </si>
  <si>
    <t>Applicable</t>
  </si>
  <si>
    <t>GAS</t>
  </si>
  <si>
    <t>(GS)</t>
  </si>
  <si>
    <t>(IT)</t>
  </si>
  <si>
    <t>INTERRUPTIBLE TRANSPORTATION</t>
  </si>
  <si>
    <t>CURRENT RATES:</t>
  </si>
  <si>
    <t>FIRM TRANSPORTATION - LARGE</t>
  </si>
  <si>
    <t>(1) REFLECTS NORMALIZED VOLUMES.</t>
  </si>
  <si>
    <t>SALES(1)</t>
  </si>
  <si>
    <t>FT LARGE</t>
  </si>
  <si>
    <t>FIRM TRANSPORTATION-LARGE</t>
  </si>
  <si>
    <t>FIRM TRANSP - LARGE</t>
  </si>
  <si>
    <t>(I-H) /H</t>
  </si>
  <si>
    <t>PAGE  6  OF  7</t>
  </si>
  <si>
    <t>PAGE  7  OF  7</t>
  </si>
  <si>
    <t>PAGE  5  OF  7</t>
  </si>
  <si>
    <t>PAGE  4  OF  7</t>
  </si>
  <si>
    <t>PAGE  3  OF  7</t>
  </si>
  <si>
    <t>PAGE  2  OF  7</t>
  </si>
  <si>
    <t>PAGE  1  OF  7</t>
  </si>
  <si>
    <t>RECONNECTION CHARGES</t>
  </si>
  <si>
    <t>(1) DETAIL CONTAINED ON SCHEDULES M-2.2, PAGES 2 THROUGH 7.</t>
  </si>
  <si>
    <t>(1) DETAIL CONTAINED ON SCHEDULES M-2.3, PAGES 2 THROUGH 7.</t>
  </si>
  <si>
    <t>AND INTERRUPTIBLE TRANSPORTATION RATES ON TYPICAL CUSTOMER BILLS</t>
  </si>
  <si>
    <t>EFFECTS OF PROPOSED FIRM TRANSPORTATION-LARGE RATES</t>
  </si>
  <si>
    <t>EFFECTS OF PROPOSED RESIDENTIAL AND GENERAL SERVICE RATES</t>
  </si>
  <si>
    <t>PAGE 1 OF 2</t>
  </si>
  <si>
    <t>PAGE 2 OF 2</t>
  </si>
  <si>
    <t>Rider DSMR:</t>
  </si>
  <si>
    <t>Current</t>
  </si>
  <si>
    <t>Proposed</t>
  </si>
  <si>
    <t xml:space="preserve">     Rate RS</t>
  </si>
  <si>
    <t xml:space="preserve">     Rate GS</t>
  </si>
  <si>
    <t xml:space="preserve"> </t>
  </si>
  <si>
    <t>TYPE OF FILING: _X_ ORIGINAL   ___UPDATED  ___ REVISED</t>
  </si>
  <si>
    <t xml:space="preserve">     TOTAL MONTHLY BILLS  x   :</t>
  </si>
  <si>
    <t xml:space="preserve">     TOTAL MONTHLY BILLS  x  :</t>
  </si>
  <si>
    <t xml:space="preserve">    TOTAL MONTHLY BILLS x  :</t>
  </si>
  <si>
    <t xml:space="preserve">     TOTAL MONTHLY BILLS x  :</t>
  </si>
  <si>
    <t>REVENUE(4)</t>
  </si>
  <si>
    <t>TOTAL THROUGHPUT</t>
  </si>
  <si>
    <t>$ per MCF</t>
  </si>
  <si>
    <t xml:space="preserve">     Rate FT-L</t>
  </si>
  <si>
    <t>DUKE ENERGY KENTUCKY</t>
  </si>
  <si>
    <t>ADMINISTRATIVE CHARGE</t>
  </si>
  <si>
    <t>TRANSPORTATION CHARGE:</t>
  </si>
  <si>
    <t>RIDERS:</t>
  </si>
  <si>
    <t>ALL CONSUMPTION</t>
  </si>
  <si>
    <t>Rider GCAT:</t>
  </si>
  <si>
    <t>TOTAL RIDERS</t>
  </si>
  <si>
    <t xml:space="preserve">     Rate RS  (HEA)</t>
  </si>
  <si>
    <t>HOME ENERGY ASSISTANCE PROGRAM (HEA)</t>
  </si>
  <si>
    <t>RATE RS EXCLUDING RIDERS</t>
  </si>
  <si>
    <t>TOTAL RATE RS RESIDENTIAL INCLUDING RIDERS</t>
  </si>
  <si>
    <t>TOTAL RATE GS COMMERCIAL INCLUDING RIDERS</t>
  </si>
  <si>
    <t>RATE GS COMMERCIAL EXCLUDING RIDERS</t>
  </si>
  <si>
    <t>RATE GS INDUSTRIAL EXCLUDING RIDERS</t>
  </si>
  <si>
    <t>TOTAL RATE GS INDUSTRIAL INCLUDING RIDERS</t>
  </si>
  <si>
    <t>RATE GS OPA EXCLUDING RIDERS</t>
  </si>
  <si>
    <t>TOTAL RATE GS OPA INCLUDING RIDERS</t>
  </si>
  <si>
    <t xml:space="preserve">     TOTAL MONTHLY BILLS  x :</t>
  </si>
  <si>
    <t xml:space="preserve">     CUSTOMER CHARGE PER MONTH</t>
  </si>
  <si>
    <t>DEMAND SIDE MANAGEMENT RATE (DSMR)</t>
  </si>
  <si>
    <t>TOTAL RATE FT - LARGE INCLUDING RIDERS</t>
  </si>
  <si>
    <t>TOTAL RATE IT TRANSPORTATION</t>
  </si>
  <si>
    <t>RATE FT-LARGE EXCLUDING RIDERS</t>
  </si>
  <si>
    <t>RESIDENTIAL SERVICE</t>
  </si>
  <si>
    <t>GENERAL SERVICE COMMERCIAL</t>
  </si>
  <si>
    <t>GENERAL SERVICE INDUSTRIAL</t>
  </si>
  <si>
    <t>GENERAL SERVICE OTHER PUB AUTH</t>
  </si>
  <si>
    <t>OTHER MISCELLANEOUS</t>
  </si>
  <si>
    <t>Interdepartmental Rates</t>
  </si>
  <si>
    <t xml:space="preserve">Customer Charge </t>
  </si>
  <si>
    <t>REVENUE TRANSP OF GAS-INTERCO</t>
  </si>
  <si>
    <t>PROVISION FOR RATE REFUNDS</t>
  </si>
  <si>
    <r>
      <t>SCHEDULE M-2.2</t>
    </r>
    <r>
      <rPr>
        <b/>
        <sz val="12"/>
        <color indexed="18"/>
        <rFont val="Courier"/>
        <family val="3"/>
      </rPr>
      <t xml:space="preserve"> </t>
    </r>
    <r>
      <rPr>
        <b/>
        <sz val="10"/>
        <color indexed="18"/>
        <rFont val="Arial"/>
        <family val="2"/>
      </rPr>
      <t>(CURRENT RATES)</t>
    </r>
  </si>
  <si>
    <r>
      <t>SCHEDULE M-2.3</t>
    </r>
    <r>
      <rPr>
        <b/>
        <sz val="12"/>
        <color indexed="18"/>
        <rFont val="Courier"/>
        <family val="3"/>
      </rPr>
      <t xml:space="preserve"> </t>
    </r>
    <r>
      <rPr>
        <b/>
        <sz val="10"/>
        <color indexed="18"/>
        <rFont val="Arial"/>
        <family val="2"/>
      </rPr>
      <t>(PROPOSED RATES)</t>
    </r>
  </si>
  <si>
    <t>$ per Month</t>
  </si>
  <si>
    <t>RATE IT EXCLUDING RIDERS</t>
  </si>
  <si>
    <t>Rate RS:</t>
  </si>
  <si>
    <t xml:space="preserve">     Customer Charge</t>
  </si>
  <si>
    <t xml:space="preserve">     Delivery Rate</t>
  </si>
  <si>
    <t>Rate GS:</t>
  </si>
  <si>
    <t>Rate FT-L:</t>
  </si>
  <si>
    <t>Rate IT:</t>
  </si>
  <si>
    <t xml:space="preserve">     Administrative Charge</t>
  </si>
  <si>
    <t xml:space="preserve">     Commodity Charge</t>
  </si>
  <si>
    <t>ANNUALIZED REVENUES AT PROPOSED VS. MOST CURRENT RATES</t>
  </si>
  <si>
    <t>12 MONTHS FORECASTED</t>
  </si>
  <si>
    <t>DATA: ___ BASE PERIOD   _X_FORECASTED PERIOD</t>
  </si>
  <si>
    <t>REVENUE REQUIREMENTS FROM COST OF SERVICE STUDY</t>
  </si>
  <si>
    <t>Proposed Revenue Requirements</t>
  </si>
  <si>
    <t>Rate</t>
  </si>
  <si>
    <t>+ value is high &amp; - value is low</t>
  </si>
  <si>
    <t>Customer Bills</t>
  </si>
  <si>
    <t>Current Rate Revenues - No Riders - Including Fuel</t>
  </si>
  <si>
    <t>Customer Component RRs</t>
  </si>
  <si>
    <t>COS - no riders - includes fuel and FAC</t>
  </si>
  <si>
    <t>% Change</t>
  </si>
  <si>
    <t>Increase</t>
  </si>
  <si>
    <t>OTHER</t>
  </si>
  <si>
    <t>PROPOSED RATE CALCULATIONS</t>
  </si>
  <si>
    <t>PROPOSED RATE CALCULATION</t>
  </si>
  <si>
    <t>Rate:  RS</t>
  </si>
  <si>
    <t>Test Period</t>
  </si>
  <si>
    <t>COSS - RS Customer Component</t>
  </si>
  <si>
    <t>COSS Customer Charge</t>
  </si>
  <si>
    <t>Check to Revenue Requirements</t>
  </si>
  <si>
    <t>Current Customer Charge</t>
  </si>
  <si>
    <t>Gap</t>
  </si>
  <si>
    <t>Migration @ % of Justified</t>
  </si>
  <si>
    <t>Customer Charge at % Migration to COSS</t>
  </si>
  <si>
    <t>Proposed Customer Charge</t>
  </si>
  <si>
    <t>Proposed Customer Charge Revenues</t>
  </si>
  <si>
    <t>COSS - RS Revenue Requirement</t>
  </si>
  <si>
    <t>Proposed Energy Charge</t>
  </si>
  <si>
    <t>SCHEDULE M - CURRENT RATE REVENUES</t>
  </si>
  <si>
    <t>No Riders - With Fuel</t>
  </si>
  <si>
    <t>FT-Large</t>
  </si>
  <si>
    <t>COST OF SERVICE STUDY</t>
  </si>
  <si>
    <t>Rate:  GS</t>
  </si>
  <si>
    <t>Rate:  FT-Large</t>
  </si>
  <si>
    <t>Rate:  IT</t>
  </si>
  <si>
    <t>Less Proposed Customer Charge Revenues Less GCA</t>
  </si>
  <si>
    <t>Test Period MCF</t>
  </si>
  <si>
    <t>Proposed Delivery Charge</t>
  </si>
  <si>
    <t>Migration Percentage</t>
  </si>
  <si>
    <t>Less COS Revenue Requirement</t>
  </si>
  <si>
    <t>Comparison of Schedule M Calculated Proposed Revenues</t>
  </si>
  <si>
    <t>COSS - GS Customer Component</t>
  </si>
  <si>
    <t>COSS - GS Revenue Requirement</t>
  </si>
  <si>
    <t>COSS - FT-L Customer Component</t>
  </si>
  <si>
    <t>COSS - FT-L Revenue Requirement</t>
  </si>
  <si>
    <t>COSS - IT Customer Component</t>
  </si>
  <si>
    <t>COSS - IT Revenue Requirement</t>
  </si>
  <si>
    <t>WEATHER NORMALIZATION ADJUSTMENT (WNA)</t>
  </si>
  <si>
    <t>Less Proposed Customer Charge Revenues Less GCA/GCAT</t>
  </si>
  <si>
    <t>Total</t>
  </si>
  <si>
    <t>Not used</t>
  </si>
  <si>
    <t>FT-L</t>
  </si>
  <si>
    <t>TEST PERIOD REVENUES AT CURRENT AVERAGE RATES</t>
  </si>
  <si>
    <t>TEST PERIOD</t>
  </si>
  <si>
    <t>FT - L</t>
  </si>
  <si>
    <t>INTERRUPTIBLE TRANSP</t>
  </si>
  <si>
    <t>(FT-L)</t>
  </si>
  <si>
    <t xml:space="preserve">Monthly </t>
  </si>
  <si>
    <t xml:space="preserve">   N/A</t>
  </si>
  <si>
    <t xml:space="preserve"> BILL DATA INCLUDING RIDERS LESS COST of GAS</t>
  </si>
  <si>
    <t>COST (1)</t>
  </si>
  <si>
    <t>FOR THE TWELVE MONTHS ENDED DECEMBER 31, 2022</t>
  </si>
  <si>
    <t>J.L. Kern</t>
  </si>
  <si>
    <t>FIELD COLLECTION CHARGES</t>
  </si>
  <si>
    <t>MINIMUM USE CONTRACT</t>
  </si>
  <si>
    <t>Annual Usage Required</t>
  </si>
  <si>
    <t>Estimated Annual Usage</t>
  </si>
  <si>
    <t>Projected Shortfall</t>
  </si>
  <si>
    <t>New Minumum Usage Revenue</t>
  </si>
  <si>
    <t>Change in Min Usage Revenue</t>
  </si>
  <si>
    <t>FT-L Rev Requirement</t>
  </si>
  <si>
    <t>Original Min Usage Revenue</t>
  </si>
  <si>
    <t>Additional FT for Min use</t>
  </si>
  <si>
    <t>GS Rev Requirement</t>
  </si>
  <si>
    <t>Current Interdept Rev</t>
  </si>
  <si>
    <t>GS Increase %</t>
  </si>
  <si>
    <t>Interdept Increase</t>
  </si>
  <si>
    <t>Proposed Intdept Rev</t>
  </si>
  <si>
    <t>GAS COST ADJUSTMENT TRANSITION (GCAT) (2)</t>
  </si>
  <si>
    <t xml:space="preserve">(2) GCAT only applies to FT-L customers during the first 12 months after they switch from sales service.  Usage for this rider estimated at </t>
  </si>
  <si>
    <t>Less Interdeptartmental</t>
  </si>
  <si>
    <t>GS-Comm</t>
  </si>
  <si>
    <t>GS-Ind</t>
  </si>
  <si>
    <t>GS-OPA</t>
  </si>
  <si>
    <t>Average</t>
  </si>
  <si>
    <t>(CCF)</t>
  </si>
  <si>
    <t>IMBS</t>
  </si>
  <si>
    <t>Current Rate</t>
  </si>
  <si>
    <t>Proposed Rate</t>
  </si>
  <si>
    <t>/mcf</t>
  </si>
  <si>
    <t>Monthly</t>
  </si>
  <si>
    <t>EXPECTED GAS COST:</t>
  </si>
  <si>
    <t>Do not enter riders below.  Enter them over here!</t>
  </si>
  <si>
    <t>---------&gt;</t>
  </si>
  <si>
    <t>CASE NO. 2021-00190</t>
  </si>
  <si>
    <t>GAS COST ADJUSTMENT TRANSITION (GCAT)(2)</t>
  </si>
  <si>
    <t>Min Use Annual Delivery Component</t>
  </si>
  <si>
    <t>Change in Min Use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</si>
</sst>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0_)"/>
    <numFmt numFmtId="166" formatCode="0.00_)"/>
    <numFmt numFmtId="167" formatCode="0.000_)"/>
    <numFmt numFmtId="168" formatCode="#,##0.0000_);\(#,##0.0000\)"/>
    <numFmt numFmtId="169" formatCode="0.0_)"/>
    <numFmt numFmtId="170" formatCode="#,##0.0_);\(#,##0.0\)"/>
    <numFmt numFmtId="171" formatCode="0_)"/>
    <numFmt numFmtId="172" formatCode="#,##0.000000_);\(#,##0.000000\)"/>
    <numFmt numFmtId="173" formatCode="0.00;\(0.00\)"/>
    <numFmt numFmtId="174" formatCode="0.00_);\(0.00\)"/>
    <numFmt numFmtId="175" formatCode="#,##0.00000_);\(#,##0.00000\)"/>
    <numFmt numFmtId="176" formatCode="0.0000_);\(0.0000\)"/>
    <numFmt numFmtId="177" formatCode="&quot;$&quot;#,##0.000_);\(&quot;$&quot;#,##0.000\)"/>
    <numFmt numFmtId="178" formatCode="0.000000_);\(0.000000\)"/>
    <numFmt numFmtId="179" formatCode="&quot;$&quot;#,##0.000"/>
    <numFmt numFmtId="180" formatCode="0.0_);\(0.0\)"/>
    <numFmt numFmtId="181" formatCode="_(* #,##0.0_);_(* \(#,##0.0\);_(* &quot;-&quot;?_);_(@_)"/>
    <numFmt numFmtId="182" formatCode="#,##0.0000"/>
    <numFmt numFmtId="183" formatCode="_(* #,##0_);_(* \(#,##0\);_(* &quot;-&quot;??_);_(@_)"/>
    <numFmt numFmtId="184" formatCode="0.0%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.0000_);_(* \(#,##0.0000\);_(* &quot;-&quot;??_);_(@_)"/>
    <numFmt numFmtId="188" formatCode="&quot;$&quot;#,##0.000000_);\(&quot;$&quot;#,##0.000000\)"/>
    <numFmt numFmtId="189" formatCode="&quot;$&quot;#,##0"/>
    <numFmt numFmtId="190" formatCode="_(&quot;$&quot;* #,##0.0000_);_(&quot;$&quot;* \(#,##0.0000\);_(&quot;$&quot;* &quot;-&quot;??_);_(@_)"/>
  </numFmts>
  <fonts count="39" x14ac:knownFonts="1">
    <font>
      <sz val="12"/>
      <name val="Courier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8"/>
      <name val="Courier"/>
      <family val="3"/>
    </font>
    <font>
      <b/>
      <sz val="10"/>
      <name val="Arial"/>
      <family val="2"/>
    </font>
    <font>
      <b/>
      <sz val="12"/>
      <color indexed="16"/>
      <name val="Courier"/>
      <family val="3"/>
    </font>
    <font>
      <b/>
      <sz val="14"/>
      <color indexed="40"/>
      <name val="Arial"/>
      <family val="2"/>
    </font>
    <font>
      <b/>
      <sz val="12"/>
      <color indexed="21"/>
      <name val="Arial"/>
      <family val="2"/>
    </font>
    <font>
      <sz val="12"/>
      <color indexed="49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12"/>
      <color rgb="FFFF0000"/>
      <name val="Arial"/>
      <family val="2"/>
    </font>
    <font>
      <b/>
      <sz val="9"/>
      <color theme="5" tint="-0.249977111117893"/>
      <name val="Arial"/>
      <family val="2"/>
    </font>
    <font>
      <b/>
      <sz val="10"/>
      <color indexed="1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sz val="12"/>
      <name val="Courier"/>
      <family val="3"/>
    </font>
    <font>
      <sz val="12"/>
      <name val="Courier"/>
      <family val="3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/>
      <sz val="12"/>
      <name val="Arial"/>
      <family val="2"/>
    </font>
    <font>
      <b/>
      <sz val="12"/>
      <color rgb="FF000080"/>
      <name val="Courier"/>
    </font>
    <font>
      <sz val="8"/>
      <color rgb="FF000000"/>
      <name val="Segoe UI"/>
      <family val="2"/>
    </font>
    <font>
      <sz val="12"/>
      <color rgb="FF33CCCC"/>
      <name val="Arial"/>
      <family val="2"/>
    </font>
    <font>
      <sz val="12"/>
      <name val="Courie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41C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Arial"/>
      <family val="2"/>
    </font>
    <font>
      <sz val="12"/>
      <color rgb="FF0041C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5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centerContinuous"/>
    </xf>
    <xf numFmtId="0" fontId="0" fillId="2" borderId="0" xfId="0" applyFill="1"/>
    <xf numFmtId="0" fontId="0" fillId="3" borderId="0" xfId="0" applyFill="1"/>
    <xf numFmtId="0" fontId="1" fillId="4" borderId="3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0" fillId="4" borderId="3" xfId="0" applyFill="1" applyBorder="1"/>
    <xf numFmtId="0" fontId="0" fillId="4" borderId="4" xfId="0" applyFill="1" applyBorder="1"/>
    <xf numFmtId="0" fontId="3" fillId="4" borderId="8" xfId="0" applyFont="1" applyFill="1" applyBorder="1"/>
    <xf numFmtId="178" fontId="3" fillId="4" borderId="8" xfId="0" applyNumberFormat="1" applyFont="1" applyFill="1" applyBorder="1" applyAlignment="1" applyProtection="1">
      <alignment horizontal="center"/>
    </xf>
    <xf numFmtId="0" fontId="10" fillId="3" borderId="0" xfId="0" applyFont="1" applyFill="1"/>
    <xf numFmtId="0" fontId="9" fillId="3" borderId="0" xfId="0" quotePrefix="1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1" xfId="0" applyFont="1" applyBorder="1" applyAlignment="1" applyProtection="1">
      <alignment horizontal="fill"/>
    </xf>
    <xf numFmtId="0" fontId="3" fillId="0" borderId="0" xfId="0" applyFont="1" applyBorder="1" applyAlignment="1" applyProtection="1">
      <alignment horizontal="fill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37" fontId="3" fillId="0" borderId="0" xfId="0" applyNumberFormat="1" applyFont="1" applyBorder="1" applyProtection="1"/>
    <xf numFmtId="169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7" fontId="3" fillId="0" borderId="0" xfId="0" applyNumberFormat="1" applyFont="1" applyProtection="1">
      <protection locked="0"/>
    </xf>
    <xf numFmtId="37" fontId="3" fillId="0" borderId="1" xfId="0" applyNumberFormat="1" applyFont="1" applyBorder="1" applyProtection="1"/>
    <xf numFmtId="37" fontId="3" fillId="0" borderId="0" xfId="0" applyNumberFormat="1" applyFont="1" applyProtection="1"/>
    <xf numFmtId="169" fontId="3" fillId="0" borderId="1" xfId="0" applyNumberFormat="1" applyFont="1" applyBorder="1" applyProtection="1"/>
    <xf numFmtId="169" fontId="3" fillId="0" borderId="0" xfId="0" applyNumberFormat="1" applyFont="1" applyProtection="1"/>
    <xf numFmtId="37" fontId="3" fillId="0" borderId="9" xfId="0" applyNumberFormat="1" applyFont="1" applyBorder="1" applyProtection="1"/>
    <xf numFmtId="169" fontId="3" fillId="0" borderId="9" xfId="0" applyNumberFormat="1" applyFont="1" applyBorder="1" applyProtection="1"/>
    <xf numFmtId="0" fontId="3" fillId="0" borderId="0" xfId="0" quotePrefix="1" applyFont="1" applyAlignment="1">
      <alignment horizontal="left"/>
    </xf>
    <xf numFmtId="176" fontId="3" fillId="0" borderId="0" xfId="0" applyNumberFormat="1" applyFont="1" applyProtection="1">
      <protection locked="0"/>
    </xf>
    <xf numFmtId="170" fontId="3" fillId="0" borderId="0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166" fontId="3" fillId="0" borderId="0" xfId="0" applyNumberFormat="1" applyFont="1" applyProtection="1"/>
    <xf numFmtId="179" fontId="3" fillId="0" borderId="0" xfId="0" applyNumberFormat="1" applyFont="1" applyAlignment="1">
      <alignment horizontal="center"/>
    </xf>
    <xf numFmtId="166" fontId="3" fillId="0" borderId="0" xfId="0" applyNumberFormat="1" applyFont="1" applyBorder="1" applyProtection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applyProtection="1">
      <alignment horizontal="centerContinuous"/>
    </xf>
    <xf numFmtId="181" fontId="3" fillId="0" borderId="0" xfId="0" applyNumberFormat="1" applyFont="1"/>
    <xf numFmtId="181" fontId="3" fillId="0" borderId="0" xfId="0" applyNumberFormat="1" applyFont="1" applyBorder="1" applyProtection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0" xfId="0" applyNumberFormat="1" applyFont="1" applyBorder="1"/>
    <xf numFmtId="170" fontId="3" fillId="0" borderId="0" xfId="0" applyNumberFormat="1" applyFont="1"/>
    <xf numFmtId="181" fontId="3" fillId="0" borderId="0" xfId="0" applyNumberFormat="1" applyFont="1" applyBorder="1"/>
    <xf numFmtId="7" fontId="3" fillId="0" borderId="0" xfId="0" applyNumberFormat="1" applyFont="1" applyBorder="1" applyAlignment="1" applyProtection="1">
      <alignment horizontal="center"/>
    </xf>
    <xf numFmtId="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39" fontId="3" fillId="0" borderId="0" xfId="0" applyNumberFormat="1" applyFont="1" applyBorder="1" applyProtection="1"/>
    <xf numFmtId="39" fontId="3" fillId="0" borderId="0" xfId="0" applyNumberFormat="1" applyFont="1" applyBorder="1" applyAlignment="1" applyProtection="1">
      <alignment horizontal="fill"/>
    </xf>
    <xf numFmtId="39" fontId="3" fillId="0" borderId="0" xfId="0" applyNumberFormat="1" applyFont="1" applyBorder="1" applyAlignment="1" applyProtection="1">
      <alignment horizontal="center"/>
    </xf>
    <xf numFmtId="171" fontId="3" fillId="0" borderId="0" xfId="0" applyNumberFormat="1" applyFont="1" applyBorder="1" applyProtection="1"/>
    <xf numFmtId="177" fontId="3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Continuous"/>
    </xf>
    <xf numFmtId="0" fontId="3" fillId="0" borderId="0" xfId="0" applyFont="1" applyAlignment="1" applyProtection="1">
      <alignment horizontal="fill"/>
    </xf>
    <xf numFmtId="169" fontId="11" fillId="0" borderId="0" xfId="0" applyNumberFormat="1" applyFont="1" applyProtection="1"/>
    <xf numFmtId="170" fontId="3" fillId="0" borderId="0" xfId="0" applyNumberFormat="1" applyFont="1" applyProtection="1"/>
    <xf numFmtId="7" fontId="3" fillId="0" borderId="0" xfId="0" applyNumberFormat="1" applyFont="1" applyAlignment="1" applyProtection="1">
      <alignment horizontal="center"/>
    </xf>
    <xf numFmtId="37" fontId="3" fillId="0" borderId="0" xfId="0" applyNumberFormat="1" applyFont="1" applyProtection="1">
      <protection locked="0"/>
    </xf>
    <xf numFmtId="37" fontId="3" fillId="0" borderId="9" xfId="0" applyNumberFormat="1" applyFont="1" applyBorder="1"/>
    <xf numFmtId="170" fontId="3" fillId="0" borderId="9" xfId="0" applyNumberFormat="1" applyFont="1" applyBorder="1"/>
    <xf numFmtId="0" fontId="3" fillId="0" borderId="1" xfId="0" applyFont="1" applyBorder="1"/>
    <xf numFmtId="170" fontId="3" fillId="0" borderId="9" xfId="0" applyNumberFormat="1" applyFont="1" applyBorder="1" applyProtection="1"/>
    <xf numFmtId="0" fontId="3" fillId="0" borderId="9" xfId="0" applyFont="1" applyBorder="1"/>
    <xf numFmtId="170" fontId="3" fillId="0" borderId="0" xfId="0" applyNumberFormat="1" applyFont="1" applyAlignment="1" applyProtection="1">
      <alignment horizontal="right"/>
    </xf>
    <xf numFmtId="0" fontId="11" fillId="0" borderId="0" xfId="0" applyFont="1"/>
    <xf numFmtId="174" fontId="3" fillId="0" borderId="0" xfId="0" applyNumberFormat="1" applyFont="1" applyProtection="1"/>
    <xf numFmtId="173" fontId="3" fillId="0" borderId="0" xfId="0" applyNumberFormat="1" applyFont="1" applyProtection="1"/>
    <xf numFmtId="173" fontId="3" fillId="0" borderId="1" xfId="0" applyNumberFormat="1" applyFont="1" applyBorder="1" applyProtection="1"/>
    <xf numFmtId="173" fontId="3" fillId="0" borderId="9" xfId="0" applyNumberFormat="1" applyFont="1" applyBorder="1" applyProtection="1"/>
    <xf numFmtId="37" fontId="3" fillId="0" borderId="10" xfId="0" applyNumberFormat="1" applyFont="1" applyBorder="1" applyProtection="1"/>
    <xf numFmtId="173" fontId="3" fillId="0" borderId="10" xfId="0" applyNumberFormat="1" applyFont="1" applyBorder="1" applyProtection="1"/>
    <xf numFmtId="176" fontId="3" fillId="0" borderId="0" xfId="0" applyNumberFormat="1" applyFont="1" applyProtection="1"/>
    <xf numFmtId="176" fontId="3" fillId="0" borderId="0" xfId="0" applyNumberFormat="1" applyFont="1"/>
    <xf numFmtId="176" fontId="3" fillId="0" borderId="0" xfId="0" applyNumberFormat="1" applyFont="1" applyBorder="1"/>
    <xf numFmtId="177" fontId="3" fillId="0" borderId="0" xfId="0" applyNumberFormat="1" applyFont="1"/>
    <xf numFmtId="168" fontId="3" fillId="0" borderId="0" xfId="0" applyNumberFormat="1" applyFont="1" applyProtection="1"/>
    <xf numFmtId="176" fontId="3" fillId="0" borderId="0" xfId="0" applyNumberFormat="1" applyFont="1" applyAlignment="1" applyProtection="1">
      <alignment horizontal="right"/>
    </xf>
    <xf numFmtId="173" fontId="3" fillId="0" borderId="0" xfId="0" applyNumberFormat="1" applyFont="1" applyBorder="1" applyAlignment="1" applyProtection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10" fontId="3" fillId="0" borderId="0" xfId="0" applyNumberFormat="1" applyFont="1" applyProtection="1"/>
    <xf numFmtId="10" fontId="3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169" fontId="3" fillId="0" borderId="0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  <protection locked="0"/>
    </xf>
    <xf numFmtId="181" fontId="3" fillId="0" borderId="0" xfId="0" applyNumberFormat="1" applyFont="1" applyBorder="1" applyAlignment="1" applyProtection="1">
      <alignment horizontal="right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applyNumberFormat="1" applyFont="1" applyBorder="1" applyProtection="1"/>
    <xf numFmtId="180" fontId="3" fillId="0" borderId="0" xfId="0" applyNumberFormat="1" applyFont="1" applyBorder="1"/>
    <xf numFmtId="170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80" fontId="3" fillId="0" borderId="0" xfId="0" applyNumberFormat="1" applyFont="1" applyBorder="1" applyAlignment="1" applyProtection="1">
      <alignment horizontal="right"/>
    </xf>
    <xf numFmtId="170" fontId="3" fillId="0" borderId="9" xfId="0" applyNumberFormat="1" applyFont="1" applyBorder="1" applyAlignment="1" applyProtection="1">
      <alignment horizontal="right"/>
    </xf>
    <xf numFmtId="182" fontId="3" fillId="0" borderId="0" xfId="0" applyNumberFormat="1" applyFont="1" applyBorder="1" applyAlignment="1" applyProtection="1">
      <alignment horizontal="right"/>
    </xf>
    <xf numFmtId="182" fontId="3" fillId="0" borderId="10" xfId="0" applyNumberFormat="1" applyFont="1" applyBorder="1" applyAlignment="1" applyProtection="1">
      <alignment horizontal="right"/>
    </xf>
    <xf numFmtId="173" fontId="3" fillId="0" borderId="0" xfId="0" applyNumberFormat="1" applyFont="1" applyBorder="1" applyProtection="1"/>
    <xf numFmtId="168" fontId="3" fillId="0" borderId="0" xfId="0" applyNumberFormat="1" applyFont="1" applyBorder="1" applyProtection="1"/>
    <xf numFmtId="180" fontId="3" fillId="0" borderId="0" xfId="0" applyNumberFormat="1" applyFont="1" applyAlignment="1" applyProtection="1">
      <alignment horizontal="right"/>
    </xf>
    <xf numFmtId="37" fontId="3" fillId="0" borderId="11" xfId="0" applyNumberFormat="1" applyFont="1" applyBorder="1" applyProtection="1"/>
    <xf numFmtId="173" fontId="3" fillId="0" borderId="11" xfId="0" applyNumberFormat="1" applyFont="1" applyBorder="1" applyProtection="1"/>
    <xf numFmtId="180" fontId="3" fillId="0" borderId="9" xfId="0" applyNumberFormat="1" applyFont="1" applyBorder="1" applyProtection="1"/>
    <xf numFmtId="7" fontId="3" fillId="0" borderId="0" xfId="0" applyNumberFormat="1" applyFont="1" applyBorder="1" applyProtection="1">
      <protection locked="0"/>
    </xf>
    <xf numFmtId="0" fontId="3" fillId="0" borderId="1" xfId="0" applyFont="1" applyBorder="1" applyAlignment="1">
      <alignment horizontal="centerContinuous"/>
    </xf>
    <xf numFmtId="39" fontId="3" fillId="0" borderId="0" xfId="0" applyNumberFormat="1" applyFont="1"/>
    <xf numFmtId="0" fontId="6" fillId="3" borderId="0" xfId="0" quotePrefix="1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17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2" fontId="6" fillId="4" borderId="8" xfId="0" applyNumberFormat="1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3" fillId="0" borderId="0" xfId="0" quotePrefix="1" applyFont="1"/>
    <xf numFmtId="180" fontId="3" fillId="0" borderId="1" xfId="0" applyNumberFormat="1" applyFont="1" applyBorder="1" applyProtection="1"/>
    <xf numFmtId="173" fontId="3" fillId="0" borderId="1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 indent="3"/>
    </xf>
    <xf numFmtId="37" fontId="3" fillId="0" borderId="12" xfId="0" applyNumberFormat="1" applyFont="1" applyBorder="1" applyProtection="1"/>
    <xf numFmtId="0" fontId="13" fillId="3" borderId="0" xfId="0" quotePrefix="1" applyFont="1" applyFill="1" applyAlignment="1">
      <alignment horizontal="left"/>
    </xf>
    <xf numFmtId="0" fontId="4" fillId="3" borderId="0" xfId="0" applyFont="1" applyFill="1"/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/>
    <xf numFmtId="0" fontId="6" fillId="5" borderId="2" xfId="0" applyFont="1" applyFill="1" applyBorder="1" applyAlignment="1">
      <alignment horizontal="centerContinuous" vertical="center"/>
    </xf>
    <xf numFmtId="0" fontId="6" fillId="5" borderId="3" xfId="0" applyFont="1" applyFill="1" applyBorder="1" applyAlignment="1">
      <alignment horizontal="centerContinuous" vertical="center"/>
    </xf>
    <xf numFmtId="0" fontId="0" fillId="5" borderId="3" xfId="0" applyFill="1" applyBorder="1" applyAlignment="1">
      <alignment horizontal="centerContinuous" vertical="center"/>
    </xf>
    <xf numFmtId="0" fontId="0" fillId="5" borderId="4" xfId="0" applyFill="1" applyBorder="1" applyAlignment="1">
      <alignment horizontal="centerContinuous" vertical="center"/>
    </xf>
    <xf numFmtId="39" fontId="3" fillId="0" borderId="12" xfId="0" applyNumberFormat="1" applyFont="1" applyBorder="1" applyProtection="1"/>
    <xf numFmtId="168" fontId="3" fillId="0" borderId="0" xfId="0" applyNumberFormat="1" applyFont="1" applyProtection="1">
      <protection locked="0"/>
    </xf>
    <xf numFmtId="7" fontId="6" fillId="4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 horizontal="left" indent="1"/>
    </xf>
    <xf numFmtId="0" fontId="10" fillId="0" borderId="0" xfId="0" applyFont="1" applyFill="1"/>
    <xf numFmtId="0" fontId="14" fillId="3" borderId="0" xfId="0" applyFont="1" applyFill="1"/>
    <xf numFmtId="0" fontId="14" fillId="0" borderId="0" xfId="0" applyFont="1"/>
    <xf numFmtId="180" fontId="3" fillId="0" borderId="1" xfId="0" applyNumberFormat="1" applyFont="1" applyBorder="1" applyAlignment="1" applyProtection="1">
      <alignment horizontal="right"/>
    </xf>
    <xf numFmtId="180" fontId="3" fillId="0" borderId="9" xfId="0" applyNumberFormat="1" applyFont="1" applyBorder="1" applyAlignment="1" applyProtection="1">
      <alignment horizontal="right"/>
    </xf>
    <xf numFmtId="0" fontId="3" fillId="0" borderId="0" xfId="1" applyFont="1" applyAlignment="1" applyProtection="1">
      <alignment horizontal="centerContinuous"/>
    </xf>
    <xf numFmtId="0" fontId="3" fillId="0" borderId="0" xfId="12" applyFont="1" applyAlignment="1" applyProtection="1">
      <alignment horizontal="centerContinuous"/>
    </xf>
    <xf numFmtId="0" fontId="16" fillId="3" borderId="0" xfId="0" applyFont="1" applyFill="1"/>
    <xf numFmtId="0" fontId="13" fillId="3" borderId="0" xfId="0" applyFont="1" applyFill="1" applyAlignment="1">
      <alignment horizontal="left" indent="1"/>
    </xf>
    <xf numFmtId="0" fontId="3" fillId="0" borderId="0" xfId="0" applyFont="1" applyFill="1"/>
    <xf numFmtId="37" fontId="3" fillId="0" borderId="0" xfId="0" applyNumberFormat="1" applyFont="1" applyFill="1" applyBorder="1" applyProtection="1"/>
    <xf numFmtId="37" fontId="3" fillId="0" borderId="1" xfId="0" applyNumberFormat="1" applyFont="1" applyFill="1" applyBorder="1" applyProtection="1"/>
    <xf numFmtId="37" fontId="3" fillId="0" borderId="0" xfId="0" applyNumberFormat="1" applyFont="1" applyFill="1" applyProtection="1">
      <protection locked="0"/>
    </xf>
    <xf numFmtId="37" fontId="3" fillId="0" borderId="10" xfId="0" applyNumberFormat="1" applyFont="1" applyFill="1" applyBorder="1" applyProtection="1"/>
    <xf numFmtId="37" fontId="3" fillId="0" borderId="0" xfId="0" applyNumberFormat="1" applyFont="1" applyFill="1" applyProtection="1"/>
    <xf numFmtId="0" fontId="17" fillId="3" borderId="0" xfId="0" applyFont="1" applyFill="1"/>
    <xf numFmtId="0" fontId="3" fillId="4" borderId="5" xfId="0" quotePrefix="1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2" xfId="0" quotePrefix="1" applyFont="1" applyFill="1" applyBorder="1" applyAlignment="1" applyProtection="1">
      <alignment horizontal="left"/>
      <protection locked="0"/>
    </xf>
    <xf numFmtId="0" fontId="20" fillId="3" borderId="0" xfId="0" applyFont="1" applyFill="1"/>
    <xf numFmtId="0" fontId="3" fillId="0" borderId="0" xfId="0" applyFont="1" applyBorder="1" applyAlignment="1">
      <alignment horizontal="left" indent="1"/>
    </xf>
    <xf numFmtId="172" fontId="3" fillId="0" borderId="0" xfId="0" applyNumberFormat="1" applyFont="1" applyBorder="1" applyProtection="1">
      <protection locked="0"/>
    </xf>
    <xf numFmtId="178" fontId="3" fillId="0" borderId="0" xfId="0" applyNumberFormat="1" applyFont="1" applyBorder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Continuous"/>
    </xf>
    <xf numFmtId="0" fontId="26" fillId="0" borderId="1" xfId="0" quotePrefix="1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/>
    <xf numFmtId="0" fontId="27" fillId="0" borderId="0" xfId="14" applyFont="1" applyAlignment="1">
      <alignment horizontal="center"/>
    </xf>
    <xf numFmtId="0" fontId="28" fillId="0" borderId="0" xfId="0" applyFont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8" fillId="0" borderId="0" xfId="0" applyFont="1" applyBorder="1"/>
    <xf numFmtId="0" fontId="26" fillId="0" borderId="0" xfId="0" applyFont="1" applyAlignment="1">
      <alignment horizontal="left" indent="3"/>
    </xf>
    <xf numFmtId="0" fontId="26" fillId="0" borderId="0" xfId="0" applyFont="1" applyAlignment="1" applyProtection="1">
      <alignment horizontal="center"/>
    </xf>
    <xf numFmtId="0" fontId="26" fillId="0" borderId="0" xfId="0" quotePrefix="1" applyFont="1" applyAlignment="1" applyProtection="1">
      <alignment horizontal="center"/>
    </xf>
    <xf numFmtId="0" fontId="28" fillId="0" borderId="0" xfId="0" quotePrefix="1" applyFont="1" applyAlignment="1">
      <alignment horizontal="left"/>
    </xf>
    <xf numFmtId="0" fontId="26" fillId="0" borderId="0" xfId="0" quotePrefix="1" applyFont="1" applyAlignment="1" applyProtection="1">
      <alignment horizontal="left"/>
    </xf>
    <xf numFmtId="0" fontId="28" fillId="0" borderId="0" xfId="0" applyFont="1" applyAlignment="1" applyProtection="1">
      <alignment horizontal="left"/>
    </xf>
    <xf numFmtId="166" fontId="3" fillId="0" borderId="0" xfId="0" applyNumberFormat="1" applyFont="1" applyProtection="1">
      <protection locked="0"/>
    </xf>
    <xf numFmtId="0" fontId="15" fillId="0" borderId="0" xfId="0" applyFont="1"/>
    <xf numFmtId="37" fontId="3" fillId="0" borderId="0" xfId="0" applyNumberFormat="1" applyFont="1" applyBorder="1" applyProtection="1">
      <protection locked="0"/>
    </xf>
    <xf numFmtId="0" fontId="26" fillId="0" borderId="0" xfId="0" applyFont="1" applyAlignment="1" applyProtection="1">
      <alignment horizontal="left" indent="1"/>
    </xf>
    <xf numFmtId="165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75" fontId="3" fillId="0" borderId="0" xfId="0" applyNumberFormat="1" applyFont="1" applyProtection="1">
      <protection locked="0"/>
    </xf>
    <xf numFmtId="0" fontId="26" fillId="0" borderId="0" xfId="0" applyFont="1" applyBorder="1"/>
    <xf numFmtId="39" fontId="3" fillId="0" borderId="0" xfId="0" applyNumberFormat="1" applyFont="1" applyBorder="1" applyProtection="1">
      <protection locked="0"/>
    </xf>
    <xf numFmtId="170" fontId="3" fillId="0" borderId="0" xfId="0" applyNumberFormat="1" applyFont="1" applyBorder="1" applyProtection="1">
      <protection locked="0"/>
    </xf>
    <xf numFmtId="180" fontId="3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69" fontId="3" fillId="0" borderId="0" xfId="0" applyNumberFormat="1" applyFont="1" applyBorder="1" applyProtection="1">
      <protection locked="0"/>
    </xf>
    <xf numFmtId="37" fontId="3" fillId="0" borderId="0" xfId="0" applyNumberFormat="1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 horizontal="left"/>
      <protection locked="0"/>
    </xf>
    <xf numFmtId="169" fontId="3" fillId="0" borderId="0" xfId="0" applyNumberFormat="1" applyFont="1" applyProtection="1">
      <protection locked="0"/>
    </xf>
    <xf numFmtId="164" fontId="3" fillId="0" borderId="0" xfId="0" applyNumberFormat="1" applyFont="1" applyBorder="1" applyProtection="1">
      <protection locked="0"/>
    </xf>
    <xf numFmtId="0" fontId="26" fillId="0" borderId="0" xfId="0" quotePrefix="1" applyFont="1" applyAlignment="1">
      <alignment horizontal="left" indent="1"/>
    </xf>
    <xf numFmtId="0" fontId="3" fillId="0" borderId="0" xfId="0" applyFont="1" applyProtection="1">
      <protection locked="0"/>
    </xf>
    <xf numFmtId="0" fontId="26" fillId="0" borderId="0" xfId="0" applyFont="1" applyAlignment="1" applyProtection="1">
      <alignment horizontal="left" indent="2"/>
    </xf>
    <xf numFmtId="0" fontId="26" fillId="0" borderId="0" xfId="0" applyFont="1" applyBorder="1" applyAlignment="1" applyProtection="1">
      <alignment horizontal="center"/>
    </xf>
    <xf numFmtId="170" fontId="3" fillId="0" borderId="0" xfId="0" applyNumberFormat="1" applyFont="1" applyProtection="1">
      <protection locked="0"/>
    </xf>
    <xf numFmtId="7" fontId="3" fillId="0" borderId="0" xfId="0" applyNumberFormat="1" applyFont="1" applyAlignment="1" applyProtection="1">
      <alignment horizontal="right"/>
    </xf>
    <xf numFmtId="165" fontId="3" fillId="0" borderId="0" xfId="0" quotePrefix="1" applyNumberFormat="1" applyFont="1" applyAlignment="1" applyProtection="1">
      <alignment horizontal="left"/>
      <protection locked="0"/>
    </xf>
    <xf numFmtId="178" fontId="3" fillId="4" borderId="8" xfId="0" applyNumberFormat="1" applyFont="1" applyFill="1" applyBorder="1"/>
    <xf numFmtId="0" fontId="1" fillId="9" borderId="0" xfId="0" applyFont="1" applyFill="1"/>
    <xf numFmtId="0" fontId="10" fillId="9" borderId="0" xfId="0" applyFont="1" applyFill="1"/>
    <xf numFmtId="0" fontId="1" fillId="9" borderId="5" xfId="0" applyFont="1" applyFill="1" applyBorder="1"/>
    <xf numFmtId="0" fontId="10" fillId="3" borderId="7" xfId="0" applyFont="1" applyFill="1" applyBorder="1"/>
    <xf numFmtId="0" fontId="1" fillId="9" borderId="15" xfId="0" applyFont="1" applyFill="1" applyBorder="1"/>
    <xf numFmtId="0" fontId="10" fillId="3" borderId="16" xfId="0" applyFont="1" applyFill="1" applyBorder="1"/>
    <xf numFmtId="0" fontId="31" fillId="9" borderId="0" xfId="0" applyFont="1" applyFill="1"/>
    <xf numFmtId="172" fontId="6" fillId="3" borderId="0" xfId="0" applyNumberFormat="1" applyFont="1" applyFill="1" applyAlignment="1">
      <alignment horizontal="center"/>
    </xf>
    <xf numFmtId="188" fontId="6" fillId="4" borderId="8" xfId="0" applyNumberFormat="1" applyFont="1" applyFill="1" applyBorder="1" applyAlignment="1">
      <alignment horizontal="center"/>
    </xf>
    <xf numFmtId="39" fontId="6" fillId="4" borderId="8" xfId="0" applyNumberFormat="1" applyFont="1" applyFill="1" applyBorder="1" applyAlignment="1">
      <alignment horizontal="center"/>
    </xf>
    <xf numFmtId="0" fontId="3" fillId="0" borderId="0" xfId="0" quotePrefix="1" applyFont="1" applyAlignment="1" applyProtection="1">
      <alignment horizontal="left" indent="1"/>
    </xf>
    <xf numFmtId="9" fontId="3" fillId="0" borderId="0" xfId="73" applyFont="1" applyAlignment="1" applyProtection="1">
      <alignment horizontal="left"/>
    </xf>
    <xf numFmtId="0" fontId="33" fillId="0" borderId="0" xfId="10" applyFont="1"/>
    <xf numFmtId="37" fontId="33" fillId="0" borderId="0" xfId="10" applyNumberFormat="1" applyFont="1"/>
    <xf numFmtId="184" fontId="33" fillId="0" borderId="0" xfId="73" applyNumberFormat="1" applyFont="1"/>
    <xf numFmtId="0" fontId="34" fillId="7" borderId="0" xfId="10" applyFont="1" applyFill="1"/>
    <xf numFmtId="0" fontId="33" fillId="7" borderId="0" xfId="10" applyFont="1" applyFill="1"/>
    <xf numFmtId="0" fontId="33" fillId="0" borderId="0" xfId="10" applyFont="1" applyFill="1"/>
    <xf numFmtId="0" fontId="33" fillId="6" borderId="0" xfId="10" applyFont="1" applyFill="1"/>
    <xf numFmtId="0" fontId="33" fillId="0" borderId="5" xfId="10" applyFont="1" applyBorder="1" applyAlignment="1">
      <alignment wrapText="1"/>
    </xf>
    <xf numFmtId="37" fontId="33" fillId="0" borderId="7" xfId="10" applyNumberFormat="1" applyFont="1" applyBorder="1"/>
    <xf numFmtId="0" fontId="33" fillId="0" borderId="13" xfId="10" applyFont="1" applyBorder="1"/>
    <xf numFmtId="185" fontId="33" fillId="0" borderId="14" xfId="65" applyNumberFormat="1" applyFont="1" applyBorder="1"/>
    <xf numFmtId="0" fontId="33" fillId="0" borderId="13" xfId="10" applyFont="1" applyBorder="1" applyAlignment="1">
      <alignment wrapText="1"/>
    </xf>
    <xf numFmtId="44" fontId="33" fillId="0" borderId="14" xfId="10" applyNumberFormat="1" applyFont="1" applyBorder="1"/>
    <xf numFmtId="44" fontId="33" fillId="0" borderId="14" xfId="65" applyFont="1" applyBorder="1"/>
    <xf numFmtId="0" fontId="33" fillId="0" borderId="2" xfId="10" applyFont="1" applyBorder="1" applyAlignment="1">
      <alignment wrapText="1"/>
    </xf>
    <xf numFmtId="44" fontId="33" fillId="8" borderId="4" xfId="10" applyNumberFormat="1" applyFont="1" applyFill="1" applyBorder="1"/>
    <xf numFmtId="184" fontId="33" fillId="0" borderId="0" xfId="63" applyNumberFormat="1" applyFont="1"/>
    <xf numFmtId="185" fontId="33" fillId="0" borderId="7" xfId="10" applyNumberFormat="1" applyFont="1" applyBorder="1"/>
    <xf numFmtId="185" fontId="33" fillId="0" borderId="14" xfId="10" applyNumberFormat="1" applyFont="1" applyBorder="1"/>
    <xf numFmtId="37" fontId="33" fillId="0" borderId="14" xfId="10" applyNumberFormat="1" applyFont="1" applyBorder="1"/>
    <xf numFmtId="187" fontId="33" fillId="8" borderId="4" xfId="64" applyNumberFormat="1" applyFont="1" applyFill="1" applyBorder="1"/>
    <xf numFmtId="0" fontId="33" fillId="0" borderId="0" xfId="10" applyFont="1" applyAlignment="1">
      <alignment wrapText="1"/>
    </xf>
    <xf numFmtId="185" fontId="33" fillId="6" borderId="0" xfId="10" applyNumberFormat="1" applyFont="1" applyFill="1"/>
    <xf numFmtId="185" fontId="33" fillId="0" borderId="0" xfId="74" applyNumberFormat="1" applyFont="1"/>
    <xf numFmtId="0" fontId="33" fillId="0" borderId="0" xfId="10" quotePrefix="1" applyFont="1" applyAlignment="1">
      <alignment horizontal="left"/>
    </xf>
    <xf numFmtId="189" fontId="35" fillId="0" borderId="0" xfId="10" applyNumberFormat="1" applyFont="1"/>
    <xf numFmtId="183" fontId="33" fillId="0" borderId="0" xfId="10" applyNumberFormat="1" applyFont="1"/>
    <xf numFmtId="9" fontId="33" fillId="0" borderId="0" xfId="63" applyFont="1"/>
    <xf numFmtId="183" fontId="35" fillId="0" borderId="0" xfId="62" applyNumberFormat="1" applyFont="1"/>
    <xf numFmtId="185" fontId="33" fillId="0" borderId="0" xfId="10" applyNumberFormat="1" applyFont="1"/>
    <xf numFmtId="5" fontId="33" fillId="0" borderId="0" xfId="10" applyNumberFormat="1" applyFont="1"/>
    <xf numFmtId="190" fontId="33" fillId="0" borderId="0" xfId="10" applyNumberFormat="1" applyFont="1"/>
    <xf numFmtId="0" fontId="36" fillId="0" borderId="0" xfId="10" applyFont="1"/>
    <xf numFmtId="0" fontId="33" fillId="0" borderId="0" xfId="10" quotePrefix="1" applyFont="1"/>
    <xf numFmtId="183" fontId="33" fillId="0" borderId="0" xfId="64" applyNumberFormat="1" applyFont="1"/>
    <xf numFmtId="183" fontId="35" fillId="0" borderId="0" xfId="64" applyNumberFormat="1" applyFont="1" applyFill="1"/>
    <xf numFmtId="43" fontId="33" fillId="0" borderId="0" xfId="10" applyNumberFormat="1" applyFont="1"/>
    <xf numFmtId="185" fontId="33" fillId="0" borderId="0" xfId="65" applyNumberFormat="1" applyFont="1"/>
    <xf numFmtId="183" fontId="33" fillId="0" borderId="0" xfId="64" applyNumberFormat="1" applyFont="1" applyFill="1"/>
    <xf numFmtId="183" fontId="33" fillId="0" borderId="0" xfId="64" applyNumberFormat="1" applyFont="1" applyFill="1" applyAlignment="1">
      <alignment wrapText="1"/>
    </xf>
    <xf numFmtId="0" fontId="1" fillId="0" borderId="0" xfId="0" quotePrefix="1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37" fontId="1" fillId="0" borderId="0" xfId="0" applyNumberFormat="1" applyFont="1" applyProtection="1"/>
    <xf numFmtId="39" fontId="1" fillId="0" borderId="0" xfId="0" applyNumberFormat="1" applyFont="1" applyProtection="1"/>
    <xf numFmtId="170" fontId="1" fillId="0" borderId="0" xfId="0" applyNumberFormat="1" applyFont="1" applyProtection="1"/>
    <xf numFmtId="0" fontId="1" fillId="0" borderId="0" xfId="0" applyFont="1" applyAlignment="1">
      <alignment horizontal="left"/>
    </xf>
    <xf numFmtId="170" fontId="1" fillId="0" borderId="0" xfId="0" applyNumberFormat="1" applyFont="1"/>
    <xf numFmtId="183" fontId="3" fillId="0" borderId="0" xfId="62" quotePrefix="1" applyNumberFormat="1" applyFont="1" applyAlignment="1" applyProtection="1">
      <alignment horizontal="right"/>
    </xf>
    <xf numFmtId="184" fontId="3" fillId="0" borderId="0" xfId="73" applyNumberFormat="1" applyFont="1" applyProtection="1"/>
    <xf numFmtId="0" fontId="1" fillId="0" borderId="0" xfId="0" applyFont="1" applyAlignment="1" applyProtection="1">
      <alignment horizontal="left"/>
    </xf>
    <xf numFmtId="183" fontId="3" fillId="0" borderId="0" xfId="0" applyNumberFormat="1" applyFont="1" applyAlignment="1" applyProtection="1">
      <alignment horizontal="left"/>
    </xf>
    <xf numFmtId="186" fontId="1" fillId="0" borderId="0" xfId="0" applyNumberFormat="1" applyFont="1" applyAlignment="1" applyProtection="1">
      <alignment horizontal="left"/>
    </xf>
    <xf numFmtId="0" fontId="1" fillId="0" borderId="1" xfId="0" applyFont="1" applyBorder="1" applyAlignment="1" applyProtection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7" fillId="0" borderId="0" xfId="0" quotePrefix="1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7" fillId="0" borderId="1" xfId="0" applyFont="1" applyBorder="1" applyAlignment="1" applyProtection="1">
      <alignment horizontal="center"/>
    </xf>
    <xf numFmtId="0" fontId="37" fillId="0" borderId="1" xfId="0" quotePrefix="1" applyFont="1" applyBorder="1" applyAlignment="1" applyProtection="1">
      <alignment horizontal="center"/>
    </xf>
    <xf numFmtId="166" fontId="1" fillId="0" borderId="0" xfId="0" applyNumberFormat="1" applyFont="1" applyProtection="1"/>
    <xf numFmtId="39" fontId="1" fillId="0" borderId="0" xfId="0" applyNumberFormat="1" applyFont="1"/>
    <xf numFmtId="0" fontId="38" fillId="0" borderId="0" xfId="0" applyFont="1"/>
    <xf numFmtId="43" fontId="1" fillId="0" borderId="0" xfId="62" applyFont="1"/>
    <xf numFmtId="0" fontId="3" fillId="0" borderId="0" xfId="0" applyFont="1" applyAlignment="1" applyProtection="1">
      <alignment horizontal="center"/>
    </xf>
    <xf numFmtId="0" fontId="13" fillId="3" borderId="0" xfId="0" applyFont="1" applyFill="1"/>
    <xf numFmtId="0" fontId="3" fillId="3" borderId="0" xfId="0" quotePrefix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</xf>
    <xf numFmtId="0" fontId="3" fillId="3" borderId="0" xfId="0" quotePrefix="1" applyFont="1" applyFill="1" applyAlignment="1">
      <alignment horizontal="left"/>
    </xf>
    <xf numFmtId="43" fontId="3" fillId="0" borderId="0" xfId="62" applyFont="1"/>
    <xf numFmtId="172" fontId="16" fillId="3" borderId="0" xfId="0" quotePrefix="1" applyNumberFormat="1" applyFont="1" applyFill="1" applyBorder="1" applyAlignment="1">
      <alignment horizontal="left"/>
    </xf>
    <xf numFmtId="0" fontId="16" fillId="3" borderId="0" xfId="0" quotePrefix="1" applyFont="1" applyFill="1" applyAlignment="1">
      <alignment horizontal="right"/>
    </xf>
    <xf numFmtId="0" fontId="33" fillId="0" borderId="13" xfId="10" quotePrefix="1" applyFont="1" applyBorder="1" applyAlignment="1">
      <alignment horizontal="left" wrapText="1"/>
    </xf>
    <xf numFmtId="0" fontId="19" fillId="3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</cellXfs>
  <cellStyles count="75">
    <cellStyle name="Comma" xfId="62" builtinId="3"/>
    <cellStyle name="Comma 2" xfId="64" xr:uid="{00000000-0005-0000-0000-000001000000}"/>
    <cellStyle name="Currency" xfId="74" builtinId="4"/>
    <cellStyle name="Currency 2" xfId="65" xr:uid="{00000000-0005-0000-0000-000002000000}"/>
    <cellStyle name="Normal" xfId="0" builtinId="0"/>
    <cellStyle name="Normal 10" xfId="10" xr:uid="{00000000-0005-0000-0000-000004000000}"/>
    <cellStyle name="Normal 11" xfId="11" xr:uid="{00000000-0005-0000-0000-000005000000}"/>
    <cellStyle name="Normal 12" xfId="12" xr:uid="{00000000-0005-0000-0000-000006000000}"/>
    <cellStyle name="Normal 12 2" xfId="66" xr:uid="{00000000-0005-0000-0000-000007000000}"/>
    <cellStyle name="Normal 12 3" xfId="67" xr:uid="{00000000-0005-0000-0000-000008000000}"/>
    <cellStyle name="Normal 12 4" xfId="68" xr:uid="{00000000-0005-0000-0000-000009000000}"/>
    <cellStyle name="Normal 12 5" xfId="69" xr:uid="{00000000-0005-0000-0000-00000A000000}"/>
    <cellStyle name="Normal 12 6" xfId="70" xr:uid="{00000000-0005-0000-0000-00000B000000}"/>
    <cellStyle name="Normal 13" xfId="14" xr:uid="{00000000-0005-0000-0000-00000C000000}"/>
    <cellStyle name="Normal 13 2" xfId="15" xr:uid="{00000000-0005-0000-0000-00000D000000}"/>
    <cellStyle name="Normal 14" xfId="19" xr:uid="{00000000-0005-0000-0000-00000E000000}"/>
    <cellStyle name="Normal 15" xfId="16" xr:uid="{00000000-0005-0000-0000-00000F000000}"/>
    <cellStyle name="Normal 16" xfId="52" xr:uid="{00000000-0005-0000-0000-000010000000}"/>
    <cellStyle name="Normal 16 2" xfId="55" xr:uid="{00000000-0005-0000-0000-000011000000}"/>
    <cellStyle name="Normal 16 3" xfId="54" xr:uid="{00000000-0005-0000-0000-000012000000}"/>
    <cellStyle name="Normal 16 4" xfId="57" xr:uid="{00000000-0005-0000-0000-000013000000}"/>
    <cellStyle name="Normal 17" xfId="21" xr:uid="{00000000-0005-0000-0000-000014000000}"/>
    <cellStyle name="Normal 18" xfId="23" xr:uid="{00000000-0005-0000-0000-000015000000}"/>
    <cellStyle name="Normal 19" xfId="25" xr:uid="{00000000-0005-0000-0000-000016000000}"/>
    <cellStyle name="Normal 2" xfId="1" xr:uid="{00000000-0005-0000-0000-000017000000}"/>
    <cellStyle name="Normal 2 10" xfId="28" xr:uid="{00000000-0005-0000-0000-000018000000}"/>
    <cellStyle name="Normal 2 11" xfId="30" xr:uid="{00000000-0005-0000-0000-000019000000}"/>
    <cellStyle name="Normal 2 12" xfId="32" xr:uid="{00000000-0005-0000-0000-00001A000000}"/>
    <cellStyle name="Normal 2 13" xfId="34" xr:uid="{00000000-0005-0000-0000-00001B000000}"/>
    <cellStyle name="Normal 2 14" xfId="36" xr:uid="{00000000-0005-0000-0000-00001C000000}"/>
    <cellStyle name="Normal 2 15" xfId="37" xr:uid="{00000000-0005-0000-0000-00001D000000}"/>
    <cellStyle name="Normal 2 16" xfId="38" xr:uid="{00000000-0005-0000-0000-00001E000000}"/>
    <cellStyle name="Normal 2 17" xfId="39" xr:uid="{00000000-0005-0000-0000-00001F000000}"/>
    <cellStyle name="Normal 2 18" xfId="40" xr:uid="{00000000-0005-0000-0000-000020000000}"/>
    <cellStyle name="Normal 2 19" xfId="41" xr:uid="{00000000-0005-0000-0000-000021000000}"/>
    <cellStyle name="Normal 2 2" xfId="2" xr:uid="{00000000-0005-0000-0000-000022000000}"/>
    <cellStyle name="Normal 2 20" xfId="42" xr:uid="{00000000-0005-0000-0000-000023000000}"/>
    <cellStyle name="Normal 2 21" xfId="43" xr:uid="{00000000-0005-0000-0000-000024000000}"/>
    <cellStyle name="Normal 2 22" xfId="44" xr:uid="{00000000-0005-0000-0000-000025000000}"/>
    <cellStyle name="Normal 2 23" xfId="45" xr:uid="{00000000-0005-0000-0000-000026000000}"/>
    <cellStyle name="Normal 2 24" xfId="46" xr:uid="{00000000-0005-0000-0000-000027000000}"/>
    <cellStyle name="Normal 2 25" xfId="48" xr:uid="{00000000-0005-0000-0000-000028000000}"/>
    <cellStyle name="Normal 2 26" xfId="50" xr:uid="{00000000-0005-0000-0000-000029000000}"/>
    <cellStyle name="Normal 2 27" xfId="51" xr:uid="{00000000-0005-0000-0000-00002A000000}"/>
    <cellStyle name="Normal 2 3" xfId="13" xr:uid="{00000000-0005-0000-0000-00002B000000}"/>
    <cellStyle name="Normal 2 4" xfId="18" xr:uid="{00000000-0005-0000-0000-00002C000000}"/>
    <cellStyle name="Normal 2 5" xfId="17" xr:uid="{00000000-0005-0000-0000-00002D000000}"/>
    <cellStyle name="Normal 2 6" xfId="20" xr:uid="{00000000-0005-0000-0000-00002E000000}"/>
    <cellStyle name="Normal 2 7" xfId="22" xr:uid="{00000000-0005-0000-0000-00002F000000}"/>
    <cellStyle name="Normal 2 8" xfId="24" xr:uid="{00000000-0005-0000-0000-000030000000}"/>
    <cellStyle name="Normal 2 9" xfId="26" xr:uid="{00000000-0005-0000-0000-000031000000}"/>
    <cellStyle name="Normal 20" xfId="27" xr:uid="{00000000-0005-0000-0000-000032000000}"/>
    <cellStyle name="Normal 21" xfId="29" xr:uid="{00000000-0005-0000-0000-000033000000}"/>
    <cellStyle name="Normal 22" xfId="31" xr:uid="{00000000-0005-0000-0000-000034000000}"/>
    <cellStyle name="Normal 23" xfId="33" xr:uid="{00000000-0005-0000-0000-000035000000}"/>
    <cellStyle name="Normal 24" xfId="35" xr:uid="{00000000-0005-0000-0000-000036000000}"/>
    <cellStyle name="Normal 25" xfId="58" xr:uid="{00000000-0005-0000-0000-000037000000}"/>
    <cellStyle name="Normal 26" xfId="59" xr:uid="{00000000-0005-0000-0000-000038000000}"/>
    <cellStyle name="Normal 27" xfId="60" xr:uid="{00000000-0005-0000-0000-000039000000}"/>
    <cellStyle name="Normal 28" xfId="61" xr:uid="{00000000-0005-0000-0000-00003A000000}"/>
    <cellStyle name="Normal 29" xfId="53" xr:uid="{00000000-0005-0000-0000-00003B000000}"/>
    <cellStyle name="Normal 3" xfId="3" xr:uid="{00000000-0005-0000-0000-00003C000000}"/>
    <cellStyle name="Normal 30" xfId="56" xr:uid="{00000000-0005-0000-0000-00003D000000}"/>
    <cellStyle name="Normal 31" xfId="71" xr:uid="{00000000-0005-0000-0000-00003E000000}"/>
    <cellStyle name="Normal 32" xfId="72" xr:uid="{00000000-0005-0000-0000-00003F000000}"/>
    <cellStyle name="Normal 35" xfId="47" xr:uid="{00000000-0005-0000-0000-000040000000}"/>
    <cellStyle name="Normal 36" xfId="49" xr:uid="{00000000-0005-0000-0000-000041000000}"/>
    <cellStyle name="Normal 4" xfId="4" xr:uid="{00000000-0005-0000-0000-000042000000}"/>
    <cellStyle name="Normal 5" xfId="5" xr:uid="{00000000-0005-0000-0000-000043000000}"/>
    <cellStyle name="Normal 6" xfId="6" xr:uid="{00000000-0005-0000-0000-000044000000}"/>
    <cellStyle name="Normal 7" xfId="7" xr:uid="{00000000-0005-0000-0000-000045000000}"/>
    <cellStyle name="Normal 8" xfId="8" xr:uid="{00000000-0005-0000-0000-000046000000}"/>
    <cellStyle name="Normal 9" xfId="9" xr:uid="{00000000-0005-0000-0000-000047000000}"/>
    <cellStyle name="Percent" xfId="73" builtinId="5"/>
    <cellStyle name="Percent 2" xfId="6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41C4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H$9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</xdr:row>
          <xdr:rowOff>15240</xdr:rowOff>
        </xdr:from>
        <xdr:to>
          <xdr:col>8</xdr:col>
          <xdr:colOff>297180</xdr:colOff>
          <xdr:row>7</xdr:row>
          <xdr:rowOff>15240</xdr:rowOff>
        </xdr:to>
        <xdr:sp macro="" textlink="">
          <xdr:nvSpPr>
            <xdr:cNvPr id="3073" name="Option Button 1" descr="With Riders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With Riders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</xdr:row>
          <xdr:rowOff>0</xdr:rowOff>
        </xdr:from>
        <xdr:to>
          <xdr:col>8</xdr:col>
          <xdr:colOff>297180</xdr:colOff>
          <xdr:row>8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Without Riders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</xdr:row>
          <xdr:rowOff>182880</xdr:rowOff>
        </xdr:from>
        <xdr:to>
          <xdr:col>5</xdr:col>
          <xdr:colOff>914400</xdr:colOff>
          <xdr:row>3</xdr:row>
          <xdr:rowOff>30480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Revenue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15240</xdr:rowOff>
        </xdr:from>
        <xdr:to>
          <xdr:col>18</xdr:col>
          <xdr:colOff>0</xdr:colOff>
          <xdr:row>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N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Typical Bill Comparison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6</xdr:row>
          <xdr:rowOff>175260</xdr:rowOff>
        </xdr:from>
        <xdr:to>
          <xdr:col>2</xdr:col>
          <xdr:colOff>0</xdr:colOff>
          <xdr:row>8</xdr:row>
          <xdr:rowOff>22860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(ALL)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182880</xdr:rowOff>
        </xdr:from>
        <xdr:to>
          <xdr:col>2</xdr:col>
          <xdr:colOff>0</xdr:colOff>
          <xdr:row>10</xdr:row>
          <xdr:rowOff>22860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(Summary)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15240</xdr:rowOff>
        </xdr:from>
        <xdr:to>
          <xdr:col>2</xdr:col>
          <xdr:colOff>15240</xdr:colOff>
          <xdr:row>12</xdr:row>
          <xdr:rowOff>15240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(Pgs 2-7)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754380</xdr:colOff>
          <xdr:row>7</xdr:row>
          <xdr:rowOff>15240</xdr:rowOff>
        </xdr:from>
        <xdr:to>
          <xdr:col>12</xdr:col>
          <xdr:colOff>15240</xdr:colOff>
          <xdr:row>8</xdr:row>
          <xdr:rowOff>15240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(ALL)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754380</xdr:colOff>
          <xdr:row>9</xdr:row>
          <xdr:rowOff>15240</xdr:rowOff>
        </xdr:from>
        <xdr:to>
          <xdr:col>12</xdr:col>
          <xdr:colOff>15240</xdr:colOff>
          <xdr:row>10</xdr:row>
          <xdr:rowOff>22860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(Summary)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15240</xdr:rowOff>
        </xdr:from>
        <xdr:to>
          <xdr:col>11</xdr:col>
          <xdr:colOff>906780</xdr:colOff>
          <xdr:row>12</xdr:row>
          <xdr:rowOff>22860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(Pgs 2-7)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2</xdr:row>
          <xdr:rowOff>0</xdr:rowOff>
        </xdr:from>
        <xdr:to>
          <xdr:col>12</xdr:col>
          <xdr:colOff>15240</xdr:colOff>
          <xdr:row>3</xdr:row>
          <xdr:rowOff>38100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M-2.1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Revenue at Average Rates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15240</xdr:rowOff>
        </xdr:from>
        <xdr:to>
          <xdr:col>7</xdr:col>
          <xdr:colOff>914400</xdr:colOff>
          <xdr:row>8</xdr:row>
          <xdr:rowOff>22860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FT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LARGE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22860</xdr:rowOff>
        </xdr:from>
        <xdr:to>
          <xdr:col>7</xdr:col>
          <xdr:colOff>937260</xdr:colOff>
          <xdr:row>10</xdr:row>
          <xdr:rowOff>22860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403860</xdr:colOff>
          <xdr:row>9</xdr:row>
          <xdr:rowOff>0</xdr:rowOff>
        </xdr:from>
        <xdr:to>
          <xdr:col>5</xdr:col>
          <xdr:colOff>914400</xdr:colOff>
          <xdr:row>10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INDUST'L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15240</xdr:rowOff>
        </xdr:from>
        <xdr:to>
          <xdr:col>6</xdr:col>
          <xdr:colOff>15240</xdr:colOff>
          <xdr:row>12</xdr:row>
          <xdr:rowOff>22860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</xdr:colOff>
          <xdr:row>7</xdr:row>
          <xdr:rowOff>15240</xdr:rowOff>
        </xdr:from>
        <xdr:to>
          <xdr:col>6</xdr:col>
          <xdr:colOff>15240</xdr:colOff>
          <xdr:row>8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COMM'L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403860</xdr:colOff>
          <xdr:row>6</xdr:row>
          <xdr:rowOff>190500</xdr:rowOff>
        </xdr:from>
        <xdr:to>
          <xdr:col>4</xdr:col>
          <xdr:colOff>15240</xdr:colOff>
          <xdr:row>8</xdr:row>
          <xdr:rowOff>30480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</xdr:colOff>
          <xdr:row>7</xdr:row>
          <xdr:rowOff>15240</xdr:rowOff>
        </xdr:from>
        <xdr:to>
          <xdr:col>18</xdr:col>
          <xdr:colOff>15240</xdr:colOff>
          <xdr:row>8</xdr:row>
          <xdr:rowOff>15240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FT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LARGE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</xdr:colOff>
          <xdr:row>9</xdr:row>
          <xdr:rowOff>15240</xdr:rowOff>
        </xdr:from>
        <xdr:to>
          <xdr:col>18</xdr:col>
          <xdr:colOff>15240</xdr:colOff>
          <xdr:row>10</xdr:row>
          <xdr:rowOff>15240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754380</xdr:colOff>
          <xdr:row>6</xdr:row>
          <xdr:rowOff>190500</xdr:rowOff>
        </xdr:from>
        <xdr:to>
          <xdr:col>16</xdr:col>
          <xdr:colOff>0</xdr:colOff>
          <xdr:row>8</xdr:row>
          <xdr:rowOff>22860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COMM'L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396240</xdr:colOff>
          <xdr:row>9</xdr:row>
          <xdr:rowOff>15240</xdr:rowOff>
        </xdr:from>
        <xdr:to>
          <xdr:col>15</xdr:col>
          <xdr:colOff>899160</xdr:colOff>
          <xdr:row>10</xdr:row>
          <xdr:rowOff>15240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INDUST'L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15240</xdr:rowOff>
        </xdr:from>
        <xdr:to>
          <xdr:col>16</xdr:col>
          <xdr:colOff>0</xdr:colOff>
          <xdr:row>12</xdr:row>
          <xdr:rowOff>15240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</xdr:colOff>
          <xdr:row>6</xdr:row>
          <xdr:rowOff>190500</xdr:rowOff>
        </xdr:from>
        <xdr:to>
          <xdr:col>13</xdr:col>
          <xdr:colOff>906780</xdr:colOff>
          <xdr:row>8</xdr:row>
          <xdr:rowOff>15240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%20Filings\DEK%20Electric%20Case%202017-00321\M%20Schedules\Sched%20M%20Detail\Test%20Period\DEK%20ELEC%20SCH-M%20and%20N%20-%20Test%20Period%20-%20WITH%20RIDERS%20-%20KYPSC%20Ord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NT"/>
      <sheetName val="SCH M"/>
      <sheetName val="SCH M-2.1"/>
      <sheetName val="SCH M-2.2"/>
      <sheetName val="SCH M-2.3"/>
      <sheetName val="Rate RS"/>
      <sheetName val="Rate DS"/>
      <sheetName val="Rate DT-Pri"/>
      <sheetName val="Rate DT-Sec"/>
      <sheetName val="Rate EH"/>
      <sheetName val="Rate SP GSFL"/>
      <sheetName val="Rate DP"/>
      <sheetName val="Rate TT"/>
      <sheetName val="Rate DT RTPM-P"/>
      <sheetName val="Rate DT RTP-P"/>
      <sheetName val="Rate DT RTPM-S"/>
      <sheetName val="Rate DT RTP-S"/>
      <sheetName val="Rate DS RTPM"/>
      <sheetName val="Rate DS RTP"/>
      <sheetName val="Rate TT RTPM"/>
      <sheetName val="Rate TT RTP"/>
      <sheetName val="Rate SL"/>
      <sheetName val="Rate TL"/>
      <sheetName val="Rate UOLS"/>
      <sheetName val="Rate OL"/>
      <sheetName val="Rate NSU"/>
      <sheetName val="Rate NSP"/>
      <sheetName val="Rate SC"/>
      <sheetName val="Rate SE"/>
      <sheetName val="SCH N"/>
      <sheetName val="BILL CALC"/>
      <sheetName val="Revenue Requirements"/>
      <sheetName val="Proposed Rates"/>
      <sheetName val="TBI"/>
      <sheetName val="RTP Worksheet"/>
    </sheetNames>
    <sheetDataSet>
      <sheetData sheetId="0">
        <row r="8">
          <cell r="B8" t="str">
            <v>DUKE ENERGY KENTUCKY, INC.</v>
          </cell>
        </row>
        <row r="10">
          <cell r="B10" t="str">
            <v>FOR THE TWELVE MONTHS ENDED March 31, 2019</v>
          </cell>
        </row>
        <row r="11">
          <cell r="B11" t="str">
            <v>CASE NO.   2017-00321</v>
          </cell>
        </row>
        <row r="12">
          <cell r="D12" t="str">
            <v>(ELECTRIC SERVICE)</v>
          </cell>
        </row>
        <row r="14">
          <cell r="B14" t="str">
            <v>TYPE OF FILING: ___ ORIGINAL   ___UPDATED  _X_ REVISED</v>
          </cell>
        </row>
        <row r="15">
          <cell r="B15" t="str">
            <v>ANNUALIZED TEST YEAR REVENUES AT PROPOSED VS. MOST CURRENT RATES</v>
          </cell>
        </row>
        <row r="19">
          <cell r="C19">
            <v>1.0280000000000001E-3</v>
          </cell>
          <cell r="D19">
            <v>1.0280000000000003E-3</v>
          </cell>
        </row>
        <row r="20">
          <cell r="C20">
            <v>2.3837000000000001E-2</v>
          </cell>
          <cell r="D20">
            <v>2.3837000000000001E-2</v>
          </cell>
        </row>
        <row r="29">
          <cell r="C29">
            <v>7.9670000000000001E-3</v>
          </cell>
          <cell r="D29">
            <v>7.9670000000000001E-3</v>
          </cell>
          <cell r="J29">
            <v>0.1</v>
          </cell>
        </row>
        <row r="30">
          <cell r="C30">
            <v>2.5760000000000002E-3</v>
          </cell>
          <cell r="D30">
            <v>2.5760000000000002E-3</v>
          </cell>
        </row>
        <row r="31">
          <cell r="C31">
            <v>1.83E-4</v>
          </cell>
          <cell r="D31">
            <v>1.83E-4</v>
          </cell>
        </row>
        <row r="34">
          <cell r="C34">
            <v>-4.5600000000000003E-4</v>
          </cell>
          <cell r="D34">
            <v>-4.5600000000000003E-4</v>
          </cell>
        </row>
        <row r="124">
          <cell r="C124">
            <v>4.2647999999999998E-2</v>
          </cell>
          <cell r="D124">
            <v>4.8996999999999999E-2</v>
          </cell>
        </row>
        <row r="125">
          <cell r="D125">
            <v>4.6774999999999997E-2</v>
          </cell>
        </row>
        <row r="126">
          <cell r="D126">
            <v>4.0124E-2</v>
          </cell>
        </row>
        <row r="168">
          <cell r="C168">
            <v>0</v>
          </cell>
          <cell r="D168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D178">
            <v>0</v>
          </cell>
        </row>
        <row r="180">
          <cell r="C180">
            <v>0</v>
          </cell>
          <cell r="D180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7">
          <cell r="B197" t="str">
            <v>HOME ENERGY ASSISTANCE (HEA)</v>
          </cell>
        </row>
        <row r="198">
          <cell r="B198" t="str">
            <v>DEMAND SIDE MANAGEMENT RIDER (DSMR)</v>
          </cell>
        </row>
        <row r="199">
          <cell r="B199" t="str">
            <v>ENVIRONMENTAL SURCHARGE MECHANISM RIDER (ESM)</v>
          </cell>
        </row>
        <row r="200">
          <cell r="B200" t="str">
            <v>DISTRIBUTION CAPITAL INVESTMENT RIDER (DCI)</v>
          </cell>
        </row>
        <row r="201">
          <cell r="B201" t="str">
            <v>FUEL ADJUSTMENT CLAUSE (FAC)</v>
          </cell>
        </row>
        <row r="202">
          <cell r="B202" t="str">
            <v>FERC TRANSMISSION COST RECOVERY RECONCILIATION (FTR)</v>
          </cell>
        </row>
        <row r="203">
          <cell r="B203" t="str">
            <v>PROFIT SHARING MECHANISM (PSM)</v>
          </cell>
        </row>
      </sheetData>
      <sheetData sheetId="1"/>
      <sheetData sheetId="2"/>
      <sheetData sheetId="3"/>
      <sheetData sheetId="4"/>
      <sheetData sheetId="5"/>
      <sheetData sheetId="6">
        <row r="26">
          <cell r="J26">
            <v>7.152E-2</v>
          </cell>
        </row>
        <row r="69">
          <cell r="AB69">
            <v>7.5455999999999995E-2</v>
          </cell>
        </row>
      </sheetData>
      <sheetData sheetId="7">
        <row r="27">
          <cell r="J27">
            <v>34.28</v>
          </cell>
        </row>
        <row r="31">
          <cell r="J31">
            <v>0</v>
          </cell>
        </row>
        <row r="32">
          <cell r="J32">
            <v>8.25</v>
          </cell>
        </row>
        <row r="36">
          <cell r="J36">
            <v>8.0074999999999993E-2</v>
          </cell>
        </row>
        <row r="37">
          <cell r="J37">
            <v>4.9154999999999997E-2</v>
          </cell>
        </row>
        <row r="38">
          <cell r="J38">
            <v>4.0253999999999998E-2</v>
          </cell>
        </row>
        <row r="85">
          <cell r="AC85">
            <v>15</v>
          </cell>
        </row>
        <row r="89">
          <cell r="AC89">
            <v>0</v>
          </cell>
        </row>
        <row r="90">
          <cell r="AC90">
            <v>7.75</v>
          </cell>
        </row>
        <row r="94">
          <cell r="AC94">
            <v>8.1644999999999995E-2</v>
          </cell>
        </row>
        <row r="95">
          <cell r="AC95">
            <v>5.0118999999999997E-2</v>
          </cell>
        </row>
        <row r="96">
          <cell r="AC96">
            <v>4.1043000000000003E-2</v>
          </cell>
        </row>
      </sheetData>
      <sheetData sheetId="8">
        <row r="26">
          <cell r="J26">
            <v>13.78</v>
          </cell>
        </row>
        <row r="27">
          <cell r="J27">
            <v>1.24</v>
          </cell>
        </row>
        <row r="34">
          <cell r="J34">
            <v>4.3369999999999999E-2</v>
          </cell>
        </row>
        <row r="35">
          <cell r="J35">
            <v>3.5515999999999999E-2</v>
          </cell>
        </row>
        <row r="43">
          <cell r="J43">
            <v>13.04</v>
          </cell>
        </row>
        <row r="44">
          <cell r="J44">
            <v>1.24</v>
          </cell>
        </row>
        <row r="51">
          <cell r="J51">
            <v>4.1403000000000002E-2</v>
          </cell>
        </row>
        <row r="52">
          <cell r="J52">
            <v>3.5515999999999999E-2</v>
          </cell>
        </row>
        <row r="98">
          <cell r="AC98">
            <v>12.75</v>
          </cell>
        </row>
        <row r="99">
          <cell r="AC99">
            <v>1.1499999999999999</v>
          </cell>
        </row>
        <row r="106">
          <cell r="AC106">
            <v>4.4194999999999998E-2</v>
          </cell>
        </row>
        <row r="107">
          <cell r="AC107">
            <v>3.6194999999999998E-2</v>
          </cell>
        </row>
        <row r="115">
          <cell r="AC115">
            <v>12.07</v>
          </cell>
        </row>
        <row r="116">
          <cell r="AC116">
            <v>1.1499999999999999</v>
          </cell>
        </row>
        <row r="123">
          <cell r="AC123">
            <v>4.2195000000000003E-2</v>
          </cell>
        </row>
      </sheetData>
      <sheetData sheetId="9">
        <row r="24">
          <cell r="J24">
            <v>127</v>
          </cell>
        </row>
        <row r="94">
          <cell r="AC94">
            <v>15</v>
          </cell>
        </row>
        <row r="98">
          <cell r="AC98">
            <v>12.75</v>
          </cell>
        </row>
        <row r="99">
          <cell r="AC99">
            <v>1.1499999999999999</v>
          </cell>
        </row>
      </sheetData>
      <sheetData sheetId="10">
        <row r="25">
          <cell r="J25">
            <v>34.28</v>
          </cell>
        </row>
        <row r="33">
          <cell r="J33">
            <v>6.2202E-2</v>
          </cell>
        </row>
        <row r="75">
          <cell r="AC75">
            <v>15</v>
          </cell>
        </row>
        <row r="83">
          <cell r="AC83">
            <v>6.1524000000000002E-2</v>
          </cell>
        </row>
      </sheetData>
      <sheetData sheetId="11"/>
      <sheetData sheetId="12">
        <row r="25">
          <cell r="J25">
            <v>117</v>
          </cell>
        </row>
        <row r="29">
          <cell r="J29">
            <v>7.92</v>
          </cell>
        </row>
        <row r="33">
          <cell r="J33">
            <v>5.1091999999999999E-2</v>
          </cell>
        </row>
        <row r="34">
          <cell r="J34">
            <v>4.3219E-2</v>
          </cell>
        </row>
        <row r="79">
          <cell r="AC79">
            <v>100</v>
          </cell>
        </row>
        <row r="83">
          <cell r="AC83">
            <v>7.08</v>
          </cell>
        </row>
        <row r="87">
          <cell r="AC87">
            <v>5.1068000000000002E-2</v>
          </cell>
        </row>
        <row r="88">
          <cell r="AC88">
            <v>4.3198E-2</v>
          </cell>
        </row>
      </sheetData>
      <sheetData sheetId="13">
        <row r="21">
          <cell r="J21">
            <v>500</v>
          </cell>
        </row>
        <row r="24">
          <cell r="J24">
            <v>8.07</v>
          </cell>
        </row>
        <row r="25">
          <cell r="J25">
            <v>1.22</v>
          </cell>
        </row>
        <row r="35">
          <cell r="J35">
            <v>500</v>
          </cell>
        </row>
        <row r="38">
          <cell r="J38">
            <v>6.62</v>
          </cell>
        </row>
        <row r="39">
          <cell r="J39">
            <v>1.22</v>
          </cell>
        </row>
        <row r="86">
          <cell r="AC86">
            <v>500</v>
          </cell>
        </row>
        <row r="89">
          <cell r="AC89">
            <v>7.6</v>
          </cell>
        </row>
        <row r="90">
          <cell r="AC90">
            <v>1.1499999999999999</v>
          </cell>
        </row>
        <row r="100">
          <cell r="AC100">
            <v>500</v>
          </cell>
        </row>
        <row r="103">
          <cell r="AC103">
            <v>6.24</v>
          </cell>
        </row>
        <row r="104">
          <cell r="AC104">
            <v>1.1499999999999999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0"/>
  <sheetViews>
    <sheetView workbookViewId="0">
      <selection activeCell="H29" sqref="H29"/>
    </sheetView>
  </sheetViews>
  <sheetFormatPr defaultColWidth="8.9140625" defaultRowHeight="15" x14ac:dyDescent="0.25"/>
  <cols>
    <col min="1" max="1" width="8.9140625" style="1"/>
    <col min="2" max="2" width="27.6640625" style="1" customWidth="1"/>
    <col min="3" max="3" width="14.75" style="1" customWidth="1"/>
    <col min="4" max="4" width="11.75" style="1" customWidth="1"/>
    <col min="5" max="5" width="11.6640625" style="1" customWidth="1"/>
    <col min="6" max="6" width="8.9140625" style="1" customWidth="1"/>
    <col min="7" max="16384" width="8.9140625" style="1"/>
  </cols>
  <sheetData>
    <row r="1" spans="1:16" ht="21" x14ac:dyDescent="0.4">
      <c r="A1" s="306" t="str">
        <f>IF(H9=1,"TEST PERIOD WITH RIDERS","TEST PERIOD WITHOUT RIDERS")</f>
        <v>TEST PERIOD WITH RIDERS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13"/>
    </row>
    <row r="2" spans="1:16" x14ac:dyDescent="0.25">
      <c r="A2" s="17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ht="15.6" x14ac:dyDescent="0.3">
      <c r="A3" s="14" t="s">
        <v>121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ht="15.6" x14ac:dyDescent="0.3">
      <c r="A4" s="13"/>
      <c r="B4" s="129" t="s">
        <v>248</v>
      </c>
      <c r="C4" s="13"/>
      <c r="D4" s="158" t="str">
        <f>IF(H9=1,"INCLUDES ALL RIDERS","")</f>
        <v>INCLUDES ALL RIDERS</v>
      </c>
      <c r="E4" s="13"/>
      <c r="F4" s="13"/>
      <c r="G4" s="13"/>
      <c r="H4" s="13"/>
      <c r="I4" s="13"/>
      <c r="J4" s="13"/>
      <c r="K4" s="13"/>
      <c r="L4" s="13"/>
    </row>
    <row r="5" spans="1:16" ht="15.6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6" ht="16.2" thickBot="1" x14ac:dyDescent="0.35">
      <c r="A6" s="15"/>
      <c r="B6" s="128" t="s">
        <v>203</v>
      </c>
      <c r="C6" s="5"/>
      <c r="D6" s="6"/>
      <c r="E6" s="18"/>
      <c r="F6" s="13"/>
      <c r="G6" s="13"/>
      <c r="H6" s="221"/>
      <c r="I6" s="222"/>
      <c r="J6" s="13"/>
      <c r="K6" s="13"/>
      <c r="L6" s="13"/>
    </row>
    <row r="7" spans="1:16" ht="16.2" thickBot="1" x14ac:dyDescent="0.35">
      <c r="A7" s="15"/>
      <c r="B7" s="167" t="s">
        <v>342</v>
      </c>
      <c r="C7" s="7"/>
      <c r="D7" s="8"/>
      <c r="E7" s="18"/>
      <c r="F7" s="13"/>
      <c r="G7" s="13"/>
      <c r="H7" s="223"/>
      <c r="I7" s="224"/>
      <c r="J7" s="13"/>
      <c r="K7" s="13"/>
      <c r="L7" s="13"/>
    </row>
    <row r="8" spans="1:16" ht="16.2" thickBot="1" x14ac:dyDescent="0.35">
      <c r="A8" s="15"/>
      <c r="B8" s="168" t="s">
        <v>0</v>
      </c>
      <c r="C8" s="7"/>
      <c r="D8" s="8"/>
      <c r="E8" s="18"/>
      <c r="F8" s="13"/>
      <c r="G8" s="13"/>
      <c r="H8" s="225"/>
      <c r="I8" s="226"/>
      <c r="J8" s="13"/>
      <c r="K8" s="13"/>
      <c r="L8" s="13"/>
    </row>
    <row r="9" spans="1:16" ht="16.2" thickBot="1" x14ac:dyDescent="0.35">
      <c r="A9" s="15"/>
      <c r="B9" s="169" t="s">
        <v>309</v>
      </c>
      <c r="C9" s="9"/>
      <c r="D9" s="10"/>
      <c r="E9" s="4"/>
      <c r="F9" s="13"/>
      <c r="G9" s="13"/>
      <c r="H9" s="227">
        <v>1</v>
      </c>
      <c r="I9" s="13"/>
      <c r="J9" s="13"/>
      <c r="K9" s="13"/>
      <c r="L9" s="13"/>
    </row>
    <row r="10" spans="1:16" ht="15.6" thickBot="1" x14ac:dyDescent="0.3">
      <c r="A10" s="15"/>
      <c r="B10" s="15"/>
      <c r="C10" s="15"/>
      <c r="D10" s="15"/>
      <c r="E10" s="15"/>
      <c r="F10" s="13"/>
      <c r="G10" s="13"/>
      <c r="H10" s="13"/>
      <c r="I10" s="13"/>
      <c r="J10" s="13"/>
      <c r="K10" s="13"/>
      <c r="L10" s="13"/>
    </row>
    <row r="11" spans="1:16" ht="16.2" thickBot="1" x14ac:dyDescent="0.35">
      <c r="A11" s="15"/>
      <c r="B11" s="301" t="s">
        <v>122</v>
      </c>
      <c r="C11" s="11" t="s">
        <v>111</v>
      </c>
      <c r="D11" s="15"/>
      <c r="E11" s="15"/>
      <c r="F11" s="13"/>
      <c r="G11" s="13"/>
      <c r="H11" s="13"/>
      <c r="I11" s="13"/>
      <c r="J11" s="13"/>
      <c r="K11" s="13"/>
      <c r="L11" s="13"/>
    </row>
    <row r="12" spans="1:16" ht="16.2" thickBot="1" x14ac:dyDescent="0.35">
      <c r="A12" s="15"/>
      <c r="B12" s="128" t="s">
        <v>249</v>
      </c>
      <c r="C12" s="11"/>
      <c r="D12" s="11"/>
      <c r="E12" s="15"/>
      <c r="F12" s="13"/>
      <c r="G12" s="13"/>
      <c r="H12" s="13"/>
      <c r="I12" s="13"/>
      <c r="J12" s="13"/>
      <c r="K12" s="13"/>
      <c r="L12" s="13"/>
    </row>
    <row r="13" spans="1:16" ht="16.2" thickBot="1" x14ac:dyDescent="0.35">
      <c r="A13" s="15"/>
      <c r="B13" s="128" t="s">
        <v>194</v>
      </c>
      <c r="C13" s="11"/>
      <c r="D13" s="11"/>
      <c r="E13" s="15"/>
      <c r="F13" s="13"/>
      <c r="G13" s="13"/>
      <c r="H13" s="13"/>
      <c r="I13" s="13"/>
      <c r="J13" s="13"/>
      <c r="K13" s="13"/>
      <c r="L13" s="13"/>
    </row>
    <row r="14" spans="1:16" ht="16.2" thickBot="1" x14ac:dyDescent="0.35">
      <c r="A14" s="15"/>
      <c r="B14" s="100"/>
      <c r="C14" s="17"/>
      <c r="D14" s="15"/>
      <c r="E14" s="15"/>
      <c r="F14" s="13"/>
      <c r="G14" s="13"/>
      <c r="H14" s="13"/>
      <c r="I14" s="13"/>
      <c r="J14" s="13"/>
      <c r="K14" s="13"/>
      <c r="L14" s="13"/>
    </row>
    <row r="15" spans="1:16" ht="16.2" thickBot="1" x14ac:dyDescent="0.35">
      <c r="A15" s="15"/>
      <c r="B15" s="300" t="s">
        <v>1</v>
      </c>
      <c r="C15" s="12" t="s">
        <v>310</v>
      </c>
      <c r="D15" s="15"/>
      <c r="E15" s="15"/>
      <c r="F15" s="13"/>
      <c r="G15" s="13"/>
      <c r="H15" s="13"/>
      <c r="I15" s="13"/>
      <c r="J15" s="13"/>
      <c r="K15" s="13"/>
      <c r="L15" s="13"/>
    </row>
    <row r="16" spans="1:16" x14ac:dyDescent="0.25">
      <c r="A16" s="15"/>
      <c r="B16" s="15"/>
      <c r="C16" s="15"/>
      <c r="D16" s="15"/>
      <c r="E16" s="15"/>
      <c r="F16" s="13"/>
      <c r="G16" s="13"/>
      <c r="H16" s="13"/>
      <c r="I16" s="13"/>
      <c r="J16" s="13"/>
      <c r="K16" s="13"/>
      <c r="L16" s="13"/>
      <c r="M16" s="153"/>
      <c r="N16" s="153"/>
      <c r="O16" s="153"/>
      <c r="P16" s="153"/>
    </row>
    <row r="17" spans="1:16" ht="16.2" thickBot="1" x14ac:dyDescent="0.35">
      <c r="A17" s="15"/>
      <c r="B17" s="101" t="s">
        <v>165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53"/>
      <c r="N17" s="153"/>
      <c r="O17" s="153"/>
      <c r="P17" s="153"/>
    </row>
    <row r="18" spans="1:16" ht="16.2" thickBot="1" x14ac:dyDescent="0.35">
      <c r="A18" s="15"/>
      <c r="B18" s="299" t="s">
        <v>339</v>
      </c>
      <c r="C18" s="220">
        <v>4.0620000000000003</v>
      </c>
      <c r="D18" s="15"/>
      <c r="E18" s="15"/>
      <c r="F18" s="13"/>
      <c r="G18" s="13"/>
      <c r="H18" s="13"/>
      <c r="I18" s="13"/>
      <c r="J18" s="13"/>
      <c r="K18" s="13"/>
      <c r="L18" s="13"/>
    </row>
    <row r="19" spans="1:16" x14ac:dyDescent="0.25">
      <c r="A19" s="15"/>
      <c r="B19" s="17"/>
      <c r="C19" s="16"/>
      <c r="D19" s="16"/>
      <c r="E19" s="17"/>
      <c r="F19" s="13"/>
      <c r="G19" s="13"/>
      <c r="H19" s="13"/>
      <c r="I19" s="13"/>
      <c r="J19" s="13"/>
      <c r="K19" s="13"/>
      <c r="L19" s="13"/>
    </row>
    <row r="20" spans="1:16" ht="15.6" x14ac:dyDescent="0.3">
      <c r="A20" s="16"/>
      <c r="B20" s="123"/>
      <c r="C20" s="303" t="s">
        <v>340</v>
      </c>
      <c r="D20" s="15"/>
      <c r="E20" s="15"/>
      <c r="F20" s="13"/>
      <c r="G20" s="13"/>
      <c r="H20" s="13"/>
      <c r="I20" s="13"/>
      <c r="J20" s="13"/>
      <c r="K20" s="13"/>
      <c r="L20" s="13"/>
    </row>
    <row r="21" spans="1:16" ht="16.2" thickBot="1" x14ac:dyDescent="0.35">
      <c r="A21" s="16"/>
      <c r="B21" s="124" t="s">
        <v>188</v>
      </c>
      <c r="C21" s="125" t="s">
        <v>189</v>
      </c>
      <c r="D21" s="126" t="s">
        <v>190</v>
      </c>
      <c r="E21" s="15"/>
      <c r="F21" s="304" t="s">
        <v>341</v>
      </c>
      <c r="G21" s="228" t="s">
        <v>189</v>
      </c>
      <c r="H21" s="126" t="s">
        <v>190</v>
      </c>
      <c r="I21" s="15"/>
      <c r="J21" s="13"/>
      <c r="K21" s="13"/>
      <c r="L21" s="13"/>
    </row>
    <row r="22" spans="1:16" ht="15.6" thickBot="1" x14ac:dyDescent="0.3">
      <c r="A22" s="16"/>
      <c r="B22" s="122" t="s">
        <v>210</v>
      </c>
      <c r="C22" s="148">
        <f>IF($H$9=1,G22,0)</f>
        <v>0.3</v>
      </c>
      <c r="D22" s="148">
        <f>IF($H$9=1,H22,0)</f>
        <v>0.3</v>
      </c>
      <c r="E22" s="298" t="s">
        <v>338</v>
      </c>
      <c r="F22" s="13"/>
      <c r="G22" s="148">
        <v>0.3</v>
      </c>
      <c r="H22" s="148">
        <v>0.3</v>
      </c>
      <c r="I22" s="135" t="s">
        <v>305</v>
      </c>
      <c r="J22" s="13"/>
      <c r="K22" s="13"/>
      <c r="L22" s="13"/>
    </row>
    <row r="23" spans="1:16" ht="15.6" thickBot="1" x14ac:dyDescent="0.3">
      <c r="A23" s="16"/>
      <c r="B23" s="122" t="s">
        <v>191</v>
      </c>
      <c r="C23" s="229">
        <f>IF($H$9=1,G23,0)</f>
        <v>0.45817000000000002</v>
      </c>
      <c r="D23" s="229">
        <f>IF($H$9=1,H23,0)</f>
        <v>0.45817000000000002</v>
      </c>
      <c r="E23" s="136" t="s">
        <v>201</v>
      </c>
      <c r="F23" s="166"/>
      <c r="G23" s="127">
        <v>0.45817000000000002</v>
      </c>
      <c r="H23" s="127">
        <v>0.45817000000000002</v>
      </c>
      <c r="I23" s="136" t="s">
        <v>201</v>
      </c>
      <c r="J23" s="13"/>
      <c r="K23" s="13"/>
      <c r="L23" s="13"/>
    </row>
    <row r="24" spans="1:16" ht="15.6" thickBot="1" x14ac:dyDescent="0.3">
      <c r="A24" s="16"/>
      <c r="B24" s="122" t="s">
        <v>192</v>
      </c>
      <c r="C24" s="229">
        <f t="shared" ref="C24:D24" si="0">IF($H$9=1,G24,0)</f>
        <v>0</v>
      </c>
      <c r="D24" s="229">
        <f t="shared" si="0"/>
        <v>0</v>
      </c>
      <c r="E24" s="136" t="s">
        <v>201</v>
      </c>
      <c r="F24" s="13"/>
      <c r="G24" s="127">
        <v>0</v>
      </c>
      <c r="H24" s="127">
        <v>0</v>
      </c>
      <c r="I24" s="136" t="s">
        <v>201</v>
      </c>
      <c r="J24" s="13"/>
      <c r="K24" s="13"/>
      <c r="L24" s="13"/>
    </row>
    <row r="25" spans="1:16" x14ac:dyDescent="0.25">
      <c r="A25" s="15"/>
      <c r="B25" s="15"/>
      <c r="C25" s="15"/>
      <c r="D25" s="15"/>
      <c r="E25" s="15"/>
      <c r="F25" s="13"/>
      <c r="G25" s="13"/>
      <c r="H25" s="13"/>
      <c r="I25" s="13"/>
      <c r="J25" s="13"/>
      <c r="K25" s="13"/>
      <c r="L25" s="13"/>
    </row>
    <row r="26" spans="1:16" x14ac:dyDescent="0.25">
      <c r="A26" s="15"/>
      <c r="B26" s="16"/>
      <c r="C26" s="16"/>
      <c r="D26" s="15"/>
      <c r="E26" s="15"/>
      <c r="F26" s="13"/>
      <c r="G26" s="13"/>
      <c r="H26" s="13"/>
      <c r="I26" s="13"/>
      <c r="J26" s="13"/>
      <c r="K26" s="13"/>
      <c r="L26" s="13"/>
    </row>
    <row r="27" spans="1:16" x14ac:dyDescent="0.25">
      <c r="A27" s="15"/>
      <c r="B27" s="15"/>
      <c r="C27" s="15"/>
      <c r="D27" s="15"/>
      <c r="E27" s="15"/>
      <c r="F27" s="13"/>
      <c r="G27" s="13"/>
      <c r="H27" s="13"/>
      <c r="I27" s="13"/>
      <c r="J27" s="13"/>
      <c r="K27" s="13"/>
      <c r="L27" s="13"/>
    </row>
    <row r="28" spans="1:16" ht="15.6" thickBot="1" x14ac:dyDescent="0.3">
      <c r="A28" s="15"/>
      <c r="B28" s="123" t="s">
        <v>208</v>
      </c>
      <c r="C28" s="125" t="s">
        <v>189</v>
      </c>
      <c r="D28" s="126" t="s">
        <v>190</v>
      </c>
      <c r="E28" s="15"/>
      <c r="F28" s="13"/>
      <c r="G28" s="228" t="s">
        <v>189</v>
      </c>
      <c r="H28" s="126" t="s">
        <v>190</v>
      </c>
      <c r="I28" s="15"/>
      <c r="J28" s="13"/>
      <c r="K28" s="13"/>
      <c r="L28" s="13"/>
    </row>
    <row r="29" spans="1:16" ht="15.6" thickBot="1" x14ac:dyDescent="0.3">
      <c r="A29" s="15"/>
      <c r="B29" s="122" t="s">
        <v>202</v>
      </c>
      <c r="C29" s="229">
        <f>IF($H$9=1,G29,0)</f>
        <v>-5.8000000000000003E-2</v>
      </c>
      <c r="D29" s="229">
        <f>IF($H$9=1,H29,0)</f>
        <v>-5.8000000000000003E-2</v>
      </c>
      <c r="E29" s="136" t="s">
        <v>201</v>
      </c>
      <c r="F29" s="166"/>
      <c r="G29" s="127">
        <v>-5.8000000000000003E-2</v>
      </c>
      <c r="H29" s="127">
        <v>-5.8000000000000003E-2</v>
      </c>
      <c r="I29" s="136" t="s">
        <v>201</v>
      </c>
      <c r="J29" s="13"/>
      <c r="K29" s="13"/>
      <c r="L29" s="13"/>
      <c r="M29" s="151"/>
    </row>
    <row r="30" spans="1:1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6" ht="15.6" thickBot="1" x14ac:dyDescent="0.3">
      <c r="A31" s="15"/>
      <c r="B31" s="123" t="s">
        <v>231</v>
      </c>
      <c r="C31" s="125" t="s">
        <v>189</v>
      </c>
      <c r="D31" s="126" t="s">
        <v>190</v>
      </c>
      <c r="E31" s="15"/>
      <c r="F31" s="15"/>
      <c r="G31" s="15"/>
      <c r="H31" s="15"/>
      <c r="I31" s="15"/>
      <c r="J31" s="15"/>
      <c r="K31" s="15"/>
      <c r="L31" s="15"/>
    </row>
    <row r="32" spans="1:16" ht="15.6" thickBot="1" x14ac:dyDescent="0.3">
      <c r="A32" s="15"/>
      <c r="B32" s="159" t="s">
        <v>232</v>
      </c>
      <c r="C32" s="127"/>
      <c r="D32" s="127"/>
      <c r="E32" s="136" t="s">
        <v>201</v>
      </c>
      <c r="F32" s="152" t="s">
        <v>298</v>
      </c>
      <c r="G32" s="15"/>
      <c r="H32" s="15"/>
      <c r="I32" s="15"/>
      <c r="J32" s="15"/>
      <c r="K32" s="15"/>
      <c r="L32" s="15"/>
    </row>
    <row r="33" spans="1:12" x14ac:dyDescent="0.25">
      <c r="A33" s="15"/>
      <c r="B33" s="15"/>
      <c r="C33" s="15"/>
      <c r="D33" s="15"/>
      <c r="E33" s="15"/>
      <c r="F33" s="152"/>
      <c r="G33" s="15"/>
      <c r="H33" s="15"/>
      <c r="I33" s="15"/>
      <c r="J33" s="15"/>
      <c r="K33" s="15"/>
      <c r="L33" s="15"/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.6" thickBot="1" x14ac:dyDescent="0.3">
      <c r="A35" s="15"/>
      <c r="B35" s="123" t="s">
        <v>239</v>
      </c>
      <c r="C35" s="125" t="s">
        <v>189</v>
      </c>
      <c r="D35" s="126" t="s">
        <v>190</v>
      </c>
      <c r="E35" s="15"/>
      <c r="F35" s="13"/>
      <c r="G35" s="13"/>
      <c r="H35" s="13"/>
      <c r="I35" s="13"/>
      <c r="J35" s="13"/>
      <c r="K35" s="13"/>
      <c r="L35" s="13"/>
    </row>
    <row r="36" spans="1:12" ht="15.6" thickBot="1" x14ac:dyDescent="0.3">
      <c r="A36" s="15"/>
      <c r="B36" s="122" t="s">
        <v>240</v>
      </c>
      <c r="C36" s="230">
        <v>16.5</v>
      </c>
      <c r="D36" s="230">
        <f>'Proposed Rates'!C14</f>
        <v>19</v>
      </c>
      <c r="E36" s="136" t="s">
        <v>237</v>
      </c>
      <c r="F36" s="166"/>
      <c r="G36" s="13"/>
      <c r="H36" s="13"/>
      <c r="I36" s="13"/>
      <c r="J36" s="13"/>
      <c r="K36" s="13"/>
      <c r="L36" s="13"/>
    </row>
    <row r="37" spans="1:12" ht="15.6" thickBot="1" x14ac:dyDescent="0.3">
      <c r="A37" s="15"/>
      <c r="B37" s="122" t="s">
        <v>241</v>
      </c>
      <c r="C37" s="127">
        <v>4.6920000000000002</v>
      </c>
      <c r="D37" s="127">
        <f>'Proposed Rates'!C20</f>
        <v>5.7923</v>
      </c>
      <c r="E37" s="136" t="s">
        <v>201</v>
      </c>
      <c r="F37" s="15"/>
      <c r="G37" s="15"/>
      <c r="H37" s="15"/>
      <c r="I37" s="15"/>
      <c r="J37" s="15"/>
      <c r="K37" s="15"/>
      <c r="L37" s="15"/>
    </row>
    <row r="38" spans="1:1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.6" thickBot="1" x14ac:dyDescent="0.3">
      <c r="A39" s="15"/>
      <c r="B39" s="123" t="s">
        <v>242</v>
      </c>
      <c r="C39" s="228" t="s">
        <v>189</v>
      </c>
      <c r="D39" s="126" t="s">
        <v>190</v>
      </c>
      <c r="E39" s="15"/>
      <c r="F39" s="13"/>
      <c r="G39" s="13"/>
      <c r="H39" s="13"/>
      <c r="I39" s="13"/>
      <c r="J39" s="13"/>
      <c r="K39" s="13"/>
      <c r="L39" s="13"/>
    </row>
    <row r="40" spans="1:12" ht="15.6" thickBot="1" x14ac:dyDescent="0.3">
      <c r="A40" s="15"/>
      <c r="B40" s="122" t="s">
        <v>240</v>
      </c>
      <c r="C40" s="230">
        <v>50</v>
      </c>
      <c r="D40" s="230">
        <f>'Proposed Rates'!G14</f>
        <v>58</v>
      </c>
      <c r="E40" s="136" t="s">
        <v>237</v>
      </c>
      <c r="F40" s="166"/>
      <c r="G40" s="13"/>
      <c r="H40" s="13"/>
      <c r="I40" s="13"/>
      <c r="J40" s="13"/>
      <c r="K40" s="13"/>
      <c r="L40" s="13"/>
    </row>
    <row r="41" spans="1:12" ht="15.6" thickBot="1" x14ac:dyDescent="0.3">
      <c r="A41" s="15"/>
      <c r="B41" s="122" t="s">
        <v>241</v>
      </c>
      <c r="C41" s="127">
        <v>2.9243000000000001</v>
      </c>
      <c r="D41" s="127">
        <f>'Proposed Rates'!G22</f>
        <v>3.9410999999999996</v>
      </c>
      <c r="E41" s="136" t="s">
        <v>201</v>
      </c>
      <c r="F41" s="15"/>
      <c r="G41" s="15"/>
      <c r="H41" s="15"/>
      <c r="I41" s="15"/>
      <c r="J41" s="15"/>
      <c r="K41" s="15"/>
      <c r="L41" s="15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6" thickBot="1" x14ac:dyDescent="0.3">
      <c r="A43" s="15"/>
      <c r="B43" s="123" t="s">
        <v>243</v>
      </c>
      <c r="C43" s="228" t="s">
        <v>189</v>
      </c>
      <c r="D43" s="126" t="s">
        <v>190</v>
      </c>
      <c r="E43" s="15"/>
      <c r="F43" s="13"/>
      <c r="G43" s="13"/>
      <c r="H43" s="13"/>
      <c r="I43" s="13"/>
      <c r="J43" s="13"/>
      <c r="K43" s="13"/>
      <c r="L43" s="13"/>
    </row>
    <row r="44" spans="1:12" ht="15.6" thickBot="1" x14ac:dyDescent="0.3">
      <c r="A44" s="15"/>
      <c r="B44" s="122" t="s">
        <v>245</v>
      </c>
      <c r="C44" s="230">
        <v>430</v>
      </c>
      <c r="D44" s="230">
        <f>'Proposed Rates'!K14</f>
        <v>430</v>
      </c>
      <c r="E44" s="136" t="s">
        <v>237</v>
      </c>
      <c r="F44" s="166"/>
      <c r="G44" s="13"/>
      <c r="H44" s="13"/>
      <c r="I44" s="13"/>
      <c r="J44" s="13"/>
      <c r="K44" s="13"/>
      <c r="L44" s="13"/>
    </row>
    <row r="45" spans="1:12" ht="15.6" thickBot="1" x14ac:dyDescent="0.3">
      <c r="A45" s="15"/>
      <c r="B45" s="122" t="s">
        <v>241</v>
      </c>
      <c r="C45" s="127">
        <v>1.821</v>
      </c>
      <c r="D45" s="127">
        <f>'Proposed Rates'!K22</f>
        <v>2.1338999999999997</v>
      </c>
      <c r="E45" s="136" t="s">
        <v>201</v>
      </c>
      <c r="F45" s="15"/>
      <c r="G45" s="15"/>
      <c r="H45" s="15"/>
      <c r="I45" s="15"/>
      <c r="J45" s="15"/>
      <c r="K45" s="15"/>
      <c r="L45" s="15"/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.6" thickBot="1" x14ac:dyDescent="0.3">
      <c r="A47" s="15"/>
      <c r="B47" s="123" t="s">
        <v>244</v>
      </c>
      <c r="C47" s="228" t="s">
        <v>189</v>
      </c>
      <c r="D47" s="126" t="s">
        <v>190</v>
      </c>
      <c r="E47" s="15"/>
      <c r="F47" s="13"/>
      <c r="G47" s="13"/>
      <c r="H47" s="13"/>
      <c r="I47" s="13"/>
      <c r="J47" s="13"/>
      <c r="K47" s="13"/>
      <c r="L47" s="13"/>
    </row>
    <row r="48" spans="1:12" ht="15.6" thickBot="1" x14ac:dyDescent="0.3">
      <c r="A48" s="15"/>
      <c r="B48" s="122" t="s">
        <v>245</v>
      </c>
      <c r="C48" s="230">
        <v>430</v>
      </c>
      <c r="D48" s="230">
        <f>'Proposed Rates'!O14</f>
        <v>430</v>
      </c>
      <c r="E48" s="136" t="s">
        <v>237</v>
      </c>
      <c r="F48" s="166"/>
      <c r="G48" s="13"/>
      <c r="H48" s="13"/>
      <c r="I48" s="13"/>
      <c r="J48" s="13"/>
      <c r="K48" s="13"/>
      <c r="L48" s="13"/>
    </row>
    <row r="49" spans="1:12" ht="15.6" thickBot="1" x14ac:dyDescent="0.3">
      <c r="A49" s="15"/>
      <c r="B49" s="122" t="s">
        <v>246</v>
      </c>
      <c r="C49" s="127">
        <v>0.99819999999999998</v>
      </c>
      <c r="D49" s="127">
        <f>'Proposed Rates'!O20</f>
        <v>1.1573</v>
      </c>
      <c r="E49" s="136" t="s">
        <v>201</v>
      </c>
      <c r="F49" s="15"/>
      <c r="G49" s="15"/>
      <c r="H49" s="15"/>
      <c r="I49" s="15"/>
      <c r="J49" s="15"/>
      <c r="K49" s="15"/>
      <c r="L49" s="15"/>
    </row>
    <row r="50" spans="1:1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customSheetViews>
    <customSheetView guid="{B7519FF1-05A6-4A79-8E47-A233872313D4}" fitToPage="1" topLeftCell="B1">
      <selection activeCell="B2" sqref="B2"/>
      <pageMargins left="0.75" right="0.75" top="1" bottom="1" header="0.5" footer="0.5"/>
      <pageSetup scale="54" orientation="portrait" r:id="rId1"/>
      <headerFooter alignWithMargins="0">
        <oddHeader>&amp;A</oddHeader>
        <oddFooter>Page &amp;P</oddFooter>
      </headerFooter>
    </customSheetView>
  </customSheetViews>
  <mergeCells count="1">
    <mergeCell ref="A1:K1"/>
  </mergeCells>
  <phoneticPr fontId="0" type="noConversion"/>
  <pageMargins left="0.75" right="0.75" top="1" bottom="1" header="0.5" footer="0.5"/>
  <pageSetup scale="55" orientation="portrait" r:id="rId2"/>
  <headerFooter alignWithMargins="0">
    <oddHeader>&amp;A</oddHeader>
    <oddFooter>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Option Button 1">
              <controlPr defaultSize="0" autoFill="0" autoLine="0" autoPict="0" altText="With Riders">
                <anchor moveWithCells="1">
                  <from>
                    <xdr:col>7</xdr:col>
                    <xdr:colOff>68580</xdr:colOff>
                    <xdr:row>6</xdr:row>
                    <xdr:rowOff>15240</xdr:rowOff>
                  </from>
                  <to>
                    <xdr:col>8</xdr:col>
                    <xdr:colOff>297180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Option Button 2">
              <controlPr defaultSize="0" autoFill="0" autoLine="0" autoPict="0">
                <anchor moveWithCells="1">
                  <from>
                    <xdr:col>7</xdr:col>
                    <xdr:colOff>68580</xdr:colOff>
                    <xdr:row>7</xdr:row>
                    <xdr:rowOff>0</xdr:rowOff>
                  </from>
                  <to>
                    <xdr:col>8</xdr:col>
                    <xdr:colOff>297180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3" transitionEvaluation="1" transitionEntry="1" codeName="Sheet9"/>
  <dimension ref="A1:BW1089"/>
  <sheetViews>
    <sheetView tabSelected="1" view="pageBreakPreview" topLeftCell="A13" zoomScale="60" zoomScaleNormal="75" workbookViewId="0">
      <selection activeCell="P13" sqref="P13"/>
    </sheetView>
  </sheetViews>
  <sheetFormatPr defaultColWidth="9.75" defaultRowHeight="15.6" x14ac:dyDescent="0.3"/>
  <cols>
    <col min="1" max="1" width="4.9140625" style="21" customWidth="1"/>
    <col min="2" max="2" width="0.6640625" style="21" customWidth="1"/>
    <col min="3" max="3" width="6.75" style="21" customWidth="1"/>
    <col min="4" max="4" width="36.08203125" style="21" customWidth="1"/>
    <col min="5" max="5" width="0.6640625" style="21" customWidth="1"/>
    <col min="6" max="6" width="11.08203125" style="21" customWidth="1"/>
    <col min="7" max="7" width="0.6640625" style="21" customWidth="1"/>
    <col min="8" max="8" width="11.6640625" style="21" customWidth="1"/>
    <col min="9" max="9" width="0.6640625" style="21" customWidth="1"/>
    <col min="10" max="10" width="10.4140625" style="21" customWidth="1"/>
    <col min="11" max="11" width="0.6640625" style="21" customWidth="1"/>
    <col min="12" max="12" width="13.9140625" style="21" customWidth="1"/>
    <col min="13" max="13" width="0.6640625" style="21" customWidth="1"/>
    <col min="14" max="14" width="12.75" style="21" customWidth="1"/>
    <col min="15" max="15" width="0.58203125" style="21" customWidth="1"/>
    <col min="16" max="16" width="14" style="21" customWidth="1"/>
    <col min="17" max="17" width="0.58203125" style="21" customWidth="1"/>
    <col min="18" max="18" width="16.332031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8" style="21" customWidth="1"/>
    <col min="23" max="23" width="34.4140625" style="21" customWidth="1"/>
    <col min="24" max="24" width="10.9140625" style="21" customWidth="1"/>
    <col min="25" max="25" width="1" style="21" customWidth="1"/>
    <col min="26" max="26" width="9.6640625" style="21" customWidth="1"/>
    <col min="27" max="27" width="0.6640625" style="21" customWidth="1"/>
    <col min="28" max="28" width="13.33203125" style="21" customWidth="1"/>
    <col min="29" max="29" width="0.6640625" style="21" customWidth="1"/>
    <col min="30" max="30" width="13.58203125" style="21" customWidth="1"/>
    <col min="31" max="31" width="0.9140625" style="21" customWidth="1"/>
    <col min="32" max="32" width="12.9140625" style="21" customWidth="1"/>
    <col min="33" max="33" width="0.75" style="21" customWidth="1"/>
    <col min="34" max="34" width="13.6640625" style="21" customWidth="1"/>
    <col min="35" max="35" width="0.6640625" style="21" customWidth="1"/>
    <col min="36" max="36" width="12.9140625" style="21" customWidth="1"/>
    <col min="37" max="37" width="0.75" style="21" customWidth="1"/>
    <col min="38" max="38" width="12.9140625" style="21" customWidth="1"/>
    <col min="39" max="39" width="0.58203125" style="21" customWidth="1"/>
    <col min="40" max="40" width="12.08203125" style="21" customWidth="1"/>
    <col min="41" max="41" width="0.58203125" style="21" customWidth="1"/>
    <col min="42" max="42" width="10.082031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41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AA1" s="22"/>
    </row>
    <row r="2" spans="1:41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AA2" s="22"/>
    </row>
    <row r="3" spans="1:41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Z3" s="23"/>
    </row>
    <row r="4" spans="1:41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AA4" s="22"/>
    </row>
    <row r="5" spans="1:41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AB5" s="23"/>
      <c r="AC5" s="23"/>
    </row>
    <row r="6" spans="1:41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L6" s="23"/>
      <c r="AM6" s="23"/>
    </row>
    <row r="7" spans="1:41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175</v>
      </c>
      <c r="AL7" s="23"/>
      <c r="AM7" s="23"/>
    </row>
    <row r="8" spans="1:41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L8" s="23"/>
      <c r="AM8" s="23"/>
    </row>
    <row r="9" spans="1:41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L9" s="23"/>
      <c r="AM9" s="23"/>
    </row>
    <row r="10" spans="1:41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AB10" s="23"/>
      <c r="AC10" s="23"/>
      <c r="AL10" s="22"/>
      <c r="AM10" s="22"/>
    </row>
    <row r="11" spans="1:4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AB12" s="30"/>
      <c r="AC12" s="30"/>
      <c r="AD12" s="30"/>
      <c r="AE12" s="30"/>
      <c r="AF12" s="30"/>
      <c r="AG12" s="30"/>
      <c r="AH12" s="30"/>
      <c r="AI12" s="30"/>
      <c r="AL12" s="30"/>
      <c r="AM12" s="30"/>
      <c r="AN12" s="30"/>
      <c r="AO12" s="30"/>
    </row>
    <row r="13" spans="1:4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AA13" s="30"/>
      <c r="AB13" s="30"/>
      <c r="AC13" s="30"/>
      <c r="AD13" s="30"/>
      <c r="AE13" s="30"/>
      <c r="AF13" s="30"/>
      <c r="AG13" s="30"/>
      <c r="AH13" s="30"/>
      <c r="AI13" s="30"/>
      <c r="AL13" s="30"/>
      <c r="AM13" s="30"/>
      <c r="AN13" s="30"/>
      <c r="AO13" s="30"/>
    </row>
    <row r="14" spans="1:41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176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  <c r="T15" s="30"/>
      <c r="U15" s="30"/>
      <c r="V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x14ac:dyDescent="0.3">
      <c r="A19" s="24">
        <v>1</v>
      </c>
      <c r="B19" s="25"/>
      <c r="C19" s="177" t="s">
        <v>119</v>
      </c>
      <c r="D19" s="177" t="s">
        <v>127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1" x14ac:dyDescent="0.3">
      <c r="A20" s="24"/>
      <c r="B20" s="25"/>
      <c r="C20" s="26"/>
      <c r="D20" s="26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</row>
    <row r="21" spans="1:41" x14ac:dyDescent="0.3">
      <c r="A21" s="25">
        <v>2</v>
      </c>
      <c r="B21" s="25"/>
      <c r="C21" s="177" t="s">
        <v>85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41" x14ac:dyDescent="0.3">
      <c r="A22" s="25">
        <v>3</v>
      </c>
      <c r="B22" s="25"/>
      <c r="C22" s="27" t="s">
        <v>125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2"/>
      <c r="T22" s="23"/>
      <c r="V22" s="32"/>
      <c r="Z22" s="32"/>
      <c r="AA22" s="119"/>
      <c r="AB22" s="32"/>
      <c r="AC22" s="32"/>
      <c r="AD22" s="33"/>
      <c r="AE22" s="33"/>
      <c r="AF22" s="32"/>
      <c r="AG22" s="32"/>
      <c r="AH22" s="33"/>
      <c r="AI22" s="33"/>
      <c r="AJ22" s="32"/>
      <c r="AK22" s="32"/>
      <c r="AL22" s="32"/>
      <c r="AM22" s="32"/>
      <c r="AN22" s="33"/>
      <c r="AO22" s="33"/>
    </row>
    <row r="23" spans="1:41" x14ac:dyDescent="0.3">
      <c r="A23" s="25">
        <v>4</v>
      </c>
      <c r="B23" s="25"/>
      <c r="C23" s="26" t="s">
        <v>197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2"/>
      <c r="V23" s="34"/>
      <c r="Z23" s="32"/>
      <c r="AA23" s="195"/>
      <c r="AB23" s="32"/>
      <c r="AC23" s="32"/>
      <c r="AD23" s="33"/>
      <c r="AE23" s="33"/>
      <c r="AF23" s="32"/>
      <c r="AG23" s="32"/>
      <c r="AJ23" s="32"/>
      <c r="AK23" s="32"/>
      <c r="AL23" s="32"/>
      <c r="AM23" s="32"/>
    </row>
    <row r="24" spans="1:41" x14ac:dyDescent="0.3">
      <c r="A24" s="24">
        <v>5</v>
      </c>
      <c r="B24" s="25"/>
      <c r="C24" s="25" t="s">
        <v>221</v>
      </c>
      <c r="D24" s="25"/>
      <c r="E24" s="25"/>
      <c r="F24" s="195">
        <v>2861</v>
      </c>
      <c r="H24" s="195"/>
      <c r="I24" s="195"/>
      <c r="J24" s="119">
        <f>PRO_GS_CUST</f>
        <v>58</v>
      </c>
      <c r="K24" s="119"/>
      <c r="L24" s="32">
        <f>ROUND(F24*J24,0)</f>
        <v>165938</v>
      </c>
      <c r="M24" s="32"/>
      <c r="N24" s="33">
        <f>ROUND((L24/$L$37)*100,1)</f>
        <v>11.3</v>
      </c>
      <c r="O24" s="33"/>
      <c r="P24" s="32"/>
      <c r="Q24" s="32"/>
      <c r="R24" s="32">
        <f>L24+P24</f>
        <v>165938</v>
      </c>
      <c r="S24" s="32"/>
      <c r="T24" s="23"/>
      <c r="V24" s="32"/>
      <c r="Z24" s="32"/>
      <c r="AA24" s="200"/>
      <c r="AB24" s="32"/>
      <c r="AC24" s="32"/>
      <c r="AD24" s="33"/>
      <c r="AE24" s="33"/>
      <c r="AF24" s="32"/>
      <c r="AG24" s="32"/>
      <c r="AH24" s="33"/>
      <c r="AI24" s="33"/>
      <c r="AJ24" s="32"/>
      <c r="AK24" s="32"/>
      <c r="AL24" s="32"/>
      <c r="AM24" s="32"/>
      <c r="AN24" s="33"/>
      <c r="AO24" s="33"/>
    </row>
    <row r="25" spans="1:41" x14ac:dyDescent="0.3">
      <c r="A25" s="24"/>
      <c r="B25" s="25"/>
      <c r="C25" s="25"/>
      <c r="D25" s="25"/>
      <c r="E25" s="25"/>
      <c r="F25" s="195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  <c r="S25" s="32"/>
      <c r="T25" s="23"/>
      <c r="V25" s="32"/>
      <c r="Z25" s="32"/>
      <c r="AA25" s="200"/>
      <c r="AB25" s="32"/>
      <c r="AC25" s="32"/>
      <c r="AD25" s="33"/>
      <c r="AE25" s="33"/>
      <c r="AF25" s="32"/>
      <c r="AG25" s="32"/>
      <c r="AH25" s="33"/>
      <c r="AI25" s="33"/>
      <c r="AJ25" s="32"/>
      <c r="AK25" s="32"/>
      <c r="AL25" s="32"/>
      <c r="AM25" s="32"/>
      <c r="AN25" s="33"/>
      <c r="AO25" s="33"/>
    </row>
    <row r="26" spans="1:41" x14ac:dyDescent="0.3">
      <c r="A26" s="24">
        <v>6</v>
      </c>
      <c r="B26" s="25"/>
      <c r="C26" s="191" t="s">
        <v>124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T26" s="23"/>
      <c r="V26" s="195"/>
      <c r="Z26" s="32"/>
      <c r="AA26" s="200"/>
      <c r="AB26" s="32"/>
      <c r="AC26" s="32"/>
      <c r="AD26" s="33"/>
      <c r="AE26" s="33"/>
      <c r="AF26" s="32"/>
      <c r="AG26" s="32"/>
      <c r="AH26" s="33"/>
      <c r="AI26" s="33"/>
      <c r="AJ26" s="32"/>
      <c r="AK26" s="32"/>
      <c r="AL26" s="32"/>
      <c r="AM26" s="32"/>
      <c r="AN26" s="33"/>
      <c r="AO26" s="33"/>
    </row>
    <row r="27" spans="1:41" x14ac:dyDescent="0.3">
      <c r="A27" s="21">
        <v>7</v>
      </c>
      <c r="C27" s="21" t="s">
        <v>130</v>
      </c>
      <c r="D27" s="25"/>
      <c r="E27" s="25"/>
      <c r="F27" s="54"/>
      <c r="G27" s="53"/>
      <c r="H27" s="54">
        <v>330383</v>
      </c>
      <c r="I27" s="72"/>
      <c r="J27" s="43">
        <f>PRO_GS</f>
        <v>3.9410999999999996</v>
      </c>
      <c r="K27" s="174"/>
      <c r="L27" s="36">
        <f>ROUND((H27*J27),0)</f>
        <v>1302072</v>
      </c>
      <c r="M27" s="37"/>
      <c r="N27" s="38">
        <f>ROUND((L27/$L$37)*100,1)</f>
        <v>88.7</v>
      </c>
      <c r="O27" s="39"/>
      <c r="P27" s="36">
        <f>ROUND(EGC*$H27,0)</f>
        <v>1342016</v>
      </c>
      <c r="Q27" s="37"/>
      <c r="R27" s="36">
        <f>L27+P27</f>
        <v>2644088</v>
      </c>
      <c r="S27" s="32"/>
      <c r="V27" s="34"/>
      <c r="Z27" s="34"/>
      <c r="AA27" s="198"/>
      <c r="AB27" s="34"/>
      <c r="AC27" s="34"/>
      <c r="AD27" s="34"/>
      <c r="AE27" s="34"/>
      <c r="AF27" s="34"/>
      <c r="AG27" s="34"/>
      <c r="AJ27" s="34"/>
      <c r="AK27" s="34"/>
      <c r="AL27" s="34"/>
      <c r="AM27" s="34"/>
      <c r="AN27" s="33"/>
      <c r="AO27" s="33"/>
    </row>
    <row r="28" spans="1:41" x14ac:dyDescent="0.3">
      <c r="D28" s="25"/>
      <c r="E28" s="25"/>
      <c r="F28" s="55"/>
      <c r="G28" s="53"/>
      <c r="H28" s="55"/>
      <c r="I28" s="72"/>
      <c r="J28" s="43"/>
      <c r="K28" s="174"/>
      <c r="L28" s="32"/>
      <c r="M28" s="37"/>
      <c r="N28" s="33"/>
      <c r="O28" s="39"/>
      <c r="P28" s="32"/>
      <c r="Q28" s="37"/>
      <c r="R28" s="32"/>
      <c r="S28" s="32"/>
      <c r="V28" s="34"/>
      <c r="Z28" s="34"/>
      <c r="AA28" s="198"/>
      <c r="AB28" s="34"/>
      <c r="AC28" s="34"/>
      <c r="AD28" s="34"/>
      <c r="AE28" s="34"/>
      <c r="AF28" s="34"/>
      <c r="AG28" s="34"/>
      <c r="AJ28" s="34"/>
      <c r="AK28" s="34"/>
      <c r="AL28" s="34"/>
      <c r="AM28" s="34"/>
      <c r="AN28" s="33"/>
      <c r="AO28" s="33"/>
    </row>
    <row r="29" spans="1:41" x14ac:dyDescent="0.3">
      <c r="A29" s="24">
        <v>8</v>
      </c>
      <c r="B29" s="25"/>
      <c r="C29" s="196" t="s">
        <v>218</v>
      </c>
      <c r="D29" s="25"/>
      <c r="E29" s="25"/>
      <c r="F29" s="54">
        <f>F24</f>
        <v>2861</v>
      </c>
      <c r="G29" s="53"/>
      <c r="H29" s="54">
        <f>H27</f>
        <v>330383</v>
      </c>
      <c r="I29" s="72"/>
      <c r="J29" s="43"/>
      <c r="K29" s="174"/>
      <c r="L29" s="36">
        <f>SUM(L24:L27)</f>
        <v>1468010</v>
      </c>
      <c r="M29" s="37"/>
      <c r="N29" s="38">
        <f>ROUND((L29/$L$37)*100,1)</f>
        <v>100</v>
      </c>
      <c r="O29" s="39"/>
      <c r="P29" s="36">
        <f>SUM(P24:P27)</f>
        <v>1342016</v>
      </c>
      <c r="Q29" s="37"/>
      <c r="R29" s="36">
        <f>SUM(R24:R27)</f>
        <v>2810026</v>
      </c>
      <c r="S29" s="32"/>
      <c r="V29" s="34"/>
      <c r="Z29" s="34"/>
      <c r="AA29" s="198"/>
      <c r="AB29" s="34"/>
      <c r="AC29" s="34"/>
      <c r="AD29" s="34"/>
      <c r="AE29" s="34"/>
      <c r="AF29" s="34"/>
      <c r="AG29" s="34"/>
      <c r="AJ29" s="34"/>
      <c r="AK29" s="34"/>
      <c r="AL29" s="34"/>
      <c r="AM29" s="34"/>
      <c r="AN29" s="33"/>
      <c r="AO29" s="33"/>
    </row>
    <row r="30" spans="1:41" x14ac:dyDescent="0.3">
      <c r="A30" s="25"/>
      <c r="B30" s="25"/>
      <c r="C30" s="25"/>
      <c r="D30" s="25"/>
      <c r="E30" s="25"/>
      <c r="F30" s="55"/>
      <c r="G30" s="53"/>
      <c r="H30" s="55"/>
      <c r="I30" s="72"/>
      <c r="J30" s="43"/>
      <c r="K30" s="174"/>
      <c r="L30" s="32"/>
      <c r="M30" s="37"/>
      <c r="N30" s="33"/>
      <c r="O30" s="39"/>
      <c r="P30" s="32"/>
      <c r="Q30" s="37"/>
      <c r="R30" s="32"/>
      <c r="S30" s="32"/>
      <c r="V30" s="34"/>
      <c r="Z30" s="34"/>
      <c r="AA30" s="198"/>
      <c r="AB30" s="34"/>
      <c r="AC30" s="34"/>
      <c r="AD30" s="34"/>
      <c r="AE30" s="34"/>
      <c r="AF30" s="34"/>
      <c r="AG30" s="34"/>
      <c r="AJ30" s="34"/>
      <c r="AK30" s="34"/>
      <c r="AL30" s="34"/>
      <c r="AM30" s="34"/>
      <c r="AN30" s="33"/>
      <c r="AO30" s="33"/>
    </row>
    <row r="31" spans="1:41" x14ac:dyDescent="0.3">
      <c r="A31" s="25">
        <v>9</v>
      </c>
      <c r="B31" s="25"/>
      <c r="C31" s="177" t="s">
        <v>206</v>
      </c>
      <c r="D31" s="25"/>
      <c r="E31" s="25"/>
      <c r="F31" s="55"/>
      <c r="G31" s="53"/>
      <c r="H31" s="55"/>
      <c r="I31" s="72"/>
      <c r="J31" s="43"/>
      <c r="K31" s="174"/>
      <c r="L31" s="32"/>
      <c r="M31" s="37"/>
      <c r="N31" s="33"/>
      <c r="O31" s="39"/>
      <c r="P31" s="32"/>
      <c r="Q31" s="37"/>
      <c r="R31" s="32"/>
      <c r="S31" s="32"/>
      <c r="V31" s="34"/>
      <c r="Z31" s="34"/>
      <c r="AA31" s="198"/>
      <c r="AB31" s="34"/>
      <c r="AC31" s="34"/>
      <c r="AD31" s="34"/>
      <c r="AE31" s="34"/>
      <c r="AF31" s="34"/>
      <c r="AG31" s="34"/>
      <c r="AJ31" s="34"/>
      <c r="AK31" s="34"/>
      <c r="AL31" s="34"/>
      <c r="AM31" s="34"/>
      <c r="AN31" s="33"/>
      <c r="AO31" s="33"/>
    </row>
    <row r="32" spans="1:41" x14ac:dyDescent="0.3">
      <c r="A32" s="24">
        <v>10</v>
      </c>
      <c r="B32" s="25"/>
      <c r="C32" s="149" t="s">
        <v>222</v>
      </c>
      <c r="D32" s="25"/>
      <c r="E32" s="25"/>
      <c r="F32" s="55"/>
      <c r="G32" s="53"/>
      <c r="H32" s="55"/>
      <c r="I32" s="72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S32" s="32"/>
      <c r="V32" s="34"/>
      <c r="Z32" s="34"/>
      <c r="AA32" s="198"/>
      <c r="AB32" s="34"/>
      <c r="AC32" s="34"/>
      <c r="AD32" s="34"/>
      <c r="AE32" s="34"/>
      <c r="AF32" s="34"/>
      <c r="AG32" s="34"/>
      <c r="AJ32" s="34"/>
      <c r="AK32" s="34"/>
      <c r="AL32" s="34"/>
      <c r="AM32" s="34"/>
      <c r="AN32" s="33"/>
      <c r="AO32" s="33"/>
    </row>
    <row r="33" spans="1:42" x14ac:dyDescent="0.3">
      <c r="A33" s="24">
        <v>11</v>
      </c>
      <c r="B33" s="25"/>
      <c r="C33" s="171" t="s">
        <v>295</v>
      </c>
      <c r="D33" s="25"/>
      <c r="E33" s="25"/>
      <c r="F33" s="55"/>
      <c r="G33" s="53"/>
      <c r="H33" s="55"/>
      <c r="I33" s="72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S33" s="32"/>
      <c r="V33" s="34"/>
      <c r="Z33" s="34"/>
      <c r="AA33" s="198"/>
      <c r="AB33" s="34"/>
      <c r="AC33" s="34"/>
      <c r="AD33" s="34"/>
      <c r="AE33" s="34"/>
      <c r="AF33" s="34"/>
      <c r="AG33" s="34"/>
      <c r="AJ33" s="34"/>
      <c r="AK33" s="34"/>
      <c r="AL33" s="34"/>
      <c r="AM33" s="34"/>
      <c r="AN33" s="33"/>
      <c r="AO33" s="33"/>
    </row>
    <row r="34" spans="1:42" x14ac:dyDescent="0.3">
      <c r="A34" s="25"/>
      <c r="B34" s="25"/>
      <c r="C34" s="25"/>
      <c r="D34" s="25"/>
      <c r="E34" s="25"/>
      <c r="F34" s="55"/>
      <c r="G34" s="53"/>
      <c r="H34" s="55"/>
      <c r="I34" s="72"/>
      <c r="J34" s="43"/>
      <c r="K34" s="174"/>
      <c r="L34" s="32"/>
      <c r="M34" s="37"/>
      <c r="N34" s="33"/>
      <c r="O34" s="39"/>
      <c r="P34" s="32"/>
      <c r="Q34" s="37"/>
      <c r="R34" s="32"/>
      <c r="S34" s="32"/>
      <c r="V34" s="34"/>
      <c r="Z34" s="34"/>
      <c r="AA34" s="198"/>
      <c r="AB34" s="34"/>
      <c r="AC34" s="34"/>
      <c r="AD34" s="34"/>
      <c r="AE34" s="34"/>
      <c r="AF34" s="34"/>
      <c r="AG34" s="34"/>
      <c r="AJ34" s="34"/>
      <c r="AK34" s="34"/>
      <c r="AL34" s="34"/>
      <c r="AM34" s="34"/>
      <c r="AN34" s="33"/>
      <c r="AO34" s="33"/>
    </row>
    <row r="35" spans="1:42" x14ac:dyDescent="0.3">
      <c r="A35" s="25">
        <v>12</v>
      </c>
      <c r="B35" s="25"/>
      <c r="C35" s="196" t="s">
        <v>209</v>
      </c>
      <c r="D35" s="25"/>
      <c r="E35" s="25"/>
      <c r="F35" s="55"/>
      <c r="G35" s="53"/>
      <c r="H35" s="5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S35" s="32"/>
      <c r="V35" s="34"/>
      <c r="Z35" s="34"/>
      <c r="AA35" s="198"/>
      <c r="AB35" s="34"/>
      <c r="AC35" s="34"/>
      <c r="AD35" s="34"/>
      <c r="AE35" s="34"/>
      <c r="AF35" s="34"/>
      <c r="AG35" s="34"/>
      <c r="AJ35" s="34"/>
      <c r="AK35" s="34"/>
      <c r="AL35" s="34"/>
      <c r="AM35" s="34"/>
      <c r="AN35" s="33"/>
      <c r="AO35" s="33"/>
    </row>
    <row r="36" spans="1:42" x14ac:dyDescent="0.3">
      <c r="A36" s="24"/>
      <c r="B36" s="25"/>
      <c r="C36" s="25"/>
      <c r="D36" s="25"/>
      <c r="E36" s="25"/>
      <c r="F36" s="55"/>
      <c r="G36" s="53"/>
      <c r="H36" s="55"/>
      <c r="I36" s="72"/>
      <c r="J36" s="43"/>
      <c r="K36" s="174"/>
      <c r="L36" s="32"/>
      <c r="M36" s="37"/>
      <c r="N36" s="33"/>
      <c r="O36" s="39"/>
      <c r="P36" s="32"/>
      <c r="Q36" s="37"/>
      <c r="R36" s="32"/>
      <c r="S36" s="32"/>
      <c r="V36" s="34"/>
      <c r="Z36" s="34"/>
      <c r="AA36" s="198"/>
      <c r="AB36" s="34"/>
      <c r="AC36" s="34"/>
      <c r="AD36" s="34"/>
      <c r="AE36" s="34"/>
      <c r="AF36" s="34"/>
      <c r="AG36" s="34"/>
      <c r="AJ36" s="34"/>
      <c r="AK36" s="34"/>
      <c r="AL36" s="34"/>
      <c r="AM36" s="34"/>
      <c r="AN36" s="33"/>
      <c r="AO36" s="33"/>
    </row>
    <row r="37" spans="1:42" ht="16.2" thickBot="1" x14ac:dyDescent="0.35">
      <c r="A37" s="24">
        <v>13</v>
      </c>
      <c r="B37" s="25"/>
      <c r="C37" s="191" t="s">
        <v>219</v>
      </c>
      <c r="D37" s="25"/>
      <c r="E37" s="25"/>
      <c r="F37" s="40">
        <f>F24</f>
        <v>2861</v>
      </c>
      <c r="G37" s="25"/>
      <c r="H37" s="40">
        <f>H27</f>
        <v>330383</v>
      </c>
      <c r="I37" s="37"/>
      <c r="J37" s="46"/>
      <c r="K37" s="46"/>
      <c r="L37" s="40">
        <f>L29+L35</f>
        <v>1468010</v>
      </c>
      <c r="M37" s="37"/>
      <c r="N37" s="41">
        <f>SUM(N29+N35)</f>
        <v>100</v>
      </c>
      <c r="O37" s="39"/>
      <c r="P37" s="40">
        <f>P29+P35</f>
        <v>1342016</v>
      </c>
      <c r="Q37" s="72"/>
      <c r="R37" s="40">
        <f>R29+R35</f>
        <v>2810026</v>
      </c>
    </row>
    <row r="38" spans="1:42" ht="16.2" thickTop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7"/>
      <c r="M38" s="37"/>
      <c r="N38" s="37"/>
      <c r="O38" s="37"/>
      <c r="P38" s="37"/>
      <c r="Q38" s="37"/>
      <c r="R38" s="37"/>
    </row>
    <row r="39" spans="1:42" x14ac:dyDescent="0.3">
      <c r="A39" s="25"/>
      <c r="B39" s="25"/>
      <c r="C39" s="26" t="s">
        <v>51</v>
      </c>
      <c r="D39" s="25"/>
      <c r="E39" s="25"/>
      <c r="F39" s="25"/>
      <c r="G39" s="25"/>
      <c r="H39" s="25"/>
      <c r="I39" s="25"/>
      <c r="J39" s="25"/>
      <c r="K39" s="25"/>
      <c r="L39" s="37"/>
      <c r="M39" s="37"/>
      <c r="N39" s="37"/>
      <c r="O39" s="37"/>
      <c r="P39" s="37"/>
      <c r="Q39" s="37"/>
      <c r="R39" s="37"/>
    </row>
    <row r="40" spans="1:42" x14ac:dyDescent="0.3">
      <c r="A40" s="25"/>
      <c r="B40" s="25"/>
      <c r="C40" s="42" t="s">
        <v>118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42" x14ac:dyDescent="0.3">
      <c r="A41" s="25"/>
      <c r="B41" s="25"/>
      <c r="C41" s="26" t="str">
        <f>"(3) REFLECTS AVERAGE EXPECTED GAS COST OF "&amp;TEXT(EGC,"$0.000")&amp;"/MCF."</f>
        <v>(3) REFLECTS AVERAGE EXPECTED GAS COST OF $4.062/MCF.</v>
      </c>
      <c r="D41" s="25"/>
      <c r="E41" s="25"/>
      <c r="F41" s="25"/>
      <c r="G41" s="25"/>
      <c r="H41" s="47"/>
      <c r="I41" s="42"/>
      <c r="J41" s="25"/>
      <c r="K41" s="25"/>
      <c r="L41" s="37"/>
      <c r="M41" s="25"/>
      <c r="N41" s="37"/>
      <c r="O41" s="25"/>
      <c r="P41" s="37"/>
      <c r="Q41" s="32"/>
      <c r="R41" s="37"/>
    </row>
    <row r="42" spans="1:42" x14ac:dyDescent="0.3">
      <c r="C42" s="27"/>
      <c r="F42" s="34"/>
      <c r="H42" s="34"/>
      <c r="I42" s="25"/>
      <c r="J42" s="34"/>
      <c r="K42" s="25"/>
      <c r="L42" s="198"/>
      <c r="M42" s="25"/>
      <c r="N42" s="198"/>
      <c r="O42" s="25"/>
      <c r="P42" s="34"/>
      <c r="Q42" s="34"/>
      <c r="R42" s="34"/>
    </row>
    <row r="43" spans="1:42" x14ac:dyDescent="0.3">
      <c r="A43" s="22"/>
      <c r="C43" s="23"/>
      <c r="F43" s="32"/>
      <c r="H43" s="32"/>
      <c r="I43" s="25"/>
      <c r="J43" s="32"/>
      <c r="K43" s="25"/>
      <c r="L43" s="48"/>
      <c r="M43" s="25"/>
      <c r="N43" s="48"/>
      <c r="O43" s="25"/>
      <c r="P43" s="32"/>
      <c r="Q43" s="32"/>
      <c r="R43" s="32"/>
      <c r="T43" s="19" t="str">
        <f>COMPANY</f>
        <v>DUKE ENERGY KENTUCKY</v>
      </c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0"/>
      <c r="AF43" s="19"/>
      <c r="AG43" s="49"/>
      <c r="AH43" s="19"/>
      <c r="AI43" s="49"/>
      <c r="AJ43" s="19"/>
      <c r="AK43" s="19"/>
      <c r="AL43" s="19"/>
      <c r="AM43" s="19"/>
      <c r="AN43" s="19"/>
      <c r="AO43" s="49"/>
      <c r="AP43" s="19"/>
    </row>
    <row r="44" spans="1:42" x14ac:dyDescent="0.3">
      <c r="A44" s="22"/>
      <c r="C44" s="23"/>
      <c r="F44" s="32"/>
      <c r="H44" s="32"/>
      <c r="I44" s="25"/>
      <c r="J44" s="32"/>
      <c r="K44" s="25"/>
      <c r="L44" s="48"/>
      <c r="M44" s="25"/>
      <c r="N44" s="48"/>
      <c r="O44" s="25"/>
      <c r="P44" s="32"/>
      <c r="Q44" s="32"/>
      <c r="R44" s="32"/>
      <c r="T44" s="19" t="str">
        <f>CASE</f>
        <v>CASE NO. 2021-00190</v>
      </c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19"/>
      <c r="AG44" s="49"/>
      <c r="AH44" s="19"/>
      <c r="AI44" s="49"/>
      <c r="AJ44" s="19"/>
      <c r="AK44" s="19"/>
      <c r="AL44" s="19"/>
      <c r="AM44" s="19"/>
      <c r="AN44" s="19"/>
      <c r="AO44" s="49"/>
      <c r="AP44" s="19"/>
    </row>
    <row r="45" spans="1:42" x14ac:dyDescent="0.3">
      <c r="A45" s="22"/>
      <c r="D45" s="23"/>
      <c r="E45" s="23"/>
      <c r="T45" s="20" t="s">
        <v>82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49"/>
      <c r="AH45" s="19"/>
      <c r="AI45" s="49"/>
      <c r="AJ45" s="19"/>
      <c r="AK45" s="19"/>
      <c r="AL45" s="19"/>
      <c r="AM45" s="19"/>
      <c r="AN45" s="19"/>
      <c r="AO45" s="49"/>
      <c r="AP45" s="19"/>
    </row>
    <row r="46" spans="1:42" x14ac:dyDescent="0.3">
      <c r="T46" s="19" t="str">
        <f>TIME_PERIOD</f>
        <v>FOR THE TWELVE MONTHS ENDED DECEMBER 31, 2022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49"/>
      <c r="AH46" s="19"/>
      <c r="AI46" s="49"/>
      <c r="AJ46" s="19"/>
      <c r="AK46" s="19"/>
      <c r="AL46" s="19"/>
      <c r="AM46" s="19"/>
      <c r="AN46" s="19"/>
      <c r="AO46" s="49"/>
      <c r="AP46" s="19"/>
    </row>
    <row r="47" spans="1:42" x14ac:dyDescent="0.3">
      <c r="A47" s="22"/>
      <c r="C47" s="23"/>
      <c r="T47" s="19" t="str">
        <f>SERV_TYPE</f>
        <v>(GAS SERVICE)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50"/>
      <c r="AH47" s="19"/>
      <c r="AI47" s="49"/>
      <c r="AJ47" s="19"/>
      <c r="AK47" s="19"/>
      <c r="AL47" s="19"/>
      <c r="AM47" s="19"/>
      <c r="AN47" s="19"/>
      <c r="AO47" s="49"/>
      <c r="AP47" s="19"/>
    </row>
    <row r="48" spans="1:42" x14ac:dyDescent="0.3">
      <c r="A48" s="22"/>
      <c r="C48" s="23"/>
      <c r="F48" s="195"/>
      <c r="H48" s="195"/>
      <c r="I48" s="195"/>
      <c r="J48" s="119"/>
      <c r="K48" s="119"/>
      <c r="L48" s="32"/>
      <c r="M48" s="32"/>
      <c r="N48" s="33"/>
      <c r="O48" s="33"/>
      <c r="P48" s="22"/>
      <c r="Q48" s="22"/>
      <c r="R48" s="32"/>
      <c r="T48" s="24" t="str">
        <f>DATA_TYPE</f>
        <v>DATA: ___ BASE PERIOD   _X_FORECASTED PERIOD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H48" s="25"/>
      <c r="AJ48" s="25"/>
      <c r="AK48" s="25"/>
      <c r="AL48" s="25"/>
      <c r="AM48" s="25"/>
      <c r="AN48" s="26" t="s">
        <v>88</v>
      </c>
    </row>
    <row r="49" spans="1:75" x14ac:dyDescent="0.3">
      <c r="A49" s="22"/>
      <c r="C49" s="23"/>
      <c r="F49" s="195"/>
      <c r="H49" s="195"/>
      <c r="I49" s="195"/>
      <c r="J49" s="119"/>
      <c r="K49" s="119"/>
      <c r="L49" s="32"/>
      <c r="M49" s="32"/>
      <c r="N49" s="33"/>
      <c r="O49" s="33"/>
      <c r="P49" s="22"/>
      <c r="Q49" s="22"/>
      <c r="R49" s="32"/>
      <c r="T49" s="24" t="str">
        <f>FILING_TYPE</f>
        <v>TYPE OF FILING: _X_ ORIGINAL   ___UPDATED  ___ REVISED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H49" s="25"/>
      <c r="AJ49" s="25"/>
      <c r="AK49" s="25"/>
      <c r="AL49" s="25"/>
      <c r="AM49" s="25"/>
      <c r="AN49" s="27" t="str">
        <f>R7</f>
        <v>PAGE  5  OF  7</v>
      </c>
    </row>
    <row r="50" spans="1:75" x14ac:dyDescent="0.3">
      <c r="F50" s="34"/>
      <c r="H50" s="32"/>
      <c r="I50" s="32"/>
      <c r="J50" s="198"/>
      <c r="K50" s="198"/>
      <c r="L50" s="34"/>
      <c r="M50" s="34"/>
      <c r="N50" s="34"/>
      <c r="O50" s="34"/>
      <c r="P50" s="34"/>
      <c r="Q50" s="34"/>
      <c r="R50" s="34"/>
      <c r="T50" s="26" t="s">
        <v>98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H50" s="25"/>
      <c r="AJ50" s="25"/>
      <c r="AK50" s="25"/>
      <c r="AL50" s="25"/>
      <c r="AM50" s="25"/>
      <c r="AN50" s="26" t="s">
        <v>1</v>
      </c>
    </row>
    <row r="51" spans="1:75" x14ac:dyDescent="0.3">
      <c r="A51" s="22"/>
      <c r="C51" s="23"/>
      <c r="F51" s="32"/>
      <c r="H51" s="32"/>
      <c r="I51" s="32"/>
      <c r="J51" s="198"/>
      <c r="K51" s="198"/>
      <c r="L51" s="32"/>
      <c r="M51" s="32"/>
      <c r="N51" s="33"/>
      <c r="O51" s="33"/>
      <c r="P51" s="32"/>
      <c r="Q51" s="32"/>
      <c r="R51" s="32"/>
      <c r="T51" s="177" t="str">
        <f>TIME</f>
        <v>12 MONTHS FORECASTED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25"/>
      <c r="AJ51" s="25"/>
      <c r="AK51" s="25"/>
      <c r="AL51" s="25"/>
      <c r="AM51" s="25"/>
      <c r="AN51" s="24" t="str">
        <f>WIT</f>
        <v>J.L. Kern</v>
      </c>
    </row>
    <row r="52" spans="1:75" x14ac:dyDescent="0.3">
      <c r="F52" s="34"/>
      <c r="H52" s="32"/>
      <c r="I52" s="32"/>
      <c r="J52" s="198"/>
      <c r="K52" s="198"/>
      <c r="L52" s="34"/>
      <c r="M52" s="34"/>
      <c r="N52" s="34"/>
      <c r="O52" s="34"/>
      <c r="P52" s="34"/>
      <c r="Q52" s="34"/>
      <c r="R52" s="34"/>
      <c r="T52" s="20" t="s">
        <v>84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49"/>
      <c r="AH52" s="19"/>
      <c r="AI52" s="49"/>
      <c r="AJ52" s="19"/>
      <c r="AK52" s="19"/>
      <c r="AL52" s="19"/>
      <c r="AM52" s="19"/>
      <c r="AN52" s="19"/>
      <c r="AO52" s="49"/>
      <c r="AP52" s="19"/>
    </row>
    <row r="53" spans="1:75" x14ac:dyDescent="0.3">
      <c r="F53" s="32"/>
      <c r="H53" s="32"/>
      <c r="I53" s="32"/>
      <c r="J53" s="198"/>
      <c r="K53" s="198"/>
      <c r="L53" s="32"/>
      <c r="M53" s="32"/>
      <c r="N53" s="33"/>
      <c r="O53" s="33"/>
      <c r="P53" s="32"/>
      <c r="Q53" s="32"/>
      <c r="R53" s="32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BW53" s="207"/>
    </row>
    <row r="54" spans="1:75" x14ac:dyDescent="0.3">
      <c r="A54" s="22"/>
      <c r="C54" s="23"/>
      <c r="F54" s="195"/>
      <c r="H54" s="195"/>
      <c r="I54" s="195"/>
      <c r="J54" s="119"/>
      <c r="K54" s="119"/>
      <c r="L54" s="32"/>
      <c r="M54" s="32"/>
      <c r="N54" s="33"/>
      <c r="O54" s="33"/>
      <c r="P54" s="32"/>
      <c r="Q54" s="32"/>
      <c r="R54" s="32"/>
      <c r="T54" s="25"/>
      <c r="U54" s="25"/>
      <c r="V54" s="25"/>
      <c r="W54" s="25"/>
      <c r="X54" s="25"/>
      <c r="Y54" s="25"/>
      <c r="Z54" s="25"/>
      <c r="AB54" s="25"/>
      <c r="AD54" s="176" t="s">
        <v>5</v>
      </c>
      <c r="AF54" s="176" t="s">
        <v>4</v>
      </c>
      <c r="AH54" s="176" t="s">
        <v>6</v>
      </c>
      <c r="AJ54" s="176" t="s">
        <v>7</v>
      </c>
      <c r="AL54" s="25"/>
      <c r="AN54" s="176" t="s">
        <v>5</v>
      </c>
      <c r="AP54" s="176" t="s">
        <v>8</v>
      </c>
    </row>
    <row r="55" spans="1:75" x14ac:dyDescent="0.3">
      <c r="F55" s="32"/>
      <c r="H55" s="34"/>
      <c r="I55" s="34"/>
      <c r="J55" s="198"/>
      <c r="K55" s="198"/>
      <c r="L55" s="34"/>
      <c r="M55" s="34"/>
      <c r="N55" s="34"/>
      <c r="O55" s="34"/>
      <c r="P55" s="34"/>
      <c r="Q55" s="34"/>
      <c r="R55" s="34"/>
      <c r="T55" s="25"/>
      <c r="U55" s="25"/>
      <c r="V55" s="25"/>
      <c r="W55" s="25"/>
      <c r="X55" s="25"/>
      <c r="Y55" s="25"/>
      <c r="Z55" s="25"/>
      <c r="AB55" s="176" t="s">
        <v>11</v>
      </c>
      <c r="AD55" s="176" t="s">
        <v>9</v>
      </c>
      <c r="AF55" s="176" t="s">
        <v>10</v>
      </c>
      <c r="AH55" s="176" t="s">
        <v>12</v>
      </c>
      <c r="AJ55" s="176" t="s">
        <v>13</v>
      </c>
      <c r="AL55" s="25"/>
      <c r="AN55" s="176" t="s">
        <v>8</v>
      </c>
      <c r="AP55" s="176" t="s">
        <v>6</v>
      </c>
    </row>
    <row r="56" spans="1:75" x14ac:dyDescent="0.3">
      <c r="A56" s="22"/>
      <c r="C56" s="23"/>
      <c r="F56" s="32"/>
      <c r="H56" s="32"/>
      <c r="I56" s="32"/>
      <c r="J56" s="48"/>
      <c r="K56" s="48"/>
      <c r="L56" s="32"/>
      <c r="M56" s="32"/>
      <c r="N56" s="33"/>
      <c r="O56" s="33"/>
      <c r="P56" s="32"/>
      <c r="Q56" s="32"/>
      <c r="R56" s="32"/>
      <c r="T56" s="176" t="s">
        <v>14</v>
      </c>
      <c r="U56" s="25"/>
      <c r="V56" s="176" t="s">
        <v>15</v>
      </c>
      <c r="W56" s="176" t="s">
        <v>16</v>
      </c>
      <c r="X56" s="176" t="s">
        <v>17</v>
      </c>
      <c r="Y56" s="176"/>
      <c r="Z56" s="25"/>
      <c r="AB56" s="176" t="s">
        <v>5</v>
      </c>
      <c r="AD56" s="176" t="s">
        <v>112</v>
      </c>
      <c r="AF56" s="176" t="s">
        <v>112</v>
      </c>
      <c r="AH56" s="176" t="s">
        <v>113</v>
      </c>
      <c r="AJ56" s="176" t="s">
        <v>113</v>
      </c>
      <c r="AL56" s="176" t="s">
        <v>112</v>
      </c>
      <c r="AN56" s="176" t="s">
        <v>6</v>
      </c>
      <c r="AP56" s="176" t="s">
        <v>18</v>
      </c>
    </row>
    <row r="57" spans="1:75" x14ac:dyDescent="0.3">
      <c r="A57" s="22"/>
      <c r="C57" s="23"/>
      <c r="F57" s="195"/>
      <c r="H57" s="195"/>
      <c r="I57" s="195"/>
      <c r="J57" s="197"/>
      <c r="K57" s="197"/>
      <c r="L57" s="32"/>
      <c r="M57" s="32"/>
      <c r="N57" s="33"/>
      <c r="O57" s="33"/>
      <c r="P57" s="195"/>
      <c r="Q57" s="195"/>
      <c r="R57" s="32"/>
      <c r="T57" s="176" t="s">
        <v>19</v>
      </c>
      <c r="U57" s="25"/>
      <c r="V57" s="176" t="s">
        <v>20</v>
      </c>
      <c r="W57" s="176" t="s">
        <v>21</v>
      </c>
      <c r="X57" s="176" t="s">
        <v>22</v>
      </c>
      <c r="Y57" s="176"/>
      <c r="Z57" s="31" t="s">
        <v>117</v>
      </c>
      <c r="AB57" s="176" t="s">
        <v>24</v>
      </c>
      <c r="AD57" s="176" t="s">
        <v>6</v>
      </c>
      <c r="AF57" s="176" t="s">
        <v>6</v>
      </c>
      <c r="AH57" s="188" t="s">
        <v>26</v>
      </c>
      <c r="AI57" s="202"/>
      <c r="AJ57" s="188" t="s">
        <v>27</v>
      </c>
      <c r="AL57" s="31" t="s">
        <v>116</v>
      </c>
      <c r="AN57" s="188" t="s">
        <v>28</v>
      </c>
      <c r="AO57" s="202"/>
      <c r="AP57" s="188" t="s">
        <v>29</v>
      </c>
    </row>
    <row r="58" spans="1:75" x14ac:dyDescent="0.3">
      <c r="A58" s="22"/>
      <c r="C58" s="23"/>
      <c r="H58" s="195"/>
      <c r="I58" s="195"/>
      <c r="J58" s="197"/>
      <c r="K58" s="197"/>
      <c r="L58" s="32"/>
      <c r="M58" s="32"/>
      <c r="N58" s="33"/>
      <c r="O58" s="33"/>
      <c r="P58" s="195"/>
      <c r="Q58" s="195"/>
      <c r="R58" s="32"/>
      <c r="T58" s="25"/>
      <c r="U58" s="25"/>
      <c r="V58" s="188" t="s">
        <v>30</v>
      </c>
      <c r="W58" s="188" t="s">
        <v>31</v>
      </c>
      <c r="X58" s="188" t="s">
        <v>32</v>
      </c>
      <c r="Y58" s="188"/>
      <c r="Z58" s="188" t="s">
        <v>33</v>
      </c>
      <c r="AA58" s="202"/>
      <c r="AB58" s="188" t="s">
        <v>39</v>
      </c>
      <c r="AC58" s="202"/>
      <c r="AD58" s="188" t="s">
        <v>40</v>
      </c>
      <c r="AE58" s="202"/>
      <c r="AF58" s="188" t="s">
        <v>41</v>
      </c>
      <c r="AG58" s="202"/>
      <c r="AH58" s="188" t="s">
        <v>42</v>
      </c>
      <c r="AI58" s="202"/>
      <c r="AJ58" s="188" t="s">
        <v>43</v>
      </c>
      <c r="AK58" s="202"/>
      <c r="AL58" s="188" t="s">
        <v>37</v>
      </c>
      <c r="AM58" s="202"/>
      <c r="AN58" s="188" t="s">
        <v>44</v>
      </c>
      <c r="AO58" s="202"/>
      <c r="AP58" s="188" t="s">
        <v>45</v>
      </c>
      <c r="AT58" s="25"/>
    </row>
    <row r="59" spans="1:75" x14ac:dyDescent="0.3">
      <c r="A59" s="22"/>
      <c r="C59" s="23"/>
      <c r="F59" s="32"/>
      <c r="H59" s="32"/>
      <c r="I59" s="32"/>
      <c r="J59" s="48"/>
      <c r="K59" s="48"/>
      <c r="L59" s="32"/>
      <c r="M59" s="32"/>
      <c r="N59" s="33"/>
      <c r="O59" s="33"/>
      <c r="P59" s="32"/>
      <c r="Q59" s="32"/>
      <c r="R59" s="32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T59" s="25"/>
    </row>
    <row r="60" spans="1:75" x14ac:dyDescent="0.3">
      <c r="F60" s="34"/>
      <c r="H60" s="34"/>
      <c r="I60" s="34"/>
      <c r="J60" s="198"/>
      <c r="K60" s="198"/>
      <c r="L60" s="34"/>
      <c r="M60" s="34"/>
      <c r="N60" s="34"/>
      <c r="O60" s="34"/>
      <c r="P60" s="34"/>
      <c r="Q60" s="34"/>
      <c r="R60" s="34"/>
      <c r="T60" s="25"/>
      <c r="U60" s="25"/>
      <c r="V60" s="25"/>
      <c r="W60" s="25"/>
      <c r="X60" s="25"/>
      <c r="Y60" s="25"/>
      <c r="Z60" s="189" t="s">
        <v>115</v>
      </c>
      <c r="AA60" s="202"/>
      <c r="AB60" s="189" t="s">
        <v>114</v>
      </c>
      <c r="AC60" s="202"/>
      <c r="AD60" s="188" t="s">
        <v>46</v>
      </c>
      <c r="AE60" s="202"/>
      <c r="AF60" s="188" t="s">
        <v>47</v>
      </c>
      <c r="AG60" s="202"/>
      <c r="AH60" s="188" t="s">
        <v>46</v>
      </c>
      <c r="AI60" s="202"/>
      <c r="AJ60" s="188" t="s">
        <v>47</v>
      </c>
      <c r="AK60" s="202"/>
      <c r="AL60" s="188" t="s">
        <v>46</v>
      </c>
      <c r="AM60" s="202"/>
      <c r="AN60" s="188" t="s">
        <v>46</v>
      </c>
      <c r="AO60" s="202"/>
      <c r="AP60" s="188" t="s">
        <v>47</v>
      </c>
      <c r="AT60" s="25"/>
    </row>
    <row r="61" spans="1:75" x14ac:dyDescent="0.3">
      <c r="A61" s="22"/>
      <c r="C61" s="23"/>
      <c r="F61" s="32"/>
      <c r="H61" s="32"/>
      <c r="I61" s="32"/>
      <c r="J61" s="48"/>
      <c r="K61" s="48"/>
      <c r="L61" s="32"/>
      <c r="M61" s="32"/>
      <c r="N61" s="33"/>
      <c r="O61" s="33"/>
      <c r="P61" s="32"/>
      <c r="Q61" s="32"/>
      <c r="R61" s="32"/>
      <c r="T61" s="24">
        <v>1</v>
      </c>
      <c r="U61" s="25"/>
      <c r="V61" s="177" t="s">
        <v>119</v>
      </c>
      <c r="W61" s="177" t="s">
        <v>127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11"/>
    </row>
    <row r="62" spans="1:75" x14ac:dyDescent="0.3">
      <c r="A62" s="22"/>
      <c r="C62" s="23"/>
      <c r="F62" s="32"/>
      <c r="H62" s="32"/>
      <c r="I62" s="32"/>
      <c r="J62" s="48"/>
      <c r="K62" s="48"/>
      <c r="L62" s="32"/>
      <c r="M62" s="32"/>
      <c r="N62" s="33"/>
      <c r="O62" s="33"/>
      <c r="P62" s="32"/>
      <c r="Q62" s="32"/>
      <c r="R62" s="32"/>
      <c r="T62" s="24"/>
      <c r="U62" s="25"/>
      <c r="V62" s="26"/>
      <c r="W62" s="25"/>
      <c r="X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51"/>
      <c r="AK62" s="25"/>
      <c r="AL62" s="25"/>
      <c r="AM62" s="25"/>
      <c r="AN62" s="25"/>
      <c r="AO62" s="25"/>
      <c r="AP62" s="25"/>
      <c r="AQ62" s="25"/>
      <c r="AR62" s="25"/>
      <c r="AS62" s="25"/>
      <c r="AT62" s="39"/>
    </row>
    <row r="63" spans="1:75" x14ac:dyDescent="0.3">
      <c r="A63" s="23"/>
      <c r="F63" s="32"/>
      <c r="H63" s="32"/>
      <c r="I63" s="32"/>
      <c r="J63" s="48"/>
      <c r="K63" s="48"/>
      <c r="L63" s="32"/>
      <c r="M63" s="32"/>
      <c r="N63" s="32"/>
      <c r="O63" s="32"/>
      <c r="P63" s="32"/>
      <c r="Q63" s="32"/>
      <c r="R63" s="32"/>
      <c r="T63" s="25">
        <v>2</v>
      </c>
      <c r="U63" s="25"/>
      <c r="V63" s="184" t="s">
        <v>85</v>
      </c>
      <c r="W63" s="25"/>
      <c r="X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51"/>
      <c r="AK63" s="25"/>
      <c r="AL63" s="25"/>
      <c r="AM63" s="25"/>
      <c r="AN63" s="25"/>
      <c r="AO63" s="25"/>
      <c r="AP63" s="25"/>
      <c r="AQ63" s="25"/>
      <c r="AR63" s="25"/>
      <c r="AS63" s="25"/>
      <c r="AT63" s="39"/>
    </row>
    <row r="64" spans="1:75" x14ac:dyDescent="0.3">
      <c r="T64" s="25">
        <v>3</v>
      </c>
      <c r="U64" s="25"/>
      <c r="V64" s="25" t="s">
        <v>125</v>
      </c>
      <c r="W64" s="25"/>
      <c r="X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51"/>
      <c r="AK64" s="25"/>
      <c r="AL64" s="25"/>
      <c r="AM64" s="25"/>
      <c r="AN64" s="25"/>
      <c r="AO64" s="25"/>
      <c r="AP64" s="25"/>
      <c r="AQ64" s="25"/>
      <c r="AR64" s="37"/>
      <c r="AS64" s="37"/>
      <c r="AT64" s="39"/>
    </row>
    <row r="65" spans="1:46" x14ac:dyDescent="0.3">
      <c r="L65" s="32"/>
      <c r="M65" s="32"/>
      <c r="N65" s="32"/>
      <c r="O65" s="32"/>
      <c r="P65" s="32"/>
      <c r="Q65" s="32"/>
      <c r="R65" s="32"/>
      <c r="T65" s="25">
        <v>4</v>
      </c>
      <c r="U65" s="25"/>
      <c r="V65" s="25" t="s">
        <v>220</v>
      </c>
      <c r="W65" s="25"/>
      <c r="X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51"/>
      <c r="AK65" s="25"/>
      <c r="AL65" s="25"/>
      <c r="AM65" s="25"/>
      <c r="AN65" s="25"/>
      <c r="AO65" s="25"/>
      <c r="AP65" s="25"/>
      <c r="AQ65" s="24"/>
      <c r="AR65" s="37"/>
      <c r="AS65" s="37"/>
      <c r="AT65" s="211"/>
    </row>
    <row r="66" spans="1:46" x14ac:dyDescent="0.3">
      <c r="J66" s="22"/>
      <c r="K66" s="22"/>
      <c r="T66" s="24">
        <v>5</v>
      </c>
      <c r="U66" s="25"/>
      <c r="V66" s="25" t="s">
        <v>221</v>
      </c>
      <c r="W66" s="26"/>
      <c r="X66" s="32">
        <f>F24</f>
        <v>2861</v>
      </c>
      <c r="Y66" s="32"/>
      <c r="Z66" s="32"/>
      <c r="AA66" s="32"/>
      <c r="AB66" s="119">
        <f>CUR_GS_CUST</f>
        <v>50</v>
      </c>
      <c r="AC66" s="119"/>
      <c r="AD66" s="32">
        <f>ROUND(X66*AB66,0)</f>
        <v>143050</v>
      </c>
      <c r="AE66" s="32"/>
      <c r="AF66" s="33">
        <f>ROUND((AD66/$AD$79)*100,1)</f>
        <v>12.9</v>
      </c>
      <c r="AG66" s="33"/>
      <c r="AH66" s="32">
        <f>L24-AD66</f>
        <v>22888</v>
      </c>
      <c r="AI66" s="32"/>
      <c r="AJ66" s="109">
        <f>IF(AD66=0,"0.0 ",ROUND((AH66/AD66)*100,1))</f>
        <v>16</v>
      </c>
      <c r="AK66" s="33"/>
      <c r="AL66" s="32"/>
      <c r="AM66" s="32"/>
      <c r="AN66" s="32">
        <f>AD66+AL66</f>
        <v>143050</v>
      </c>
      <c r="AO66" s="32"/>
      <c r="AP66" s="78">
        <f>IF(AN66=0,"0.0 ",ROUND((AH66/AN66)*100,1))</f>
        <v>16</v>
      </c>
      <c r="AQ66" s="32"/>
      <c r="AR66" s="32"/>
      <c r="AS66" s="32"/>
      <c r="AT66" s="33"/>
    </row>
    <row r="67" spans="1:46" x14ac:dyDescent="0.3">
      <c r="J67" s="22"/>
      <c r="K67" s="22"/>
      <c r="T67" s="24"/>
      <c r="U67" s="25"/>
      <c r="V67" s="25"/>
      <c r="W67" s="26"/>
      <c r="X67" s="32"/>
      <c r="Y67" s="32"/>
      <c r="Z67" s="32"/>
      <c r="AA67" s="32"/>
      <c r="AB67" s="119"/>
      <c r="AC67" s="119"/>
      <c r="AD67" s="32"/>
      <c r="AE67" s="32"/>
      <c r="AF67" s="33"/>
      <c r="AG67" s="33"/>
      <c r="AH67" s="32"/>
      <c r="AI67" s="32"/>
      <c r="AJ67" s="102"/>
      <c r="AK67" s="33"/>
      <c r="AL67" s="32"/>
      <c r="AM67" s="32"/>
      <c r="AN67" s="32"/>
      <c r="AO67" s="32"/>
      <c r="AP67" s="78"/>
      <c r="AQ67" s="32"/>
      <c r="AR67" s="32"/>
      <c r="AS67" s="32"/>
      <c r="AT67" s="33"/>
    </row>
    <row r="68" spans="1:46" x14ac:dyDescent="0.3">
      <c r="A68" s="22"/>
      <c r="R68" s="23"/>
      <c r="T68" s="24">
        <v>6</v>
      </c>
      <c r="U68" s="25"/>
      <c r="V68" s="191" t="s">
        <v>124</v>
      </c>
      <c r="X68" s="37"/>
      <c r="Y68" s="32"/>
      <c r="Z68" s="32"/>
      <c r="AA68" s="37"/>
      <c r="AB68" s="25"/>
      <c r="AC68" s="147"/>
      <c r="AD68" s="32"/>
      <c r="AE68" s="32"/>
      <c r="AF68" s="33"/>
      <c r="AG68" s="33"/>
      <c r="AH68" s="32"/>
      <c r="AI68" s="32"/>
      <c r="AJ68" s="52"/>
      <c r="AK68" s="33"/>
      <c r="AL68" s="32"/>
      <c r="AM68" s="32"/>
      <c r="AN68" s="32"/>
      <c r="AO68" s="32"/>
      <c r="AP68" s="33"/>
      <c r="AQ68" s="37"/>
      <c r="AR68" s="37"/>
      <c r="AS68" s="37"/>
      <c r="AT68" s="39"/>
    </row>
    <row r="69" spans="1:46" x14ac:dyDescent="0.3">
      <c r="A69" s="22"/>
      <c r="R69" s="23"/>
      <c r="T69" s="21">
        <v>7</v>
      </c>
      <c r="V69" s="21" t="s">
        <v>130</v>
      </c>
      <c r="W69" s="25"/>
      <c r="X69" s="36"/>
      <c r="Y69" s="32"/>
      <c r="Z69" s="54">
        <f>H27</f>
        <v>330383</v>
      </c>
      <c r="AA69" s="53"/>
      <c r="AB69" s="147">
        <f>CUR_GS</f>
        <v>2.9243000000000001</v>
      </c>
      <c r="AC69" s="147"/>
      <c r="AD69" s="36">
        <f>ROUND((Z69*AB69),0)</f>
        <v>966139</v>
      </c>
      <c r="AE69" s="37"/>
      <c r="AF69" s="38">
        <f>ROUND((AD69/$AD$79)*100,1)</f>
        <v>87.1</v>
      </c>
      <c r="AG69" s="39"/>
      <c r="AH69" s="36">
        <f>L27-AD69</f>
        <v>335933</v>
      </c>
      <c r="AI69" s="37"/>
      <c r="AJ69" s="154">
        <f>IF(AD69=0,"0.0 ",ROUND((AH69/AD69)*100,1))</f>
        <v>34.799999999999997</v>
      </c>
      <c r="AK69" s="39"/>
      <c r="AL69" s="36">
        <f>P27</f>
        <v>1342016</v>
      </c>
      <c r="AM69" s="37"/>
      <c r="AN69" s="36">
        <f>AD69+AL69</f>
        <v>2308155</v>
      </c>
      <c r="AO69" s="37"/>
      <c r="AP69" s="78">
        <f>IF(AN69=0,"0.0 ",ROUND((AH69/AN69)*100,1))</f>
        <v>14.6</v>
      </c>
      <c r="AQ69" s="37"/>
      <c r="AR69" s="37"/>
      <c r="AS69" s="37"/>
      <c r="AT69" s="39"/>
    </row>
    <row r="70" spans="1:46" x14ac:dyDescent="0.3">
      <c r="A70" s="22"/>
      <c r="R70" s="23"/>
      <c r="W70" s="25"/>
      <c r="X70" s="32"/>
      <c r="Y70" s="32"/>
      <c r="Z70" s="55"/>
      <c r="AA70" s="53"/>
      <c r="AB70" s="147"/>
      <c r="AC70" s="147"/>
      <c r="AD70" s="32"/>
      <c r="AE70" s="37"/>
      <c r="AF70" s="33"/>
      <c r="AG70" s="39"/>
      <c r="AH70" s="32"/>
      <c r="AI70" s="37"/>
      <c r="AJ70" s="102"/>
      <c r="AK70" s="39"/>
      <c r="AL70" s="32"/>
      <c r="AM70" s="37"/>
      <c r="AN70" s="32"/>
      <c r="AO70" s="37"/>
      <c r="AP70" s="78"/>
      <c r="AQ70" s="37"/>
      <c r="AR70" s="37"/>
      <c r="AS70" s="37"/>
      <c r="AT70" s="39"/>
    </row>
    <row r="71" spans="1:46" x14ac:dyDescent="0.3">
      <c r="A71" s="22"/>
      <c r="R71" s="23"/>
      <c r="T71" s="24">
        <v>8</v>
      </c>
      <c r="U71" s="25"/>
      <c r="V71" s="196" t="s">
        <v>218</v>
      </c>
      <c r="W71" s="25"/>
      <c r="X71" s="36">
        <f>X66</f>
        <v>2861</v>
      </c>
      <c r="Y71" s="32"/>
      <c r="Z71" s="54">
        <f>Z69</f>
        <v>330383</v>
      </c>
      <c r="AA71" s="53"/>
      <c r="AB71" s="147"/>
      <c r="AC71" s="147"/>
      <c r="AD71" s="36">
        <f>SUM(AD66:AD69)</f>
        <v>1109189</v>
      </c>
      <c r="AE71" s="37"/>
      <c r="AF71" s="38">
        <f>ROUND((AD71/$AD$79)*100,1)</f>
        <v>100</v>
      </c>
      <c r="AG71" s="39"/>
      <c r="AH71" s="36">
        <f>SUM(AH66:AH69)</f>
        <v>358821</v>
      </c>
      <c r="AI71" s="37"/>
      <c r="AJ71" s="154">
        <f>IF(AD71=0,"0.0 ",ROUND((AH71/AD71)*100,1))</f>
        <v>32.299999999999997</v>
      </c>
      <c r="AK71" s="39"/>
      <c r="AL71" s="36">
        <f>SUM(AL66:AL69)</f>
        <v>1342016</v>
      </c>
      <c r="AM71" s="37"/>
      <c r="AN71" s="36">
        <f>SUM(AN66:AN69)</f>
        <v>2451205</v>
      </c>
      <c r="AO71" s="37"/>
      <c r="AP71" s="78">
        <f>IF(AN71=0,"0.0 ",ROUND((AH71/AN71)*100,1))</f>
        <v>14.6</v>
      </c>
      <c r="AQ71" s="37"/>
      <c r="AR71" s="37"/>
      <c r="AS71" s="37"/>
      <c r="AT71" s="39"/>
    </row>
    <row r="72" spans="1:46" x14ac:dyDescent="0.3">
      <c r="A72" s="22"/>
      <c r="R72" s="23"/>
      <c r="T72" s="25"/>
      <c r="U72" s="25"/>
      <c r="V72" s="25"/>
      <c r="W72" s="25"/>
      <c r="X72" s="32"/>
      <c r="Y72" s="32"/>
      <c r="Z72" s="55"/>
      <c r="AA72" s="53"/>
      <c r="AB72" s="147"/>
      <c r="AC72" s="147"/>
      <c r="AD72" s="32"/>
      <c r="AE72" s="37"/>
      <c r="AF72" s="33"/>
      <c r="AG72" s="39"/>
      <c r="AH72" s="32"/>
      <c r="AI72" s="37"/>
      <c r="AJ72" s="102"/>
      <c r="AK72" s="39"/>
      <c r="AL72" s="32"/>
      <c r="AM72" s="37"/>
      <c r="AN72" s="32"/>
      <c r="AO72" s="37"/>
      <c r="AP72" s="78"/>
      <c r="AQ72" s="37"/>
      <c r="AR72" s="37"/>
      <c r="AS72" s="37"/>
      <c r="AT72" s="39"/>
    </row>
    <row r="73" spans="1:46" x14ac:dyDescent="0.3">
      <c r="A73" s="22"/>
      <c r="R73" s="23"/>
      <c r="T73" s="25">
        <v>9</v>
      </c>
      <c r="U73" s="25"/>
      <c r="V73" s="177" t="s">
        <v>206</v>
      </c>
      <c r="W73" s="25"/>
      <c r="X73" s="32"/>
      <c r="Y73" s="32"/>
      <c r="Z73" s="55"/>
      <c r="AA73" s="53"/>
      <c r="AB73" s="147"/>
      <c r="AC73" s="147"/>
      <c r="AD73" s="32"/>
      <c r="AE73" s="37"/>
      <c r="AF73" s="33"/>
      <c r="AG73" s="39"/>
      <c r="AH73" s="32"/>
      <c r="AI73" s="37"/>
      <c r="AJ73" s="102"/>
      <c r="AK73" s="39"/>
      <c r="AL73" s="32"/>
      <c r="AM73" s="37"/>
      <c r="AN73" s="32"/>
      <c r="AO73" s="37"/>
      <c r="AP73" s="78"/>
      <c r="AQ73" s="37"/>
      <c r="AR73" s="37"/>
      <c r="AS73" s="37"/>
      <c r="AT73" s="39"/>
    </row>
    <row r="74" spans="1:46" x14ac:dyDescent="0.3">
      <c r="A74" s="22"/>
      <c r="R74" s="23"/>
      <c r="T74" s="22">
        <v>10</v>
      </c>
      <c r="V74" s="171" t="s">
        <v>222</v>
      </c>
      <c r="X74" s="32"/>
      <c r="Y74" s="32"/>
      <c r="Z74" s="55"/>
      <c r="AA74" s="55"/>
      <c r="AB74" s="172">
        <f>CUR_GS_DSM</f>
        <v>0</v>
      </c>
      <c r="AC74" s="200"/>
      <c r="AD74" s="32">
        <f>ROUND(Z69*AB74,0)</f>
        <v>0</v>
      </c>
      <c r="AE74" s="32"/>
      <c r="AF74" s="33">
        <f>ROUND((AD74/$AD$79)*100,1)</f>
        <v>0</v>
      </c>
      <c r="AG74" s="33"/>
      <c r="AH74" s="32">
        <f>L32-AD74</f>
        <v>0</v>
      </c>
      <c r="AI74" s="32"/>
      <c r="AJ74" s="109" t="str">
        <f>IF(AD74=0,"0.0 ",ROUND((AH74/AD74)*100,1))</f>
        <v xml:space="preserve">0.0 </v>
      </c>
      <c r="AK74" s="33"/>
      <c r="AL74" s="32"/>
      <c r="AM74" s="32"/>
      <c r="AN74" s="32">
        <f>AD74+AL74</f>
        <v>0</v>
      </c>
      <c r="AO74" s="32"/>
      <c r="AP74" s="108" t="str">
        <f>IF(AN74=0,"0.0 ",ROUND((AH74/AN74)*100,1))</f>
        <v xml:space="preserve">0.0 </v>
      </c>
      <c r="AQ74" s="37"/>
      <c r="AR74" s="37"/>
      <c r="AS74" s="37"/>
      <c r="AT74" s="39"/>
    </row>
    <row r="75" spans="1:46" x14ac:dyDescent="0.3">
      <c r="A75" s="22"/>
      <c r="R75" s="23"/>
      <c r="T75" s="22">
        <f>A33</f>
        <v>11</v>
      </c>
      <c r="V75" s="171" t="s">
        <v>295</v>
      </c>
      <c r="X75" s="32"/>
      <c r="Y75" s="32"/>
      <c r="Z75" s="55"/>
      <c r="AA75" s="55"/>
      <c r="AB75" s="172">
        <v>0</v>
      </c>
      <c r="AC75" s="200"/>
      <c r="AD75" s="32">
        <f>ROUND(Z71*AB75,0)</f>
        <v>0</v>
      </c>
      <c r="AE75" s="32"/>
      <c r="AF75" s="33">
        <f>ROUND((AD75/$AD$79)*100,1)</f>
        <v>0</v>
      </c>
      <c r="AG75" s="33"/>
      <c r="AH75" s="32">
        <f>L33-AD75</f>
        <v>0</v>
      </c>
      <c r="AI75" s="32"/>
      <c r="AJ75" s="109" t="str">
        <f>IF(AD75=0,"0.0 ",ROUND((AH75/AD75)*100,1))</f>
        <v xml:space="preserve">0.0 </v>
      </c>
      <c r="AK75" s="33"/>
      <c r="AL75" s="32"/>
      <c r="AM75" s="32"/>
      <c r="AN75" s="32">
        <f>AD75+AL75</f>
        <v>0</v>
      </c>
      <c r="AO75" s="32"/>
      <c r="AP75" s="108" t="str">
        <f>IF(AN75=0,"0.0 ",ROUND((AH75/AN75)*100,1))</f>
        <v xml:space="preserve">0.0 </v>
      </c>
      <c r="AQ75" s="37"/>
      <c r="AR75" s="37"/>
      <c r="AS75" s="37"/>
      <c r="AT75" s="39"/>
    </row>
    <row r="76" spans="1:46" x14ac:dyDescent="0.3">
      <c r="A76" s="22"/>
      <c r="R76" s="23"/>
      <c r="T76" s="25"/>
      <c r="U76" s="25"/>
      <c r="V76" s="25"/>
      <c r="W76" s="25"/>
      <c r="X76" s="32"/>
      <c r="Y76" s="32"/>
      <c r="Z76" s="55"/>
      <c r="AA76" s="53"/>
      <c r="AB76" s="147"/>
      <c r="AC76" s="147"/>
      <c r="AD76" s="32"/>
      <c r="AE76" s="37"/>
      <c r="AF76" s="33"/>
      <c r="AG76" s="39"/>
      <c r="AH76" s="32"/>
      <c r="AI76" s="37"/>
      <c r="AJ76" s="102"/>
      <c r="AK76" s="39"/>
      <c r="AL76" s="32"/>
      <c r="AM76" s="37"/>
      <c r="AN76" s="32"/>
      <c r="AO76" s="37"/>
      <c r="AP76" s="78"/>
      <c r="AQ76" s="37"/>
      <c r="AR76" s="37"/>
      <c r="AS76" s="37"/>
      <c r="AT76" s="39"/>
    </row>
    <row r="77" spans="1:46" x14ac:dyDescent="0.3">
      <c r="A77" s="22"/>
      <c r="R77" s="23"/>
      <c r="T77" s="22">
        <f>A35</f>
        <v>12</v>
      </c>
      <c r="U77" s="25"/>
      <c r="V77" s="196" t="s">
        <v>209</v>
      </c>
      <c r="W77" s="25"/>
      <c r="X77" s="32"/>
      <c r="Y77" s="32"/>
      <c r="Z77" s="55"/>
      <c r="AA77" s="53"/>
      <c r="AB77" s="147"/>
      <c r="AC77" s="147"/>
      <c r="AD77" s="36">
        <f>SUM(AD73:AD75)</f>
        <v>0</v>
      </c>
      <c r="AE77" s="37"/>
      <c r="AF77" s="38">
        <f>ROUND((AD77/$AD$79)*100,1)</f>
        <v>0</v>
      </c>
      <c r="AG77" s="39"/>
      <c r="AH77" s="36">
        <f>SUM(AH73:AH75)</f>
        <v>0</v>
      </c>
      <c r="AI77" s="37"/>
      <c r="AJ77" s="154" t="str">
        <f>IF(AD77=0,"0.0 ",ROUND((AH77/AD77)*100,1))</f>
        <v xml:space="preserve">0.0 </v>
      </c>
      <c r="AK77" s="39"/>
      <c r="AL77" s="36"/>
      <c r="AM77" s="37"/>
      <c r="AN77" s="36">
        <f>SUM(AN73:AN75)</f>
        <v>0</v>
      </c>
      <c r="AO77" s="37"/>
      <c r="AP77" s="78" t="str">
        <f>IF(AN77=0,"0.0 ",ROUND((AH77/AN77)*100,1))</f>
        <v xml:space="preserve">0.0 </v>
      </c>
      <c r="AQ77" s="37"/>
      <c r="AR77" s="37"/>
      <c r="AS77" s="37"/>
      <c r="AT77" s="39"/>
    </row>
    <row r="78" spans="1:46" x14ac:dyDescent="0.3">
      <c r="A78" s="22"/>
      <c r="R78" s="23"/>
      <c r="T78" s="24"/>
      <c r="U78" s="25"/>
      <c r="V78" s="25"/>
      <c r="W78" s="25"/>
      <c r="X78" s="32"/>
      <c r="Y78" s="32"/>
      <c r="Z78" s="55"/>
      <c r="AA78" s="53"/>
      <c r="AB78" s="147"/>
      <c r="AC78" s="147"/>
      <c r="AD78" s="32"/>
      <c r="AE78" s="37"/>
      <c r="AF78" s="33"/>
      <c r="AG78" s="39"/>
      <c r="AH78" s="32"/>
      <c r="AI78" s="37"/>
      <c r="AJ78" s="102"/>
      <c r="AK78" s="39"/>
      <c r="AL78" s="32"/>
      <c r="AM78" s="37"/>
      <c r="AN78" s="32"/>
      <c r="AO78" s="37"/>
      <c r="AP78" s="78"/>
      <c r="AQ78" s="37"/>
      <c r="AR78" s="37"/>
      <c r="AS78" s="37"/>
      <c r="AT78" s="39"/>
    </row>
    <row r="79" spans="1:46" ht="16.2" thickBot="1" x14ac:dyDescent="0.35">
      <c r="A79" s="22"/>
      <c r="C79" s="23"/>
      <c r="F79" s="195"/>
      <c r="H79" s="195"/>
      <c r="I79" s="195"/>
      <c r="J79" s="119"/>
      <c r="K79" s="119"/>
      <c r="L79" s="32"/>
      <c r="M79" s="32"/>
      <c r="N79" s="33"/>
      <c r="O79" s="33"/>
      <c r="P79" s="22"/>
      <c r="Q79" s="22"/>
      <c r="R79" s="32"/>
      <c r="T79" s="22">
        <f>A37</f>
        <v>13</v>
      </c>
      <c r="U79" s="25"/>
      <c r="V79" s="191" t="s">
        <v>219</v>
      </c>
      <c r="W79" s="25"/>
      <c r="X79" s="40">
        <f>X66</f>
        <v>2861</v>
      </c>
      <c r="Y79" s="32"/>
      <c r="Z79" s="40">
        <f>Z69</f>
        <v>330383</v>
      </c>
      <c r="AA79" s="37"/>
      <c r="AB79" s="198"/>
      <c r="AC79" s="193"/>
      <c r="AD79" s="40">
        <f>AD71+AD77</f>
        <v>1109189</v>
      </c>
      <c r="AE79" s="37"/>
      <c r="AF79" s="41">
        <f>AF71+AF77</f>
        <v>100</v>
      </c>
      <c r="AG79" s="39"/>
      <c r="AH79" s="40">
        <f>AH71+AH77</f>
        <v>358821</v>
      </c>
      <c r="AI79" s="37"/>
      <c r="AJ79" s="155">
        <f>IF(AD79=0,"0.0 ",ROUND((AH79/AD79)*100,1))</f>
        <v>32.299999999999997</v>
      </c>
      <c r="AK79" s="39"/>
      <c r="AL79" s="40">
        <f>P37</f>
        <v>1342016</v>
      </c>
      <c r="AM79" s="37"/>
      <c r="AN79" s="40">
        <f>AN71+AN77</f>
        <v>2451205</v>
      </c>
      <c r="AO79" s="37"/>
      <c r="AP79" s="78">
        <f>IF(AN79=0,"0.0 ",ROUND((AH79/AN79)*100,1))</f>
        <v>14.6</v>
      </c>
    </row>
    <row r="80" spans="1:46" ht="16.2" thickTop="1" x14ac:dyDescent="0.3">
      <c r="A80" s="22"/>
      <c r="C80" s="23"/>
      <c r="F80" s="195"/>
      <c r="H80" s="195"/>
      <c r="I80" s="195"/>
      <c r="J80" s="119"/>
      <c r="K80" s="119"/>
      <c r="L80" s="32"/>
      <c r="M80" s="32"/>
      <c r="N80" s="33"/>
      <c r="O80" s="33"/>
      <c r="P80" s="22"/>
      <c r="Q80" s="22"/>
      <c r="R80" s="32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51"/>
      <c r="AK80" s="25"/>
      <c r="AL80" s="25"/>
      <c r="AM80" s="25"/>
      <c r="AN80" s="25"/>
      <c r="AO80" s="25"/>
      <c r="AP80" s="25"/>
    </row>
    <row r="81" spans="1:42" x14ac:dyDescent="0.3">
      <c r="A81" s="22"/>
      <c r="C81" s="23"/>
      <c r="F81" s="195"/>
      <c r="H81" s="195"/>
      <c r="I81" s="195"/>
      <c r="J81" s="119"/>
      <c r="K81" s="119"/>
      <c r="L81" s="32"/>
      <c r="M81" s="32"/>
      <c r="N81" s="33"/>
      <c r="O81" s="33"/>
      <c r="P81" s="22"/>
      <c r="Q81" s="22"/>
      <c r="R81" s="32"/>
      <c r="T81" s="25"/>
      <c r="U81" s="25"/>
      <c r="V81" s="26" t="s">
        <v>51</v>
      </c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51"/>
      <c r="AK81" s="25"/>
      <c r="AL81" s="25"/>
      <c r="AM81" s="25"/>
      <c r="AN81" s="25"/>
      <c r="AO81" s="25"/>
      <c r="AP81" s="25"/>
    </row>
    <row r="82" spans="1:42" x14ac:dyDescent="0.3">
      <c r="F82" s="34"/>
      <c r="H82" s="32"/>
      <c r="I82" s="32"/>
      <c r="J82" s="198"/>
      <c r="K82" s="198"/>
      <c r="L82" s="34"/>
      <c r="M82" s="34"/>
      <c r="N82" s="34"/>
      <c r="O82" s="34"/>
      <c r="P82" s="34"/>
      <c r="Q82" s="34"/>
      <c r="R82" s="34"/>
      <c r="T82" s="25"/>
      <c r="U82" s="25"/>
      <c r="V82" s="42" t="s">
        <v>118</v>
      </c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51"/>
      <c r="AK82" s="25"/>
      <c r="AL82" s="25"/>
      <c r="AM82" s="25"/>
      <c r="AN82" s="25"/>
      <c r="AO82" s="25"/>
      <c r="AP82" s="25"/>
    </row>
    <row r="83" spans="1:42" x14ac:dyDescent="0.3">
      <c r="A83" s="22"/>
      <c r="C83" s="23"/>
      <c r="F83" s="32"/>
      <c r="H83" s="32"/>
      <c r="I83" s="32"/>
      <c r="J83" s="198"/>
      <c r="K83" s="198"/>
      <c r="L83" s="32"/>
      <c r="M83" s="32"/>
      <c r="N83" s="33"/>
      <c r="O83" s="33"/>
      <c r="P83" s="32"/>
      <c r="Q83" s="32"/>
      <c r="R83" s="32"/>
      <c r="T83" s="25"/>
      <c r="U83" s="25"/>
      <c r="V83" s="26" t="str">
        <f>"(3) REFLECTS AVERAGE EXPECTED GAS COST OF "&amp;TEXT(EGC,"$0.000")&amp;"/MCF."</f>
        <v>(3) REFLECTS AVERAGE EXPECTED GAS COST OF $4.062/MCF.</v>
      </c>
      <c r="W83" s="25"/>
      <c r="X83" s="25"/>
      <c r="Y83" s="25"/>
      <c r="Z83" s="47"/>
      <c r="AA83" s="42"/>
      <c r="AB83" s="25"/>
      <c r="AC83" s="25"/>
      <c r="AD83" s="25"/>
      <c r="AE83" s="25"/>
      <c r="AF83" s="37"/>
      <c r="AG83" s="37"/>
      <c r="AH83" s="25"/>
      <c r="AI83" s="25"/>
      <c r="AJ83" s="51"/>
      <c r="AK83" s="25"/>
      <c r="AL83" s="25"/>
      <c r="AM83" s="25"/>
      <c r="AN83" s="37"/>
      <c r="AO83" s="25"/>
      <c r="AP83" s="37"/>
    </row>
    <row r="84" spans="1:42" x14ac:dyDescent="0.3">
      <c r="F84" s="34"/>
      <c r="H84" s="32"/>
      <c r="I84" s="32"/>
      <c r="J84" s="198"/>
      <c r="K84" s="198"/>
      <c r="L84" s="34"/>
      <c r="M84" s="34"/>
      <c r="N84" s="34"/>
      <c r="O84" s="34"/>
      <c r="P84" s="34"/>
      <c r="Q84" s="34"/>
      <c r="R84" s="34"/>
      <c r="T84" s="23"/>
      <c r="V84" s="27"/>
      <c r="Z84" s="195"/>
      <c r="AA84" s="119"/>
      <c r="AB84" s="32"/>
      <c r="AC84" s="32"/>
      <c r="AD84" s="33"/>
      <c r="AE84" s="33"/>
      <c r="AF84" s="32"/>
      <c r="AG84" s="32"/>
      <c r="AH84" s="44"/>
      <c r="AI84" s="44"/>
      <c r="AJ84" s="22"/>
      <c r="AK84" s="22"/>
      <c r="AL84" s="32"/>
      <c r="AM84" s="32"/>
      <c r="AN84" s="33"/>
      <c r="AO84" s="33"/>
    </row>
    <row r="85" spans="1:42" x14ac:dyDescent="0.3">
      <c r="A85" s="22"/>
      <c r="C85" s="23"/>
      <c r="F85" s="195"/>
      <c r="H85" s="195"/>
      <c r="I85" s="195"/>
      <c r="J85" s="206"/>
      <c r="K85" s="206"/>
      <c r="L85" s="32"/>
      <c r="M85" s="32"/>
      <c r="N85" s="33"/>
      <c r="O85" s="33"/>
      <c r="P85" s="32"/>
      <c r="Q85" s="32"/>
      <c r="R85" s="32"/>
      <c r="S85" s="32"/>
      <c r="V85" s="34"/>
      <c r="Z85" s="32"/>
      <c r="AA85" s="198"/>
      <c r="AB85" s="34"/>
      <c r="AC85" s="34"/>
      <c r="AD85" s="34"/>
      <c r="AE85" s="34"/>
      <c r="AF85" s="34"/>
      <c r="AG85" s="34"/>
      <c r="AJ85" s="34"/>
      <c r="AK85" s="34"/>
      <c r="AL85" s="34"/>
      <c r="AM85" s="34"/>
      <c r="AN85" s="33"/>
      <c r="AO85" s="33"/>
    </row>
    <row r="86" spans="1:42" x14ac:dyDescent="0.3">
      <c r="A86" s="22"/>
      <c r="C86" s="23"/>
      <c r="F86" s="195"/>
      <c r="H86" s="195"/>
      <c r="I86" s="195"/>
      <c r="J86" s="119"/>
      <c r="K86" s="119"/>
      <c r="L86" s="32"/>
      <c r="M86" s="32"/>
      <c r="N86" s="33"/>
      <c r="O86" s="33"/>
      <c r="P86" s="32"/>
      <c r="Q86" s="32"/>
      <c r="R86" s="32"/>
      <c r="T86" s="23"/>
      <c r="V86" s="32"/>
      <c r="Z86" s="32"/>
      <c r="AA86" s="48"/>
      <c r="AB86" s="32"/>
      <c r="AC86" s="32"/>
      <c r="AD86" s="33"/>
      <c r="AE86" s="33"/>
      <c r="AF86" s="32"/>
      <c r="AG86" s="32"/>
      <c r="AH86" s="44"/>
      <c r="AI86" s="44"/>
      <c r="AJ86" s="32"/>
      <c r="AK86" s="32"/>
      <c r="AL86" s="32"/>
      <c r="AM86" s="32"/>
      <c r="AN86" s="33"/>
      <c r="AO86" s="33"/>
    </row>
    <row r="87" spans="1:42" x14ac:dyDescent="0.3">
      <c r="A87" s="22"/>
      <c r="C87" s="23"/>
      <c r="F87" s="195"/>
      <c r="H87" s="195"/>
      <c r="I87" s="195"/>
      <c r="J87" s="119"/>
      <c r="K87" s="119"/>
      <c r="L87" s="32"/>
      <c r="M87" s="32"/>
      <c r="N87" s="33"/>
      <c r="O87" s="33"/>
      <c r="P87" s="32"/>
      <c r="Q87" s="32"/>
      <c r="R87" s="32"/>
      <c r="V87" s="34"/>
      <c r="Z87" s="32"/>
      <c r="AA87" s="198"/>
      <c r="AB87" s="34"/>
      <c r="AC87" s="34"/>
      <c r="AD87" s="34"/>
      <c r="AE87" s="34"/>
      <c r="AF87" s="34"/>
      <c r="AG87" s="34"/>
      <c r="AJ87" s="34"/>
      <c r="AK87" s="34"/>
      <c r="AL87" s="34"/>
      <c r="AM87" s="34"/>
      <c r="AN87" s="33"/>
      <c r="AO87" s="33"/>
    </row>
    <row r="88" spans="1:42" x14ac:dyDescent="0.3">
      <c r="F88" s="32"/>
      <c r="H88" s="34"/>
      <c r="I88" s="34"/>
      <c r="J88" s="198"/>
      <c r="K88" s="198"/>
      <c r="L88" s="34"/>
      <c r="M88" s="34"/>
      <c r="N88" s="34"/>
      <c r="O88" s="34"/>
      <c r="P88" s="34"/>
      <c r="Q88" s="34"/>
      <c r="R88" s="34"/>
      <c r="T88" s="23"/>
      <c r="V88" s="195"/>
      <c r="Z88" s="195"/>
      <c r="AA88" s="206"/>
      <c r="AB88" s="32"/>
      <c r="AC88" s="32"/>
      <c r="AD88" s="33"/>
      <c r="AE88" s="33"/>
      <c r="AF88" s="32"/>
      <c r="AG88" s="32"/>
      <c r="AH88" s="33"/>
      <c r="AI88" s="33"/>
      <c r="AJ88" s="32"/>
      <c r="AK88" s="32"/>
      <c r="AL88" s="32"/>
      <c r="AM88" s="32"/>
      <c r="AN88" s="33"/>
      <c r="AO88" s="33"/>
    </row>
    <row r="89" spans="1:42" x14ac:dyDescent="0.3">
      <c r="A89" s="22"/>
      <c r="C89" s="23"/>
      <c r="F89" s="32"/>
      <c r="H89" s="32"/>
      <c r="I89" s="32"/>
      <c r="J89" s="198"/>
      <c r="K89" s="198"/>
      <c r="L89" s="32"/>
      <c r="M89" s="32"/>
      <c r="N89" s="33"/>
      <c r="O89" s="33"/>
      <c r="P89" s="32"/>
      <c r="Q89" s="32"/>
      <c r="R89" s="32"/>
      <c r="T89" s="23"/>
      <c r="V89" s="195"/>
      <c r="Z89" s="32"/>
      <c r="AA89" s="119"/>
      <c r="AB89" s="32"/>
      <c r="AC89" s="32"/>
      <c r="AD89" s="33"/>
      <c r="AE89" s="33"/>
      <c r="AF89" s="32"/>
      <c r="AG89" s="32"/>
      <c r="AH89" s="44"/>
      <c r="AI89" s="44"/>
      <c r="AJ89" s="32"/>
      <c r="AK89" s="32"/>
      <c r="AL89" s="32"/>
      <c r="AM89" s="32"/>
      <c r="AN89" s="33"/>
      <c r="AO89" s="33"/>
    </row>
    <row r="90" spans="1:42" x14ac:dyDescent="0.3">
      <c r="F90" s="32"/>
      <c r="H90" s="34"/>
      <c r="I90" s="34"/>
      <c r="J90" s="198"/>
      <c r="K90" s="198"/>
      <c r="L90" s="34"/>
      <c r="M90" s="34"/>
      <c r="N90" s="34"/>
      <c r="O90" s="34"/>
      <c r="P90" s="34"/>
      <c r="Q90" s="34"/>
      <c r="R90" s="34"/>
      <c r="T90" s="23"/>
      <c r="V90" s="195"/>
      <c r="Z90" s="32"/>
      <c r="AA90" s="119"/>
      <c r="AB90" s="32"/>
      <c r="AC90" s="32"/>
      <c r="AD90" s="33"/>
      <c r="AE90" s="33"/>
      <c r="AF90" s="32"/>
      <c r="AG90" s="32"/>
      <c r="AH90" s="44"/>
      <c r="AI90" s="44"/>
      <c r="AJ90" s="32"/>
      <c r="AK90" s="32"/>
      <c r="AL90" s="32"/>
      <c r="AM90" s="32"/>
      <c r="AN90" s="33"/>
      <c r="AO90" s="33"/>
    </row>
    <row r="91" spans="1:42" x14ac:dyDescent="0.3">
      <c r="A91" s="22"/>
      <c r="C91" s="23"/>
      <c r="F91" s="32"/>
      <c r="H91" s="32"/>
      <c r="I91" s="32"/>
      <c r="J91" s="198"/>
      <c r="K91" s="198"/>
      <c r="L91" s="32"/>
      <c r="M91" s="32"/>
      <c r="N91" s="32"/>
      <c r="O91" s="32"/>
      <c r="P91" s="32"/>
      <c r="Q91" s="32"/>
      <c r="R91" s="32"/>
      <c r="V91" s="32"/>
      <c r="Z91" s="34"/>
      <c r="AA91" s="198"/>
      <c r="AB91" s="34"/>
      <c r="AC91" s="34"/>
      <c r="AD91" s="34"/>
      <c r="AE91" s="34"/>
      <c r="AF91" s="34"/>
      <c r="AG91" s="34"/>
      <c r="AJ91" s="34"/>
      <c r="AK91" s="34"/>
      <c r="AL91" s="34"/>
      <c r="AM91" s="34"/>
      <c r="AN91" s="33"/>
      <c r="AO91" s="33"/>
    </row>
    <row r="92" spans="1:42" x14ac:dyDescent="0.3">
      <c r="A92" s="22"/>
      <c r="C92" s="23"/>
      <c r="F92" s="32"/>
      <c r="H92" s="195"/>
      <c r="I92" s="195"/>
      <c r="J92" s="203"/>
      <c r="K92" s="203"/>
      <c r="L92" s="32"/>
      <c r="M92" s="32"/>
      <c r="N92" s="33"/>
      <c r="O92" s="33"/>
      <c r="P92" s="32"/>
      <c r="Q92" s="32"/>
      <c r="R92" s="32"/>
      <c r="T92" s="23"/>
      <c r="V92" s="32"/>
      <c r="Z92" s="32"/>
      <c r="AA92" s="198"/>
      <c r="AB92" s="32"/>
      <c r="AC92" s="32"/>
      <c r="AD92" s="33"/>
      <c r="AE92" s="33"/>
      <c r="AF92" s="32"/>
      <c r="AG92" s="32"/>
      <c r="AH92" s="44"/>
      <c r="AI92" s="44"/>
      <c r="AJ92" s="32"/>
      <c r="AK92" s="32"/>
      <c r="AL92" s="32"/>
      <c r="AM92" s="32"/>
      <c r="AN92" s="33"/>
      <c r="AO92" s="33"/>
    </row>
    <row r="93" spans="1:42" x14ac:dyDescent="0.3">
      <c r="A93" s="22"/>
      <c r="C93" s="23"/>
      <c r="H93" s="195"/>
      <c r="I93" s="195"/>
      <c r="J93" s="203"/>
      <c r="K93" s="203"/>
      <c r="L93" s="32"/>
      <c r="M93" s="32"/>
      <c r="N93" s="33"/>
      <c r="O93" s="33"/>
      <c r="P93" s="32"/>
      <c r="Q93" s="32"/>
      <c r="R93" s="32"/>
      <c r="V93" s="32"/>
      <c r="Z93" s="34"/>
      <c r="AA93" s="198"/>
      <c r="AB93" s="34"/>
      <c r="AC93" s="34"/>
      <c r="AD93" s="34"/>
      <c r="AE93" s="34"/>
      <c r="AF93" s="34"/>
      <c r="AG93" s="34"/>
      <c r="AJ93" s="34"/>
      <c r="AK93" s="34"/>
      <c r="AL93" s="34"/>
      <c r="AM93" s="34"/>
      <c r="AN93" s="33"/>
      <c r="AO93" s="33"/>
    </row>
    <row r="94" spans="1:42" x14ac:dyDescent="0.3">
      <c r="F94" s="32"/>
      <c r="H94" s="32"/>
      <c r="I94" s="32"/>
      <c r="J94" s="198"/>
      <c r="K94" s="198"/>
      <c r="L94" s="34"/>
      <c r="M94" s="34"/>
      <c r="N94" s="34"/>
      <c r="O94" s="34"/>
      <c r="P94" s="34"/>
      <c r="Q94" s="34"/>
      <c r="R94" s="34"/>
      <c r="T94" s="23"/>
      <c r="V94" s="32"/>
      <c r="Z94" s="32"/>
      <c r="AA94" s="198"/>
      <c r="AB94" s="32"/>
      <c r="AC94" s="32"/>
      <c r="AD94" s="32"/>
      <c r="AE94" s="32"/>
      <c r="AF94" s="32"/>
      <c r="AG94" s="32"/>
      <c r="AH94" s="44"/>
      <c r="AI94" s="44"/>
      <c r="AJ94" s="32"/>
      <c r="AK94" s="32"/>
      <c r="AL94" s="32"/>
      <c r="AM94" s="32"/>
      <c r="AN94" s="33"/>
      <c r="AO94" s="33"/>
    </row>
    <row r="95" spans="1:42" x14ac:dyDescent="0.3">
      <c r="A95" s="22"/>
      <c r="C95" s="23"/>
      <c r="F95" s="32"/>
      <c r="H95" s="32"/>
      <c r="I95" s="32"/>
      <c r="J95" s="48"/>
      <c r="K95" s="48"/>
      <c r="L95" s="32"/>
      <c r="M95" s="32"/>
      <c r="N95" s="33"/>
      <c r="O95" s="33"/>
      <c r="P95" s="32"/>
      <c r="Q95" s="32"/>
      <c r="R95" s="32"/>
      <c r="T95" s="23"/>
      <c r="V95" s="32"/>
      <c r="Z95" s="32"/>
      <c r="AA95" s="203"/>
      <c r="AB95" s="32"/>
      <c r="AC95" s="32"/>
      <c r="AD95" s="33"/>
      <c r="AE95" s="33"/>
      <c r="AF95" s="32"/>
      <c r="AG95" s="32"/>
      <c r="AH95" s="44"/>
      <c r="AI95" s="44"/>
      <c r="AJ95" s="32"/>
      <c r="AK95" s="32"/>
      <c r="AL95" s="32"/>
      <c r="AM95" s="32"/>
      <c r="AN95" s="33"/>
      <c r="AO95" s="33"/>
    </row>
    <row r="96" spans="1:42" x14ac:dyDescent="0.3">
      <c r="F96" s="32"/>
      <c r="H96" s="32"/>
      <c r="I96" s="32"/>
      <c r="J96" s="198"/>
      <c r="K96" s="198"/>
      <c r="L96" s="34"/>
      <c r="M96" s="34"/>
      <c r="N96" s="34"/>
      <c r="O96" s="34"/>
      <c r="P96" s="34"/>
      <c r="Q96" s="34"/>
      <c r="R96" s="34"/>
      <c r="T96" s="23"/>
      <c r="Z96" s="32"/>
      <c r="AA96" s="203"/>
      <c r="AB96" s="32"/>
      <c r="AC96" s="32"/>
      <c r="AD96" s="33"/>
      <c r="AE96" s="33"/>
      <c r="AF96" s="32"/>
      <c r="AG96" s="32"/>
      <c r="AH96" s="44"/>
      <c r="AI96" s="44"/>
      <c r="AJ96" s="32"/>
      <c r="AK96" s="32"/>
      <c r="AL96" s="32"/>
      <c r="AM96" s="32"/>
      <c r="AN96" s="33"/>
      <c r="AO96" s="33"/>
    </row>
    <row r="97" spans="1:41" x14ac:dyDescent="0.3">
      <c r="A97" s="22"/>
      <c r="C97" s="23"/>
      <c r="F97" s="32"/>
      <c r="H97" s="32"/>
      <c r="I97" s="32"/>
      <c r="J97" s="48"/>
      <c r="K97" s="48"/>
      <c r="L97" s="32"/>
      <c r="M97" s="32"/>
      <c r="N97" s="33"/>
      <c r="O97" s="33"/>
      <c r="P97" s="32"/>
      <c r="Q97" s="32"/>
      <c r="R97" s="32"/>
      <c r="V97" s="32"/>
      <c r="Z97" s="32"/>
      <c r="AA97" s="198"/>
      <c r="AB97" s="34"/>
      <c r="AC97" s="34"/>
      <c r="AD97" s="34"/>
      <c r="AE97" s="34"/>
      <c r="AF97" s="34"/>
      <c r="AG97" s="34"/>
      <c r="AJ97" s="34"/>
      <c r="AK97" s="34"/>
      <c r="AL97" s="34"/>
      <c r="AM97" s="34"/>
      <c r="AN97" s="33"/>
      <c r="AO97" s="33"/>
    </row>
    <row r="98" spans="1:41" x14ac:dyDescent="0.3">
      <c r="A98" s="22"/>
      <c r="C98" s="23"/>
      <c r="F98" s="32"/>
      <c r="H98" s="195"/>
      <c r="I98" s="195"/>
      <c r="J98" s="197"/>
      <c r="K98" s="197"/>
      <c r="L98" s="32"/>
      <c r="M98" s="32"/>
      <c r="N98" s="33"/>
      <c r="O98" s="33"/>
      <c r="P98" s="32"/>
      <c r="Q98" s="32"/>
      <c r="R98" s="32"/>
      <c r="T98" s="23"/>
      <c r="V98" s="32"/>
      <c r="Z98" s="32"/>
      <c r="AA98" s="48"/>
      <c r="AB98" s="32"/>
      <c r="AC98" s="32"/>
      <c r="AD98" s="33"/>
      <c r="AE98" s="33"/>
      <c r="AF98" s="32"/>
      <c r="AG98" s="32"/>
      <c r="AH98" s="44"/>
      <c r="AI98" s="44"/>
      <c r="AJ98" s="32"/>
      <c r="AK98" s="32"/>
      <c r="AL98" s="32"/>
      <c r="AM98" s="32"/>
      <c r="AN98" s="33"/>
      <c r="AO98" s="33"/>
    </row>
    <row r="99" spans="1:41" x14ac:dyDescent="0.3">
      <c r="F99" s="34"/>
      <c r="H99" s="34"/>
      <c r="I99" s="34"/>
      <c r="J99" s="198"/>
      <c r="K99" s="198"/>
      <c r="L99" s="34"/>
      <c r="M99" s="34"/>
      <c r="N99" s="34"/>
      <c r="O99" s="34"/>
      <c r="P99" s="34"/>
      <c r="Q99" s="34"/>
      <c r="R99" s="34"/>
      <c r="V99" s="32"/>
      <c r="Z99" s="32"/>
      <c r="AA99" s="198"/>
      <c r="AB99" s="34"/>
      <c r="AC99" s="34"/>
      <c r="AD99" s="34"/>
      <c r="AE99" s="34"/>
      <c r="AF99" s="34"/>
      <c r="AG99" s="34"/>
      <c r="AJ99" s="34"/>
      <c r="AK99" s="34"/>
      <c r="AL99" s="34"/>
      <c r="AM99" s="34"/>
      <c r="AN99" s="33"/>
      <c r="AO99" s="33"/>
    </row>
    <row r="100" spans="1:41" x14ac:dyDescent="0.3">
      <c r="A100" s="22"/>
      <c r="C100" s="23"/>
      <c r="F100" s="32"/>
      <c r="H100" s="32"/>
      <c r="I100" s="32"/>
      <c r="J100" s="198"/>
      <c r="K100" s="198"/>
      <c r="L100" s="32"/>
      <c r="M100" s="32"/>
      <c r="N100" s="33"/>
      <c r="O100" s="33"/>
      <c r="P100" s="32"/>
      <c r="Q100" s="32"/>
      <c r="R100" s="32"/>
      <c r="S100" s="32"/>
      <c r="T100" s="23"/>
      <c r="V100" s="32"/>
      <c r="Z100" s="32"/>
      <c r="AA100" s="48"/>
      <c r="AB100" s="32"/>
      <c r="AC100" s="32"/>
      <c r="AD100" s="33"/>
      <c r="AE100" s="33"/>
      <c r="AF100" s="32"/>
      <c r="AG100" s="32"/>
      <c r="AH100" s="44"/>
      <c r="AI100" s="44"/>
      <c r="AJ100" s="32"/>
      <c r="AK100" s="32"/>
      <c r="AL100" s="32"/>
      <c r="AM100" s="32"/>
      <c r="AN100" s="33"/>
      <c r="AO100" s="33"/>
    </row>
    <row r="101" spans="1:41" x14ac:dyDescent="0.3">
      <c r="F101" s="34"/>
      <c r="H101" s="34"/>
      <c r="I101" s="34"/>
      <c r="J101" s="198"/>
      <c r="K101" s="198"/>
      <c r="L101" s="34"/>
      <c r="M101" s="34"/>
      <c r="N101" s="34"/>
      <c r="O101" s="34"/>
      <c r="P101" s="34"/>
      <c r="Q101" s="34"/>
      <c r="R101" s="34"/>
      <c r="S101" s="32"/>
      <c r="T101" s="23"/>
      <c r="V101" s="195"/>
      <c r="Z101" s="32"/>
      <c r="AA101" s="197"/>
      <c r="AB101" s="32"/>
      <c r="AC101" s="32"/>
      <c r="AD101" s="33"/>
      <c r="AE101" s="33"/>
      <c r="AF101" s="32"/>
      <c r="AG101" s="32"/>
      <c r="AH101" s="44"/>
      <c r="AI101" s="44"/>
      <c r="AJ101" s="32"/>
      <c r="AK101" s="32"/>
      <c r="AL101" s="32"/>
      <c r="AM101" s="32"/>
      <c r="AN101" s="33"/>
      <c r="AO101" s="33"/>
    </row>
    <row r="102" spans="1:41" x14ac:dyDescent="0.3">
      <c r="A102" s="22"/>
      <c r="C102" s="23"/>
      <c r="F102" s="195"/>
      <c r="H102" s="212"/>
      <c r="I102" s="212"/>
      <c r="J102" s="198"/>
      <c r="K102" s="198"/>
      <c r="L102" s="32"/>
      <c r="M102" s="32"/>
      <c r="N102" s="33"/>
      <c r="O102" s="33"/>
      <c r="P102" s="32"/>
      <c r="Q102" s="32"/>
      <c r="R102" s="32"/>
      <c r="S102" s="32"/>
      <c r="V102" s="34"/>
      <c r="Z102" s="34"/>
      <c r="AA102" s="198"/>
      <c r="AB102" s="34"/>
      <c r="AC102" s="34"/>
      <c r="AD102" s="34"/>
      <c r="AE102" s="34"/>
      <c r="AF102" s="34"/>
      <c r="AG102" s="34"/>
      <c r="AJ102" s="34"/>
      <c r="AK102" s="34"/>
      <c r="AL102" s="34"/>
      <c r="AM102" s="34"/>
      <c r="AN102" s="33"/>
      <c r="AO102" s="33"/>
    </row>
    <row r="103" spans="1:41" x14ac:dyDescent="0.3">
      <c r="T103" s="23"/>
      <c r="V103" s="32"/>
      <c r="Z103" s="32"/>
      <c r="AA103" s="198"/>
      <c r="AB103" s="32"/>
      <c r="AC103" s="32"/>
      <c r="AD103" s="33"/>
      <c r="AE103" s="33"/>
      <c r="AF103" s="32"/>
      <c r="AG103" s="32"/>
      <c r="AH103" s="33"/>
      <c r="AI103" s="33"/>
      <c r="AJ103" s="32"/>
      <c r="AK103" s="32"/>
      <c r="AL103" s="32"/>
      <c r="AM103" s="32"/>
      <c r="AN103" s="33"/>
      <c r="AO103" s="33"/>
    </row>
    <row r="104" spans="1:41" x14ac:dyDescent="0.3">
      <c r="A104" s="22"/>
      <c r="C104" s="23"/>
      <c r="V104" s="34"/>
      <c r="Z104" s="34"/>
      <c r="AA104" s="198"/>
      <c r="AB104" s="34"/>
      <c r="AC104" s="34"/>
      <c r="AD104" s="34"/>
      <c r="AE104" s="34"/>
      <c r="AF104" s="34"/>
      <c r="AG104" s="34"/>
      <c r="AJ104" s="34"/>
      <c r="AK104" s="34"/>
      <c r="AL104" s="34"/>
      <c r="AM104" s="34"/>
      <c r="AN104" s="33"/>
      <c r="AO104" s="33"/>
    </row>
    <row r="105" spans="1:41" x14ac:dyDescent="0.3">
      <c r="A105" s="22"/>
      <c r="C105" s="23"/>
      <c r="F105" s="195"/>
      <c r="H105" s="195"/>
      <c r="I105" s="195"/>
      <c r="J105" s="119"/>
      <c r="K105" s="119"/>
      <c r="L105" s="32"/>
      <c r="M105" s="32"/>
      <c r="N105" s="33"/>
      <c r="O105" s="33"/>
      <c r="P105" s="22"/>
      <c r="Q105" s="22"/>
      <c r="R105" s="32"/>
      <c r="T105" s="23"/>
      <c r="V105" s="195"/>
      <c r="Z105" s="195"/>
      <c r="AA105" s="198"/>
      <c r="AB105" s="32"/>
      <c r="AC105" s="32"/>
      <c r="AD105" s="33"/>
      <c r="AE105" s="33"/>
      <c r="AF105" s="32"/>
      <c r="AG105" s="32"/>
      <c r="AJ105" s="32"/>
      <c r="AK105" s="32"/>
      <c r="AL105" s="32"/>
      <c r="AM105" s="32"/>
      <c r="AN105" s="33"/>
      <c r="AO105" s="33"/>
    </row>
    <row r="106" spans="1:41" x14ac:dyDescent="0.3">
      <c r="A106" s="22"/>
      <c r="C106" s="23"/>
      <c r="F106" s="195"/>
      <c r="H106" s="195"/>
      <c r="I106" s="195"/>
      <c r="J106" s="119"/>
      <c r="K106" s="119"/>
      <c r="L106" s="32"/>
      <c r="M106" s="32"/>
      <c r="N106" s="33"/>
      <c r="O106" s="33"/>
      <c r="P106" s="22"/>
      <c r="Q106" s="22"/>
      <c r="R106" s="32"/>
    </row>
    <row r="107" spans="1:41" x14ac:dyDescent="0.3">
      <c r="A107" s="22"/>
      <c r="C107" s="23"/>
      <c r="F107" s="195"/>
      <c r="H107" s="195"/>
      <c r="I107" s="195"/>
      <c r="J107" s="119"/>
      <c r="K107" s="119"/>
      <c r="L107" s="32"/>
      <c r="M107" s="32"/>
      <c r="N107" s="33"/>
      <c r="O107" s="33"/>
      <c r="P107" s="22"/>
      <c r="Q107" s="22"/>
      <c r="R107" s="32"/>
      <c r="T107" s="23"/>
    </row>
    <row r="108" spans="1:41" x14ac:dyDescent="0.3">
      <c r="F108" s="34"/>
      <c r="H108" s="32"/>
      <c r="I108" s="32"/>
      <c r="J108" s="198"/>
      <c r="K108" s="198"/>
      <c r="L108" s="34"/>
      <c r="M108" s="34"/>
      <c r="N108" s="34"/>
      <c r="O108" s="34"/>
      <c r="P108" s="34"/>
      <c r="Q108" s="34"/>
      <c r="R108" s="34"/>
      <c r="T108" s="23"/>
      <c r="V108" s="32"/>
      <c r="Z108" s="195"/>
      <c r="AA108" s="119"/>
      <c r="AB108" s="32"/>
      <c r="AC108" s="32"/>
      <c r="AD108" s="33"/>
      <c r="AE108" s="33"/>
      <c r="AF108" s="32"/>
      <c r="AG108" s="32"/>
      <c r="AH108" s="204"/>
      <c r="AI108" s="204"/>
      <c r="AJ108" s="22"/>
      <c r="AK108" s="22"/>
      <c r="AL108" s="32"/>
      <c r="AM108" s="32"/>
      <c r="AN108" s="208"/>
      <c r="AO108" s="208"/>
    </row>
    <row r="109" spans="1:41" x14ac:dyDescent="0.3">
      <c r="A109" s="22"/>
      <c r="C109" s="23"/>
      <c r="F109" s="32"/>
      <c r="H109" s="32"/>
      <c r="I109" s="32"/>
      <c r="J109" s="198"/>
      <c r="K109" s="198"/>
      <c r="L109" s="32"/>
      <c r="M109" s="32"/>
      <c r="N109" s="33"/>
      <c r="O109" s="33"/>
      <c r="P109" s="32"/>
      <c r="Q109" s="32"/>
      <c r="R109" s="32"/>
      <c r="T109" s="23"/>
      <c r="V109" s="32"/>
      <c r="Z109" s="195"/>
      <c r="AA109" s="119"/>
      <c r="AB109" s="32"/>
      <c r="AC109" s="32"/>
      <c r="AD109" s="33"/>
      <c r="AE109" s="33"/>
      <c r="AF109" s="32"/>
      <c r="AG109" s="32"/>
      <c r="AH109" s="44"/>
      <c r="AI109" s="44"/>
      <c r="AJ109" s="22"/>
      <c r="AK109" s="22"/>
      <c r="AL109" s="32"/>
      <c r="AM109" s="32"/>
      <c r="AN109" s="33"/>
      <c r="AO109" s="33"/>
    </row>
    <row r="110" spans="1:41" x14ac:dyDescent="0.3">
      <c r="F110" s="34"/>
      <c r="H110" s="32"/>
      <c r="I110" s="32"/>
      <c r="J110" s="198"/>
      <c r="K110" s="198"/>
      <c r="L110" s="34"/>
      <c r="M110" s="34"/>
      <c r="N110" s="34"/>
      <c r="O110" s="34"/>
      <c r="P110" s="34"/>
      <c r="Q110" s="34"/>
      <c r="R110" s="34"/>
      <c r="T110" s="23"/>
      <c r="V110" s="32"/>
      <c r="Z110" s="195"/>
      <c r="AA110" s="119"/>
      <c r="AB110" s="32"/>
      <c r="AC110" s="32"/>
      <c r="AD110" s="33"/>
      <c r="AE110" s="33"/>
      <c r="AF110" s="32"/>
      <c r="AG110" s="32"/>
      <c r="AH110" s="44"/>
      <c r="AI110" s="44"/>
      <c r="AJ110" s="22"/>
      <c r="AK110" s="22"/>
      <c r="AL110" s="32"/>
      <c r="AM110" s="32"/>
      <c r="AN110" s="33"/>
      <c r="AO110" s="33"/>
    </row>
    <row r="111" spans="1:41" x14ac:dyDescent="0.3">
      <c r="A111" s="22"/>
      <c r="C111" s="23"/>
      <c r="F111" s="195"/>
      <c r="H111" s="195"/>
      <c r="I111" s="195"/>
      <c r="J111" s="206"/>
      <c r="K111" s="206"/>
      <c r="L111" s="32"/>
      <c r="M111" s="32"/>
      <c r="N111" s="33"/>
      <c r="O111" s="33"/>
      <c r="P111" s="32"/>
      <c r="Q111" s="32"/>
      <c r="R111" s="32"/>
      <c r="S111" s="32"/>
      <c r="V111" s="34"/>
      <c r="Z111" s="32"/>
      <c r="AA111" s="198"/>
      <c r="AB111" s="34"/>
      <c r="AC111" s="34"/>
      <c r="AD111" s="34"/>
      <c r="AE111" s="34"/>
      <c r="AF111" s="34"/>
      <c r="AG111" s="34"/>
      <c r="AJ111" s="34"/>
      <c r="AK111" s="34"/>
      <c r="AL111" s="34"/>
      <c r="AM111" s="34"/>
      <c r="AN111" s="33"/>
      <c r="AO111" s="33"/>
    </row>
    <row r="112" spans="1:41" x14ac:dyDescent="0.3">
      <c r="A112" s="22"/>
      <c r="C112" s="23"/>
      <c r="F112" s="195"/>
      <c r="H112" s="195"/>
      <c r="I112" s="195"/>
      <c r="J112" s="119"/>
      <c r="K112" s="119"/>
      <c r="L112" s="32"/>
      <c r="M112" s="32"/>
      <c r="N112" s="33"/>
      <c r="O112" s="33"/>
      <c r="P112" s="32"/>
      <c r="Q112" s="32"/>
      <c r="R112" s="32"/>
      <c r="T112" s="23"/>
      <c r="V112" s="32"/>
      <c r="Z112" s="32"/>
      <c r="AA112" s="198"/>
      <c r="AB112" s="32"/>
      <c r="AC112" s="32"/>
      <c r="AD112" s="33"/>
      <c r="AE112" s="33"/>
      <c r="AF112" s="32"/>
      <c r="AG112" s="32"/>
      <c r="AH112" s="44"/>
      <c r="AI112" s="44"/>
      <c r="AJ112" s="32"/>
      <c r="AK112" s="32"/>
      <c r="AL112" s="32"/>
      <c r="AM112" s="32"/>
      <c r="AN112" s="33"/>
      <c r="AO112" s="33"/>
    </row>
    <row r="113" spans="1:41" x14ac:dyDescent="0.3">
      <c r="A113" s="22"/>
      <c r="C113" s="23"/>
      <c r="F113" s="195"/>
      <c r="H113" s="195"/>
      <c r="I113" s="195"/>
      <c r="J113" s="119"/>
      <c r="K113" s="119"/>
      <c r="L113" s="32"/>
      <c r="M113" s="32"/>
      <c r="N113" s="33"/>
      <c r="O113" s="33"/>
      <c r="P113" s="32"/>
      <c r="Q113" s="32"/>
      <c r="R113" s="32"/>
      <c r="V113" s="34"/>
      <c r="Z113" s="32"/>
      <c r="AA113" s="198"/>
      <c r="AB113" s="34"/>
      <c r="AC113" s="34"/>
      <c r="AD113" s="34"/>
      <c r="AE113" s="34"/>
      <c r="AF113" s="34"/>
      <c r="AG113" s="34"/>
      <c r="AJ113" s="34"/>
      <c r="AK113" s="34"/>
      <c r="AL113" s="34"/>
      <c r="AM113" s="34"/>
      <c r="AN113" s="33"/>
      <c r="AO113" s="33"/>
    </row>
    <row r="114" spans="1:41" x14ac:dyDescent="0.3">
      <c r="F114" s="32"/>
      <c r="H114" s="34"/>
      <c r="I114" s="34"/>
      <c r="J114" s="198"/>
      <c r="K114" s="198"/>
      <c r="L114" s="34"/>
      <c r="M114" s="34"/>
      <c r="N114" s="34"/>
      <c r="O114" s="34"/>
      <c r="P114" s="34"/>
      <c r="Q114" s="34"/>
      <c r="R114" s="34"/>
      <c r="T114" s="23"/>
      <c r="V114" s="195"/>
      <c r="Z114" s="195"/>
      <c r="AA114" s="206"/>
      <c r="AB114" s="32"/>
      <c r="AC114" s="32"/>
      <c r="AD114" s="33"/>
      <c r="AE114" s="33"/>
      <c r="AF114" s="32"/>
      <c r="AG114" s="32"/>
      <c r="AH114" s="33"/>
      <c r="AI114" s="33"/>
      <c r="AJ114" s="32"/>
      <c r="AK114" s="32"/>
      <c r="AL114" s="32"/>
      <c r="AM114" s="32"/>
      <c r="AN114" s="33"/>
      <c r="AO114" s="33"/>
    </row>
    <row r="115" spans="1:41" x14ac:dyDescent="0.3">
      <c r="A115" s="22"/>
      <c r="C115" s="23"/>
      <c r="F115" s="32"/>
      <c r="H115" s="32"/>
      <c r="I115" s="32"/>
      <c r="J115" s="198"/>
      <c r="K115" s="198"/>
      <c r="L115" s="32"/>
      <c r="M115" s="32"/>
      <c r="N115" s="33"/>
      <c r="O115" s="33"/>
      <c r="P115" s="32"/>
      <c r="Q115" s="32"/>
      <c r="R115" s="32"/>
      <c r="T115" s="23"/>
      <c r="V115" s="195"/>
      <c r="Z115" s="32"/>
      <c r="AA115" s="119"/>
      <c r="AB115" s="32"/>
      <c r="AC115" s="32"/>
      <c r="AD115" s="33"/>
      <c r="AE115" s="33"/>
      <c r="AF115" s="32"/>
      <c r="AG115" s="32"/>
      <c r="AH115" s="44"/>
      <c r="AI115" s="44"/>
      <c r="AJ115" s="32"/>
      <c r="AK115" s="32"/>
      <c r="AL115" s="32"/>
      <c r="AM115" s="32"/>
      <c r="AN115" s="33"/>
      <c r="AO115" s="33"/>
    </row>
    <row r="116" spans="1:41" x14ac:dyDescent="0.3">
      <c r="F116" s="32"/>
      <c r="H116" s="34"/>
      <c r="I116" s="34"/>
      <c r="J116" s="198"/>
      <c r="K116" s="198"/>
      <c r="L116" s="34"/>
      <c r="M116" s="34"/>
      <c r="N116" s="34"/>
      <c r="O116" s="34"/>
      <c r="P116" s="34"/>
      <c r="Q116" s="34"/>
      <c r="R116" s="34"/>
      <c r="T116" s="23"/>
      <c r="V116" s="195"/>
      <c r="Z116" s="32"/>
      <c r="AA116" s="119"/>
      <c r="AB116" s="32"/>
      <c r="AC116" s="32"/>
      <c r="AD116" s="33"/>
      <c r="AE116" s="33"/>
      <c r="AF116" s="32"/>
      <c r="AG116" s="32"/>
      <c r="AH116" s="44"/>
      <c r="AI116" s="44"/>
      <c r="AJ116" s="32"/>
      <c r="AK116" s="32"/>
      <c r="AL116" s="32"/>
      <c r="AM116" s="32"/>
      <c r="AN116" s="33"/>
      <c r="AO116" s="33"/>
    </row>
    <row r="117" spans="1:41" x14ac:dyDescent="0.3">
      <c r="A117" s="22"/>
      <c r="C117" s="23"/>
      <c r="F117" s="32"/>
      <c r="H117" s="32"/>
      <c r="I117" s="32"/>
      <c r="J117" s="198"/>
      <c r="K117" s="198"/>
      <c r="L117" s="32"/>
      <c r="M117" s="32"/>
      <c r="N117" s="32"/>
      <c r="O117" s="32"/>
      <c r="P117" s="32"/>
      <c r="Q117" s="32"/>
      <c r="R117" s="32"/>
      <c r="V117" s="32"/>
      <c r="Z117" s="34"/>
      <c r="AA117" s="198"/>
      <c r="AB117" s="34"/>
      <c r="AC117" s="34"/>
      <c r="AD117" s="34"/>
      <c r="AE117" s="34"/>
      <c r="AF117" s="34"/>
      <c r="AG117" s="34"/>
      <c r="AJ117" s="34"/>
      <c r="AK117" s="34"/>
      <c r="AL117" s="34"/>
      <c r="AM117" s="34"/>
      <c r="AN117" s="33"/>
      <c r="AO117" s="33"/>
    </row>
    <row r="118" spans="1:41" x14ac:dyDescent="0.3">
      <c r="A118" s="22"/>
      <c r="C118" s="23"/>
      <c r="F118" s="32"/>
      <c r="H118" s="195"/>
      <c r="I118" s="195"/>
      <c r="J118" s="203"/>
      <c r="K118" s="203"/>
      <c r="L118" s="32"/>
      <c r="M118" s="32"/>
      <c r="N118" s="33"/>
      <c r="O118" s="33"/>
      <c r="P118" s="32"/>
      <c r="Q118" s="32"/>
      <c r="R118" s="32"/>
      <c r="T118" s="23"/>
      <c r="V118" s="32"/>
      <c r="Z118" s="32"/>
      <c r="AA118" s="198"/>
      <c r="AB118" s="32"/>
      <c r="AC118" s="32"/>
      <c r="AD118" s="33"/>
      <c r="AE118" s="33"/>
      <c r="AF118" s="32"/>
      <c r="AG118" s="32"/>
      <c r="AH118" s="44"/>
      <c r="AI118" s="44"/>
      <c r="AJ118" s="32"/>
      <c r="AK118" s="32"/>
      <c r="AL118" s="32"/>
      <c r="AM118" s="32"/>
      <c r="AN118" s="33"/>
      <c r="AO118" s="33"/>
    </row>
    <row r="119" spans="1:41" x14ac:dyDescent="0.3">
      <c r="A119" s="22"/>
      <c r="C119" s="23"/>
      <c r="H119" s="195"/>
      <c r="I119" s="195"/>
      <c r="J119" s="203"/>
      <c r="K119" s="203"/>
      <c r="L119" s="32"/>
      <c r="M119" s="32"/>
      <c r="N119" s="33"/>
      <c r="O119" s="33"/>
      <c r="P119" s="32"/>
      <c r="Q119" s="32"/>
      <c r="R119" s="32"/>
      <c r="V119" s="32"/>
      <c r="Z119" s="34"/>
      <c r="AA119" s="198"/>
      <c r="AB119" s="34"/>
      <c r="AC119" s="34"/>
      <c r="AD119" s="34"/>
      <c r="AE119" s="34"/>
      <c r="AF119" s="34"/>
      <c r="AG119" s="34"/>
      <c r="AJ119" s="34"/>
      <c r="AK119" s="34"/>
      <c r="AL119" s="34"/>
      <c r="AM119" s="34"/>
      <c r="AN119" s="33"/>
      <c r="AO119" s="33"/>
    </row>
    <row r="120" spans="1:41" x14ac:dyDescent="0.3">
      <c r="F120" s="32"/>
      <c r="H120" s="32"/>
      <c r="I120" s="32"/>
      <c r="J120" s="198"/>
      <c r="K120" s="198"/>
      <c r="L120" s="34"/>
      <c r="M120" s="34"/>
      <c r="N120" s="34"/>
      <c r="O120" s="34"/>
      <c r="P120" s="34"/>
      <c r="Q120" s="34"/>
      <c r="R120" s="34"/>
      <c r="T120" s="23"/>
      <c r="V120" s="32"/>
      <c r="Z120" s="32"/>
      <c r="AA120" s="198"/>
      <c r="AB120" s="32"/>
      <c r="AC120" s="32"/>
      <c r="AD120" s="32"/>
      <c r="AE120" s="32"/>
      <c r="AF120" s="32"/>
      <c r="AG120" s="32"/>
      <c r="AH120" s="44"/>
      <c r="AI120" s="44"/>
      <c r="AJ120" s="32"/>
      <c r="AK120" s="32"/>
      <c r="AL120" s="32"/>
      <c r="AM120" s="32"/>
      <c r="AN120" s="33"/>
      <c r="AO120" s="33"/>
    </row>
    <row r="121" spans="1:41" x14ac:dyDescent="0.3">
      <c r="A121" s="22"/>
      <c r="C121" s="23"/>
      <c r="F121" s="32"/>
      <c r="H121" s="32"/>
      <c r="I121" s="32"/>
      <c r="J121" s="48"/>
      <c r="K121" s="48"/>
      <c r="L121" s="32"/>
      <c r="M121" s="32"/>
      <c r="N121" s="33"/>
      <c r="O121" s="33"/>
      <c r="P121" s="32"/>
      <c r="Q121" s="32"/>
      <c r="R121" s="32"/>
      <c r="T121" s="23"/>
      <c r="V121" s="32"/>
      <c r="Z121" s="32"/>
      <c r="AA121" s="203"/>
      <c r="AB121" s="32"/>
      <c r="AC121" s="32"/>
      <c r="AD121" s="33"/>
      <c r="AE121" s="33"/>
      <c r="AF121" s="32"/>
      <c r="AG121" s="32"/>
      <c r="AH121" s="44"/>
      <c r="AI121" s="44"/>
      <c r="AJ121" s="32"/>
      <c r="AK121" s="32"/>
      <c r="AL121" s="32"/>
      <c r="AM121" s="32"/>
      <c r="AN121" s="33"/>
      <c r="AO121" s="33"/>
    </row>
    <row r="122" spans="1:41" x14ac:dyDescent="0.3">
      <c r="F122" s="32"/>
      <c r="H122" s="32"/>
      <c r="I122" s="32"/>
      <c r="J122" s="198"/>
      <c r="K122" s="198"/>
      <c r="L122" s="34"/>
      <c r="M122" s="34"/>
      <c r="N122" s="34"/>
      <c r="O122" s="34"/>
      <c r="P122" s="34"/>
      <c r="Q122" s="34"/>
      <c r="R122" s="34"/>
      <c r="T122" s="23"/>
      <c r="Z122" s="32"/>
      <c r="AA122" s="203"/>
      <c r="AB122" s="32"/>
      <c r="AC122" s="32"/>
      <c r="AD122" s="33"/>
      <c r="AE122" s="33"/>
      <c r="AF122" s="32"/>
      <c r="AG122" s="32"/>
      <c r="AH122" s="44"/>
      <c r="AI122" s="44"/>
      <c r="AJ122" s="32"/>
      <c r="AK122" s="32"/>
      <c r="AL122" s="32"/>
      <c r="AM122" s="32"/>
      <c r="AN122" s="33"/>
      <c r="AO122" s="33"/>
    </row>
    <row r="123" spans="1:41" x14ac:dyDescent="0.3">
      <c r="A123" s="22"/>
      <c r="C123" s="23"/>
      <c r="F123" s="32"/>
      <c r="H123" s="32"/>
      <c r="I123" s="32"/>
      <c r="J123" s="48"/>
      <c r="K123" s="48"/>
      <c r="L123" s="32"/>
      <c r="M123" s="32"/>
      <c r="N123" s="33"/>
      <c r="O123" s="33"/>
      <c r="P123" s="32"/>
      <c r="Q123" s="32"/>
      <c r="R123" s="32"/>
      <c r="V123" s="32"/>
      <c r="Z123" s="32"/>
      <c r="AA123" s="198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3"/>
      <c r="AO123" s="33"/>
    </row>
    <row r="124" spans="1:41" x14ac:dyDescent="0.3">
      <c r="A124" s="22"/>
      <c r="C124" s="23"/>
      <c r="F124" s="195"/>
      <c r="H124" s="195"/>
      <c r="I124" s="195"/>
      <c r="J124" s="197"/>
      <c r="K124" s="197"/>
      <c r="L124" s="32"/>
      <c r="M124" s="32"/>
      <c r="N124" s="33"/>
      <c r="O124" s="33"/>
      <c r="P124" s="32"/>
      <c r="Q124" s="32"/>
      <c r="R124" s="32"/>
      <c r="T124" s="23"/>
      <c r="V124" s="32"/>
      <c r="Z124" s="32"/>
      <c r="AA124" s="48"/>
      <c r="AB124" s="32"/>
      <c r="AC124" s="32"/>
      <c r="AD124" s="33"/>
      <c r="AE124" s="33"/>
      <c r="AF124" s="32"/>
      <c r="AG124" s="32"/>
      <c r="AH124" s="44"/>
      <c r="AI124" s="44"/>
      <c r="AJ124" s="32"/>
      <c r="AK124" s="32"/>
      <c r="AL124" s="32"/>
      <c r="AM124" s="32"/>
      <c r="AN124" s="33"/>
      <c r="AO124" s="33"/>
    </row>
    <row r="125" spans="1:41" x14ac:dyDescent="0.3">
      <c r="F125" s="34"/>
      <c r="H125" s="34"/>
      <c r="I125" s="34"/>
      <c r="J125" s="198"/>
      <c r="K125" s="198"/>
      <c r="L125" s="34"/>
      <c r="M125" s="34"/>
      <c r="N125" s="34"/>
      <c r="O125" s="34"/>
      <c r="P125" s="34"/>
      <c r="Q125" s="34"/>
      <c r="R125" s="34"/>
      <c r="V125" s="32"/>
      <c r="Z125" s="32"/>
      <c r="AA125" s="198"/>
      <c r="AB125" s="34"/>
      <c r="AC125" s="34"/>
      <c r="AD125" s="34"/>
      <c r="AE125" s="34"/>
      <c r="AF125" s="34"/>
      <c r="AG125" s="34"/>
      <c r="AJ125" s="34"/>
      <c r="AK125" s="34"/>
      <c r="AL125" s="34"/>
      <c r="AM125" s="34"/>
      <c r="AN125" s="33"/>
      <c r="AO125" s="33"/>
    </row>
    <row r="126" spans="1:41" x14ac:dyDescent="0.3">
      <c r="A126" s="22"/>
      <c r="C126" s="23"/>
      <c r="F126" s="32"/>
      <c r="H126" s="32"/>
      <c r="I126" s="32"/>
      <c r="J126" s="198"/>
      <c r="K126" s="198"/>
      <c r="L126" s="32"/>
      <c r="M126" s="32"/>
      <c r="N126" s="33"/>
      <c r="O126" s="33"/>
      <c r="P126" s="32"/>
      <c r="Q126" s="32"/>
      <c r="R126" s="32"/>
      <c r="S126" s="32"/>
      <c r="T126" s="23"/>
      <c r="V126" s="32"/>
      <c r="Z126" s="32"/>
      <c r="AA126" s="48"/>
      <c r="AB126" s="32"/>
      <c r="AC126" s="32"/>
      <c r="AD126" s="33"/>
      <c r="AE126" s="33"/>
      <c r="AF126" s="32"/>
      <c r="AG126" s="32"/>
      <c r="AH126" s="44"/>
      <c r="AI126" s="44"/>
      <c r="AJ126" s="32"/>
      <c r="AK126" s="32"/>
      <c r="AL126" s="32"/>
      <c r="AM126" s="32"/>
      <c r="AN126" s="33"/>
      <c r="AO126" s="33"/>
    </row>
    <row r="127" spans="1:41" x14ac:dyDescent="0.3">
      <c r="F127" s="34"/>
      <c r="H127" s="34"/>
      <c r="I127" s="34"/>
      <c r="J127" s="198"/>
      <c r="K127" s="198"/>
      <c r="L127" s="34"/>
      <c r="M127" s="34"/>
      <c r="N127" s="34"/>
      <c r="O127" s="34"/>
      <c r="P127" s="34"/>
      <c r="Q127" s="34"/>
      <c r="R127" s="34"/>
      <c r="S127" s="32"/>
      <c r="T127" s="23"/>
      <c r="V127" s="195"/>
      <c r="Z127" s="32"/>
      <c r="AA127" s="197"/>
      <c r="AB127" s="32"/>
      <c r="AC127" s="32"/>
      <c r="AD127" s="33"/>
      <c r="AE127" s="33"/>
      <c r="AF127" s="32"/>
      <c r="AG127" s="32"/>
      <c r="AH127" s="44"/>
      <c r="AI127" s="44"/>
      <c r="AJ127" s="32"/>
      <c r="AK127" s="32"/>
      <c r="AL127" s="32"/>
      <c r="AM127" s="32"/>
      <c r="AN127" s="33"/>
      <c r="AO127" s="33"/>
    </row>
    <row r="128" spans="1:41" x14ac:dyDescent="0.3">
      <c r="A128" s="22"/>
      <c r="C128" s="23"/>
      <c r="V128" s="34"/>
      <c r="Z128" s="34"/>
      <c r="AA128" s="198"/>
      <c r="AB128" s="34"/>
      <c r="AC128" s="34"/>
      <c r="AD128" s="34"/>
      <c r="AE128" s="34"/>
      <c r="AF128" s="34"/>
      <c r="AG128" s="34"/>
      <c r="AJ128" s="34"/>
      <c r="AK128" s="34"/>
      <c r="AL128" s="34"/>
      <c r="AM128" s="34"/>
      <c r="AN128" s="33"/>
      <c r="AO128" s="33"/>
    </row>
    <row r="129" spans="1:41" x14ac:dyDescent="0.3">
      <c r="A129" s="22"/>
      <c r="C129" s="23"/>
      <c r="F129" s="32"/>
      <c r="H129" s="32"/>
      <c r="I129" s="32"/>
      <c r="L129" s="32"/>
      <c r="M129" s="32"/>
      <c r="N129" s="33"/>
      <c r="O129" s="33"/>
      <c r="P129" s="195"/>
      <c r="Q129" s="195"/>
      <c r="R129" s="32"/>
      <c r="T129" s="23"/>
      <c r="V129" s="32"/>
      <c r="Z129" s="32"/>
      <c r="AA129" s="198"/>
      <c r="AB129" s="32"/>
      <c r="AC129" s="32"/>
      <c r="AD129" s="33"/>
      <c r="AE129" s="33"/>
      <c r="AF129" s="32"/>
      <c r="AG129" s="32"/>
      <c r="AH129" s="33"/>
      <c r="AI129" s="33"/>
      <c r="AJ129" s="32"/>
      <c r="AK129" s="32"/>
      <c r="AL129" s="32"/>
      <c r="AM129" s="32"/>
      <c r="AN129" s="33"/>
      <c r="AO129" s="33"/>
    </row>
    <row r="130" spans="1:41" x14ac:dyDescent="0.3">
      <c r="F130" s="34"/>
      <c r="H130" s="34"/>
      <c r="I130" s="34"/>
      <c r="J130" s="198"/>
      <c r="K130" s="198"/>
      <c r="L130" s="34"/>
      <c r="M130" s="34"/>
      <c r="N130" s="34"/>
      <c r="O130" s="34"/>
      <c r="P130" s="34"/>
      <c r="Q130" s="34"/>
      <c r="R130" s="34"/>
      <c r="V130" s="34"/>
      <c r="Z130" s="34"/>
      <c r="AA130" s="198"/>
      <c r="AB130" s="34"/>
      <c r="AC130" s="34"/>
      <c r="AD130" s="34"/>
      <c r="AE130" s="34"/>
      <c r="AF130" s="34"/>
      <c r="AG130" s="34"/>
      <c r="AJ130" s="34"/>
      <c r="AK130" s="34"/>
      <c r="AL130" s="34"/>
      <c r="AM130" s="34"/>
      <c r="AN130" s="33"/>
      <c r="AO130" s="33"/>
    </row>
    <row r="131" spans="1:41" x14ac:dyDescent="0.3">
      <c r="T131" s="23"/>
    </row>
    <row r="132" spans="1:41" x14ac:dyDescent="0.3">
      <c r="C132" s="23"/>
      <c r="L132" s="32"/>
      <c r="M132" s="32"/>
      <c r="N132" s="32"/>
      <c r="O132" s="32"/>
      <c r="P132" s="32"/>
      <c r="Q132" s="32"/>
      <c r="R132" s="32"/>
      <c r="S132" s="32"/>
      <c r="T132" s="23"/>
      <c r="V132" s="32"/>
      <c r="Z132" s="32"/>
      <c r="AB132" s="32"/>
      <c r="AC132" s="32"/>
      <c r="AD132" s="33"/>
      <c r="AE132" s="33"/>
      <c r="AF132" s="32"/>
      <c r="AG132" s="32"/>
      <c r="AH132" s="33"/>
      <c r="AI132" s="33"/>
      <c r="AJ132" s="195"/>
      <c r="AK132" s="195"/>
      <c r="AL132" s="32"/>
      <c r="AM132" s="32"/>
      <c r="AN132" s="33"/>
      <c r="AO132" s="33"/>
    </row>
    <row r="133" spans="1:41" x14ac:dyDescent="0.3">
      <c r="A133" s="23"/>
      <c r="V133" s="34"/>
      <c r="Z133" s="34"/>
      <c r="AA133" s="198"/>
      <c r="AB133" s="34"/>
      <c r="AC133" s="34"/>
      <c r="AD133" s="34"/>
      <c r="AE133" s="34"/>
      <c r="AF133" s="34"/>
      <c r="AG133" s="34"/>
      <c r="AJ133" s="34"/>
      <c r="AK133" s="34"/>
      <c r="AL133" s="34"/>
      <c r="AM133" s="34"/>
    </row>
    <row r="134" spans="1:41" x14ac:dyDescent="0.3">
      <c r="J134" s="22"/>
      <c r="K134" s="22"/>
    </row>
    <row r="135" spans="1:41" x14ac:dyDescent="0.3">
      <c r="H135" s="23"/>
      <c r="I135" s="23"/>
      <c r="T135" s="23"/>
      <c r="AB135" s="32"/>
      <c r="AC135" s="32"/>
      <c r="AD135" s="32"/>
      <c r="AE135" s="32"/>
      <c r="AJ135" s="32"/>
      <c r="AK135" s="32"/>
      <c r="AL135" s="32"/>
      <c r="AM135" s="32"/>
    </row>
    <row r="136" spans="1:41" x14ac:dyDescent="0.3">
      <c r="J136" s="22"/>
      <c r="K136" s="22"/>
    </row>
    <row r="137" spans="1:41" x14ac:dyDescent="0.3">
      <c r="L137" s="23"/>
      <c r="M137" s="23"/>
      <c r="AA137" s="22"/>
    </row>
    <row r="138" spans="1:41" x14ac:dyDescent="0.3">
      <c r="A138" s="22"/>
      <c r="R138" s="23"/>
      <c r="Z138" s="23"/>
    </row>
    <row r="139" spans="1:41" x14ac:dyDescent="0.3">
      <c r="A139" s="22"/>
      <c r="R139" s="23"/>
      <c r="AA139" s="22"/>
    </row>
    <row r="140" spans="1:41" x14ac:dyDescent="0.3">
      <c r="A140" s="23"/>
      <c r="R140" s="23"/>
      <c r="AL140" s="23"/>
      <c r="AM140" s="23"/>
    </row>
    <row r="141" spans="1:41" x14ac:dyDescent="0.3">
      <c r="L141" s="23"/>
      <c r="M141" s="23"/>
      <c r="R141" s="22"/>
      <c r="AB141" s="23"/>
      <c r="AC141" s="23"/>
      <c r="AL141" s="22"/>
      <c r="AM141" s="22"/>
    </row>
    <row r="142" spans="1:4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1:41" x14ac:dyDescent="0.3">
      <c r="L143" s="30"/>
      <c r="M143" s="30"/>
      <c r="N143" s="30"/>
      <c r="O143" s="30"/>
      <c r="R143" s="30"/>
      <c r="AB143" s="30"/>
      <c r="AC143" s="30"/>
      <c r="AD143" s="30"/>
      <c r="AE143" s="30"/>
      <c r="AF143" s="30"/>
      <c r="AG143" s="30"/>
      <c r="AH143" s="30"/>
      <c r="AI143" s="30"/>
      <c r="AL143" s="30"/>
      <c r="AM143" s="30"/>
      <c r="AN143" s="30"/>
      <c r="AO143" s="30"/>
    </row>
    <row r="144" spans="1:41" x14ac:dyDescent="0.3">
      <c r="L144" s="30"/>
      <c r="M144" s="30"/>
      <c r="N144" s="30"/>
      <c r="O144" s="30"/>
      <c r="R144" s="30"/>
      <c r="AA144" s="30"/>
      <c r="AB144" s="30"/>
      <c r="AC144" s="30"/>
      <c r="AD144" s="30"/>
      <c r="AE144" s="30"/>
      <c r="AF144" s="30"/>
      <c r="AG144" s="30"/>
      <c r="AH144" s="30"/>
      <c r="AI144" s="30"/>
      <c r="AL144" s="30"/>
      <c r="AM144" s="30"/>
      <c r="AN144" s="30"/>
      <c r="AO144" s="30"/>
    </row>
    <row r="145" spans="1:41" x14ac:dyDescent="0.3">
      <c r="A145" s="30"/>
      <c r="C145" s="30"/>
      <c r="D145" s="30"/>
      <c r="E145" s="30"/>
      <c r="F145" s="30"/>
      <c r="J145" s="30"/>
      <c r="K145" s="30"/>
      <c r="L145" s="30"/>
      <c r="M145" s="30"/>
      <c r="N145" s="30"/>
      <c r="O145" s="30"/>
      <c r="P145" s="30"/>
      <c r="Q145" s="30"/>
      <c r="R145" s="30"/>
      <c r="T145" s="30"/>
      <c r="U145" s="30"/>
      <c r="V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x14ac:dyDescent="0.3">
      <c r="A146" s="30"/>
      <c r="C146" s="30"/>
      <c r="D146" s="30"/>
      <c r="E146" s="30"/>
      <c r="F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T146" s="30"/>
      <c r="U146" s="30"/>
      <c r="V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x14ac:dyDescent="0.3">
      <c r="C147" s="30"/>
      <c r="D147" s="30"/>
      <c r="E147" s="30"/>
      <c r="F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1:41" x14ac:dyDescent="0.3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x14ac:dyDescent="0.3">
      <c r="A150" s="22"/>
      <c r="C150" s="23"/>
      <c r="D150" s="23"/>
      <c r="E150" s="23"/>
      <c r="T150" s="23"/>
      <c r="U150" s="23"/>
    </row>
    <row r="151" spans="1:41" x14ac:dyDescent="0.3">
      <c r="A151" s="22"/>
      <c r="D151" s="23"/>
      <c r="E151" s="23"/>
      <c r="U151" s="23"/>
    </row>
    <row r="153" spans="1:41" x14ac:dyDescent="0.3">
      <c r="A153" s="22"/>
      <c r="C153" s="23"/>
      <c r="F153" s="195"/>
      <c r="H153" s="195"/>
      <c r="I153" s="195"/>
      <c r="J153" s="119"/>
      <c r="K153" s="119"/>
      <c r="L153" s="32"/>
      <c r="M153" s="32"/>
      <c r="N153" s="33"/>
      <c r="O153" s="33"/>
      <c r="R153" s="32"/>
      <c r="T153" s="23"/>
      <c r="V153" s="32"/>
      <c r="Z153" s="195"/>
      <c r="AA153" s="119"/>
      <c r="AB153" s="32"/>
      <c r="AC153" s="32"/>
      <c r="AD153" s="33"/>
      <c r="AE153" s="33"/>
      <c r="AF153" s="32"/>
      <c r="AG153" s="32"/>
      <c r="AH153" s="204"/>
      <c r="AI153" s="204"/>
      <c r="AL153" s="32"/>
      <c r="AM153" s="32"/>
      <c r="AN153" s="208"/>
      <c r="AO153" s="208"/>
    </row>
    <row r="154" spans="1:41" x14ac:dyDescent="0.3">
      <c r="A154" s="22"/>
      <c r="C154" s="23"/>
      <c r="F154" s="195"/>
      <c r="H154" s="195"/>
      <c r="I154" s="195"/>
      <c r="J154" s="119"/>
      <c r="K154" s="119"/>
      <c r="L154" s="32"/>
      <c r="M154" s="32"/>
      <c r="N154" s="33"/>
      <c r="O154" s="33"/>
      <c r="P154" s="22"/>
      <c r="Q154" s="22"/>
      <c r="R154" s="32"/>
      <c r="T154" s="23"/>
      <c r="V154" s="32"/>
      <c r="Z154" s="195"/>
      <c r="AA154" s="119"/>
      <c r="AB154" s="32"/>
      <c r="AC154" s="32"/>
      <c r="AD154" s="33"/>
      <c r="AE154" s="33"/>
      <c r="AF154" s="32"/>
      <c r="AG154" s="32"/>
      <c r="AH154" s="44"/>
      <c r="AI154" s="44"/>
      <c r="AJ154" s="22"/>
      <c r="AK154" s="22"/>
      <c r="AL154" s="32"/>
      <c r="AM154" s="32"/>
      <c r="AN154" s="33"/>
      <c r="AO154" s="33"/>
    </row>
    <row r="155" spans="1:41" x14ac:dyDescent="0.3">
      <c r="F155" s="34"/>
      <c r="H155" s="32"/>
      <c r="I155" s="32"/>
      <c r="J155" s="198"/>
      <c r="K155" s="198"/>
      <c r="L155" s="34"/>
      <c r="M155" s="34"/>
      <c r="N155" s="34"/>
      <c r="O155" s="34"/>
      <c r="P155" s="34"/>
      <c r="Q155" s="34"/>
      <c r="R155" s="34"/>
      <c r="V155" s="34"/>
      <c r="Z155" s="32"/>
      <c r="AA155" s="198"/>
      <c r="AB155" s="34"/>
      <c r="AC155" s="34"/>
      <c r="AD155" s="34"/>
      <c r="AE155" s="34"/>
      <c r="AF155" s="34"/>
      <c r="AG155" s="34"/>
      <c r="AJ155" s="34"/>
      <c r="AK155" s="34"/>
      <c r="AL155" s="34"/>
      <c r="AM155" s="34"/>
      <c r="AN155" s="33"/>
      <c r="AO155" s="33"/>
    </row>
    <row r="156" spans="1:41" x14ac:dyDescent="0.3">
      <c r="A156" s="22"/>
      <c r="C156" s="23"/>
      <c r="F156" s="32"/>
      <c r="H156" s="32"/>
      <c r="I156" s="32"/>
      <c r="J156" s="198"/>
      <c r="K156" s="198"/>
      <c r="L156" s="32"/>
      <c r="M156" s="32"/>
      <c r="N156" s="33"/>
      <c r="O156" s="33"/>
      <c r="P156" s="32"/>
      <c r="Q156" s="32"/>
      <c r="R156" s="32"/>
      <c r="T156" s="23"/>
      <c r="V156" s="32"/>
      <c r="Z156" s="32"/>
      <c r="AA156" s="48"/>
      <c r="AB156" s="32"/>
      <c r="AC156" s="32"/>
      <c r="AD156" s="33"/>
      <c r="AE156" s="33"/>
      <c r="AF156" s="32"/>
      <c r="AG156" s="32"/>
      <c r="AH156" s="44"/>
      <c r="AI156" s="44"/>
      <c r="AJ156" s="32"/>
      <c r="AK156" s="32"/>
      <c r="AL156" s="32"/>
      <c r="AM156" s="32"/>
      <c r="AN156" s="33"/>
      <c r="AO156" s="33"/>
    </row>
    <row r="157" spans="1:41" x14ac:dyDescent="0.3">
      <c r="F157" s="34"/>
      <c r="H157" s="32"/>
      <c r="I157" s="32"/>
      <c r="J157" s="198"/>
      <c r="K157" s="198"/>
      <c r="L157" s="34"/>
      <c r="M157" s="34"/>
      <c r="N157" s="34"/>
      <c r="O157" s="34"/>
      <c r="P157" s="34"/>
      <c r="Q157" s="34"/>
      <c r="R157" s="34"/>
      <c r="V157" s="34"/>
      <c r="Z157" s="32"/>
      <c r="AA157" s="198"/>
      <c r="AB157" s="34"/>
      <c r="AC157" s="34"/>
      <c r="AD157" s="34"/>
      <c r="AE157" s="34"/>
      <c r="AF157" s="34"/>
      <c r="AG157" s="34"/>
      <c r="AJ157" s="34"/>
      <c r="AK157" s="34"/>
      <c r="AL157" s="34"/>
      <c r="AM157" s="34"/>
      <c r="AN157" s="33"/>
      <c r="AO157" s="33"/>
    </row>
    <row r="158" spans="1:41" x14ac:dyDescent="0.3">
      <c r="F158" s="32"/>
      <c r="H158" s="32"/>
      <c r="I158" s="32"/>
      <c r="J158" s="198"/>
      <c r="K158" s="198"/>
      <c r="L158" s="32"/>
      <c r="M158" s="32"/>
      <c r="N158" s="33"/>
      <c r="O158" s="33"/>
      <c r="P158" s="32"/>
      <c r="Q158" s="32"/>
      <c r="R158" s="32"/>
      <c r="V158" s="32"/>
      <c r="Z158" s="32"/>
      <c r="AA158" s="48"/>
      <c r="AB158" s="32"/>
      <c r="AC158" s="32"/>
      <c r="AD158" s="33"/>
      <c r="AE158" s="33"/>
      <c r="AF158" s="32"/>
      <c r="AG158" s="32"/>
      <c r="AH158" s="44"/>
      <c r="AI158" s="44"/>
      <c r="AJ158" s="32"/>
      <c r="AK158" s="32"/>
      <c r="AL158" s="32"/>
      <c r="AM158" s="32"/>
      <c r="AN158" s="33"/>
      <c r="AO158" s="33"/>
    </row>
    <row r="159" spans="1:41" x14ac:dyDescent="0.3">
      <c r="A159" s="22"/>
      <c r="C159" s="23"/>
      <c r="F159" s="195"/>
      <c r="H159" s="195"/>
      <c r="I159" s="195"/>
      <c r="J159" s="119"/>
      <c r="K159" s="119"/>
      <c r="L159" s="32"/>
      <c r="M159" s="32"/>
      <c r="N159" s="33"/>
      <c r="O159" s="33"/>
      <c r="P159" s="32"/>
      <c r="Q159" s="32"/>
      <c r="R159" s="32"/>
      <c r="T159" s="23"/>
      <c r="V159" s="195"/>
      <c r="Z159" s="32"/>
      <c r="AA159" s="119"/>
      <c r="AB159" s="32"/>
      <c r="AC159" s="32"/>
      <c r="AD159" s="33"/>
      <c r="AE159" s="33"/>
      <c r="AF159" s="32"/>
      <c r="AG159" s="32"/>
      <c r="AH159" s="204"/>
      <c r="AI159" s="204"/>
      <c r="AJ159" s="32"/>
      <c r="AK159" s="32"/>
      <c r="AL159" s="32"/>
      <c r="AM159" s="32"/>
      <c r="AN159" s="208"/>
      <c r="AO159" s="208"/>
    </row>
    <row r="160" spans="1:41" x14ac:dyDescent="0.3">
      <c r="A160" s="22"/>
      <c r="C160" s="23"/>
      <c r="F160" s="195"/>
      <c r="H160" s="195"/>
      <c r="I160" s="195"/>
      <c r="J160" s="119"/>
      <c r="K160" s="119"/>
      <c r="L160" s="32"/>
      <c r="M160" s="32"/>
      <c r="N160" s="33"/>
      <c r="O160" s="33"/>
      <c r="P160" s="32"/>
      <c r="Q160" s="32"/>
      <c r="R160" s="32"/>
      <c r="T160" s="23"/>
      <c r="V160" s="195"/>
      <c r="Z160" s="32"/>
      <c r="AA160" s="119"/>
      <c r="AB160" s="32"/>
      <c r="AC160" s="32"/>
      <c r="AD160" s="33"/>
      <c r="AE160" s="33"/>
      <c r="AF160" s="32"/>
      <c r="AG160" s="32"/>
      <c r="AH160" s="44"/>
      <c r="AI160" s="44"/>
      <c r="AJ160" s="32"/>
      <c r="AK160" s="32"/>
      <c r="AL160" s="32"/>
      <c r="AM160" s="32"/>
      <c r="AN160" s="33"/>
      <c r="AO160" s="33"/>
    </row>
    <row r="161" spans="1:41" x14ac:dyDescent="0.3">
      <c r="F161" s="32"/>
      <c r="H161" s="34"/>
      <c r="I161" s="34"/>
      <c r="J161" s="198"/>
      <c r="K161" s="198"/>
      <c r="L161" s="34"/>
      <c r="M161" s="34"/>
      <c r="N161" s="34"/>
      <c r="O161" s="34"/>
      <c r="P161" s="34"/>
      <c r="Q161" s="34"/>
      <c r="R161" s="34"/>
      <c r="V161" s="32"/>
      <c r="Z161" s="34"/>
      <c r="AA161" s="198"/>
      <c r="AB161" s="34"/>
      <c r="AC161" s="34"/>
      <c r="AD161" s="34"/>
      <c r="AE161" s="34"/>
      <c r="AF161" s="34"/>
      <c r="AG161" s="34"/>
      <c r="AJ161" s="34"/>
      <c r="AK161" s="34"/>
      <c r="AL161" s="34"/>
      <c r="AM161" s="34"/>
      <c r="AN161" s="33"/>
      <c r="AO161" s="33"/>
    </row>
    <row r="162" spans="1:41" x14ac:dyDescent="0.3">
      <c r="A162" s="22"/>
      <c r="C162" s="23"/>
      <c r="F162" s="32"/>
      <c r="H162" s="32"/>
      <c r="I162" s="32"/>
      <c r="J162" s="198"/>
      <c r="K162" s="198"/>
      <c r="L162" s="32"/>
      <c r="M162" s="32"/>
      <c r="N162" s="33"/>
      <c r="O162" s="33"/>
      <c r="P162" s="32"/>
      <c r="Q162" s="32"/>
      <c r="R162" s="32"/>
      <c r="T162" s="23"/>
      <c r="V162" s="32"/>
      <c r="Z162" s="32"/>
      <c r="AA162" s="198"/>
      <c r="AB162" s="32"/>
      <c r="AC162" s="32"/>
      <c r="AD162" s="33"/>
      <c r="AE162" s="33"/>
      <c r="AF162" s="32"/>
      <c r="AG162" s="32"/>
      <c r="AH162" s="44"/>
      <c r="AI162" s="44"/>
      <c r="AJ162" s="32"/>
      <c r="AK162" s="32"/>
      <c r="AL162" s="32"/>
      <c r="AM162" s="32"/>
      <c r="AN162" s="33"/>
      <c r="AO162" s="33"/>
    </row>
    <row r="163" spans="1:41" x14ac:dyDescent="0.3">
      <c r="F163" s="32"/>
      <c r="H163" s="34"/>
      <c r="I163" s="34"/>
      <c r="J163" s="198"/>
      <c r="K163" s="198"/>
      <c r="L163" s="34"/>
      <c r="M163" s="34"/>
      <c r="N163" s="34"/>
      <c r="O163" s="34"/>
      <c r="P163" s="34"/>
      <c r="Q163" s="34"/>
      <c r="R163" s="34"/>
      <c r="V163" s="32"/>
      <c r="Z163" s="34"/>
      <c r="AA163" s="198"/>
      <c r="AB163" s="34"/>
      <c r="AC163" s="34"/>
      <c r="AD163" s="34"/>
      <c r="AE163" s="34"/>
      <c r="AF163" s="34"/>
      <c r="AG163" s="34"/>
      <c r="AJ163" s="34"/>
      <c r="AK163" s="34"/>
      <c r="AL163" s="34"/>
      <c r="AM163" s="34"/>
      <c r="AN163" s="33"/>
      <c r="AO163" s="33"/>
    </row>
    <row r="164" spans="1:41" x14ac:dyDescent="0.3">
      <c r="F164" s="32"/>
      <c r="H164" s="32"/>
      <c r="I164" s="32"/>
      <c r="J164" s="198"/>
      <c r="K164" s="198"/>
      <c r="L164" s="32"/>
      <c r="M164" s="32"/>
      <c r="N164" s="32"/>
      <c r="O164" s="32"/>
      <c r="P164" s="32"/>
      <c r="Q164" s="32"/>
      <c r="R164" s="32"/>
      <c r="V164" s="32"/>
      <c r="Z164" s="32"/>
      <c r="AA164" s="198"/>
      <c r="AB164" s="32"/>
      <c r="AC164" s="32"/>
      <c r="AD164" s="32"/>
      <c r="AE164" s="32"/>
      <c r="AF164" s="32"/>
      <c r="AG164" s="32"/>
      <c r="AH164" s="44"/>
      <c r="AI164" s="44"/>
      <c r="AJ164" s="32"/>
      <c r="AK164" s="32"/>
      <c r="AL164" s="32"/>
      <c r="AM164" s="32"/>
      <c r="AN164" s="33"/>
      <c r="AO164" s="33"/>
    </row>
    <row r="165" spans="1:41" x14ac:dyDescent="0.3">
      <c r="A165" s="22"/>
      <c r="C165" s="23"/>
      <c r="F165" s="195"/>
      <c r="H165" s="195"/>
      <c r="I165" s="195"/>
      <c r="J165" s="197"/>
      <c r="K165" s="197"/>
      <c r="L165" s="32"/>
      <c r="M165" s="32"/>
      <c r="N165" s="33"/>
      <c r="O165" s="33"/>
      <c r="P165" s="195"/>
      <c r="Q165" s="195"/>
      <c r="R165" s="32"/>
      <c r="T165" s="23"/>
      <c r="V165" s="195"/>
      <c r="Z165" s="195"/>
      <c r="AA165" s="206"/>
      <c r="AB165" s="32"/>
      <c r="AC165" s="32"/>
      <c r="AD165" s="33"/>
      <c r="AE165" s="33"/>
      <c r="AF165" s="32"/>
      <c r="AG165" s="32"/>
      <c r="AH165" s="44"/>
      <c r="AI165" s="44"/>
      <c r="AJ165" s="195"/>
      <c r="AK165" s="195"/>
      <c r="AL165" s="32"/>
      <c r="AM165" s="32"/>
      <c r="AN165" s="33"/>
      <c r="AO165" s="33"/>
    </row>
    <row r="166" spans="1:41" x14ac:dyDescent="0.3">
      <c r="A166" s="22"/>
      <c r="C166" s="23"/>
      <c r="F166" s="195"/>
      <c r="H166" s="195"/>
      <c r="I166" s="195"/>
      <c r="J166" s="197"/>
      <c r="K166" s="197"/>
      <c r="L166" s="32"/>
      <c r="M166" s="32"/>
      <c r="N166" s="33"/>
      <c r="O166" s="33"/>
      <c r="P166" s="195"/>
      <c r="Q166" s="195"/>
      <c r="R166" s="32"/>
      <c r="T166" s="23"/>
      <c r="V166" s="195"/>
      <c r="Z166" s="32"/>
      <c r="AA166" s="200"/>
      <c r="AB166" s="32"/>
      <c r="AC166" s="32"/>
      <c r="AD166" s="33"/>
      <c r="AE166" s="33"/>
      <c r="AF166" s="32"/>
      <c r="AG166" s="32"/>
      <c r="AH166" s="44"/>
      <c r="AI166" s="44"/>
      <c r="AJ166" s="195"/>
      <c r="AK166" s="195"/>
      <c r="AL166" s="32"/>
      <c r="AM166" s="32"/>
      <c r="AN166" s="33"/>
      <c r="AO166" s="33"/>
    </row>
    <row r="167" spans="1:41" x14ac:dyDescent="0.3">
      <c r="A167" s="22"/>
      <c r="C167" s="23"/>
      <c r="F167" s="195"/>
      <c r="H167" s="195"/>
      <c r="I167" s="195"/>
      <c r="J167" s="197"/>
      <c r="K167" s="197"/>
      <c r="L167" s="32"/>
      <c r="M167" s="32"/>
      <c r="N167" s="33"/>
      <c r="O167" s="33"/>
      <c r="P167" s="195"/>
      <c r="Q167" s="195"/>
      <c r="R167" s="32"/>
      <c r="T167" s="23"/>
      <c r="V167" s="195"/>
      <c r="Z167" s="32"/>
      <c r="AA167" s="200"/>
      <c r="AB167" s="32"/>
      <c r="AC167" s="32"/>
      <c r="AD167" s="33"/>
      <c r="AE167" s="33"/>
      <c r="AF167" s="32"/>
      <c r="AG167" s="32"/>
      <c r="AH167" s="44"/>
      <c r="AI167" s="44"/>
      <c r="AJ167" s="195"/>
      <c r="AK167" s="195"/>
      <c r="AL167" s="32"/>
      <c r="AM167" s="32"/>
      <c r="AN167" s="33"/>
      <c r="AO167" s="33"/>
    </row>
    <row r="168" spans="1:41" x14ac:dyDescent="0.3">
      <c r="F168" s="34"/>
      <c r="H168" s="34"/>
      <c r="I168" s="34"/>
      <c r="J168" s="198"/>
      <c r="K168" s="198"/>
      <c r="L168" s="34"/>
      <c r="M168" s="34"/>
      <c r="N168" s="34"/>
      <c r="O168" s="34"/>
      <c r="P168" s="34"/>
      <c r="Q168" s="34"/>
      <c r="R168" s="34"/>
      <c r="V168" s="34"/>
      <c r="Z168" s="34"/>
      <c r="AA168" s="198"/>
      <c r="AB168" s="34"/>
      <c r="AC168" s="34"/>
      <c r="AD168" s="34"/>
      <c r="AE168" s="34"/>
      <c r="AF168" s="34"/>
      <c r="AG168" s="34"/>
      <c r="AJ168" s="34"/>
      <c r="AK168" s="34"/>
      <c r="AL168" s="34"/>
      <c r="AM168" s="34"/>
      <c r="AN168" s="33"/>
      <c r="AO168" s="33"/>
    </row>
    <row r="169" spans="1:41" x14ac:dyDescent="0.3">
      <c r="A169" s="22"/>
      <c r="C169" s="23"/>
      <c r="F169" s="32"/>
      <c r="H169" s="32"/>
      <c r="I169" s="32"/>
      <c r="J169" s="48"/>
      <c r="K169" s="48"/>
      <c r="L169" s="32"/>
      <c r="M169" s="32"/>
      <c r="N169" s="33"/>
      <c r="O169" s="33"/>
      <c r="P169" s="32"/>
      <c r="Q169" s="32"/>
      <c r="R169" s="32"/>
      <c r="T169" s="23"/>
      <c r="V169" s="32"/>
      <c r="Z169" s="32"/>
      <c r="AA169" s="48"/>
      <c r="AB169" s="32"/>
      <c r="AC169" s="32"/>
      <c r="AD169" s="33"/>
      <c r="AE169" s="33"/>
      <c r="AF169" s="32"/>
      <c r="AG169" s="32"/>
      <c r="AH169" s="44"/>
      <c r="AI169" s="44"/>
      <c r="AJ169" s="32"/>
      <c r="AK169" s="32"/>
      <c r="AL169" s="32"/>
      <c r="AM169" s="32"/>
      <c r="AN169" s="33"/>
      <c r="AO169" s="33"/>
    </row>
    <row r="170" spans="1:41" x14ac:dyDescent="0.3">
      <c r="F170" s="34"/>
      <c r="H170" s="34"/>
      <c r="I170" s="34"/>
      <c r="J170" s="198"/>
      <c r="K170" s="198"/>
      <c r="L170" s="34"/>
      <c r="M170" s="34"/>
      <c r="N170" s="34"/>
      <c r="O170" s="34"/>
      <c r="P170" s="34"/>
      <c r="Q170" s="34"/>
      <c r="R170" s="34"/>
      <c r="V170" s="34"/>
      <c r="Z170" s="34"/>
      <c r="AA170" s="198"/>
      <c r="AB170" s="34"/>
      <c r="AC170" s="34"/>
      <c r="AD170" s="34"/>
      <c r="AE170" s="34"/>
      <c r="AF170" s="34"/>
      <c r="AG170" s="34"/>
      <c r="AJ170" s="34"/>
      <c r="AK170" s="34"/>
      <c r="AL170" s="34"/>
      <c r="AM170" s="34"/>
      <c r="AN170" s="33"/>
      <c r="AO170" s="33"/>
    </row>
    <row r="171" spans="1:41" x14ac:dyDescent="0.3">
      <c r="A171" s="22"/>
      <c r="C171" s="23"/>
      <c r="F171" s="32"/>
      <c r="H171" s="32"/>
      <c r="I171" s="32"/>
      <c r="J171" s="48"/>
      <c r="K171" s="48"/>
      <c r="L171" s="32"/>
      <c r="M171" s="32"/>
      <c r="N171" s="33"/>
      <c r="O171" s="33"/>
      <c r="P171" s="32"/>
      <c r="Q171" s="32"/>
      <c r="R171" s="32"/>
      <c r="T171" s="23"/>
      <c r="V171" s="32"/>
      <c r="Z171" s="32"/>
      <c r="AA171" s="48"/>
      <c r="AB171" s="32"/>
      <c r="AC171" s="32"/>
      <c r="AD171" s="33"/>
      <c r="AE171" s="33"/>
      <c r="AF171" s="32"/>
      <c r="AG171" s="32"/>
      <c r="AH171" s="44"/>
      <c r="AI171" s="44"/>
      <c r="AJ171" s="32"/>
      <c r="AK171" s="32"/>
      <c r="AL171" s="32"/>
      <c r="AM171" s="32"/>
      <c r="AN171" s="33"/>
      <c r="AO171" s="33"/>
    </row>
    <row r="172" spans="1:41" x14ac:dyDescent="0.3">
      <c r="A172" s="22"/>
      <c r="C172" s="23"/>
      <c r="F172" s="32"/>
      <c r="H172" s="32"/>
      <c r="I172" s="32"/>
      <c r="J172" s="48"/>
      <c r="K172" s="48"/>
      <c r="L172" s="32"/>
      <c r="M172" s="32"/>
      <c r="N172" s="33"/>
      <c r="O172" s="33"/>
      <c r="P172" s="32"/>
      <c r="Q172" s="32"/>
      <c r="R172" s="32"/>
      <c r="T172" s="23"/>
      <c r="V172" s="32"/>
      <c r="Z172" s="32"/>
      <c r="AA172" s="48"/>
      <c r="AB172" s="32"/>
      <c r="AC172" s="32"/>
      <c r="AD172" s="33"/>
      <c r="AE172" s="33"/>
      <c r="AF172" s="32"/>
      <c r="AG172" s="32"/>
      <c r="AH172" s="44"/>
      <c r="AI172" s="44"/>
      <c r="AJ172" s="32"/>
      <c r="AK172" s="32"/>
      <c r="AL172" s="32"/>
      <c r="AM172" s="32"/>
      <c r="AN172" s="33"/>
      <c r="AO172" s="33"/>
    </row>
    <row r="173" spans="1:41" x14ac:dyDescent="0.3">
      <c r="F173" s="34"/>
      <c r="H173" s="34"/>
      <c r="I173" s="34"/>
      <c r="J173" s="198"/>
      <c r="K173" s="198"/>
      <c r="L173" s="34"/>
      <c r="M173" s="34"/>
      <c r="N173" s="34"/>
      <c r="O173" s="34"/>
      <c r="P173" s="34"/>
      <c r="Q173" s="34"/>
      <c r="R173" s="34"/>
      <c r="V173" s="34"/>
      <c r="Z173" s="34"/>
      <c r="AA173" s="198"/>
      <c r="AB173" s="34"/>
      <c r="AC173" s="34"/>
      <c r="AD173" s="34"/>
      <c r="AE173" s="34"/>
      <c r="AF173" s="34"/>
      <c r="AG173" s="34"/>
      <c r="AJ173" s="34"/>
      <c r="AK173" s="34"/>
      <c r="AL173" s="34"/>
      <c r="AM173" s="34"/>
      <c r="AN173" s="32"/>
      <c r="AO173" s="32"/>
    </row>
    <row r="174" spans="1:41" x14ac:dyDescent="0.3">
      <c r="F174" s="32"/>
      <c r="H174" s="32"/>
      <c r="I174" s="32"/>
      <c r="J174" s="48"/>
      <c r="K174" s="48"/>
      <c r="L174" s="32"/>
      <c r="M174" s="32"/>
      <c r="N174" s="32"/>
      <c r="O174" s="32"/>
      <c r="P174" s="32"/>
      <c r="Q174" s="32"/>
      <c r="R174" s="32"/>
      <c r="V174" s="32"/>
      <c r="Z174" s="32"/>
      <c r="AA174" s="48"/>
      <c r="AB174" s="32"/>
      <c r="AC174" s="32"/>
      <c r="AD174" s="32"/>
      <c r="AE174" s="32"/>
    </row>
    <row r="175" spans="1:41" x14ac:dyDescent="0.3">
      <c r="C175" s="23"/>
      <c r="F175" s="32"/>
      <c r="H175" s="32"/>
      <c r="I175" s="32"/>
      <c r="J175" s="48"/>
      <c r="K175" s="48"/>
      <c r="L175" s="32"/>
      <c r="M175" s="32"/>
      <c r="N175" s="32"/>
      <c r="O175" s="32"/>
      <c r="P175" s="32"/>
      <c r="Q175" s="32"/>
      <c r="R175" s="32"/>
      <c r="T175" s="23"/>
      <c r="V175" s="32"/>
      <c r="Z175" s="32"/>
      <c r="AA175" s="48"/>
      <c r="AB175" s="32"/>
      <c r="AC175" s="32"/>
      <c r="AD175" s="32"/>
      <c r="AE175" s="32"/>
    </row>
    <row r="176" spans="1:41" x14ac:dyDescent="0.3">
      <c r="A176" s="23"/>
    </row>
    <row r="177" spans="1:41" x14ac:dyDescent="0.3">
      <c r="J177" s="22"/>
      <c r="K177" s="22"/>
      <c r="AA177" s="22"/>
    </row>
    <row r="178" spans="1:41" x14ac:dyDescent="0.3">
      <c r="H178" s="23"/>
      <c r="I178" s="23"/>
      <c r="Z178" s="23"/>
    </row>
    <row r="179" spans="1:41" x14ac:dyDescent="0.3">
      <c r="J179" s="22"/>
      <c r="K179" s="22"/>
      <c r="AA179" s="22"/>
    </row>
    <row r="180" spans="1:41" x14ac:dyDescent="0.3">
      <c r="L180" s="23"/>
      <c r="M180" s="23"/>
      <c r="AB180" s="23"/>
      <c r="AC180" s="23"/>
    </row>
    <row r="181" spans="1:41" x14ac:dyDescent="0.3">
      <c r="A181" s="22"/>
      <c r="R181" s="23"/>
      <c r="AL181" s="23"/>
      <c r="AM181" s="23"/>
    </row>
    <row r="182" spans="1:41" x14ac:dyDescent="0.3">
      <c r="A182" s="22"/>
      <c r="R182" s="23"/>
      <c r="AL182" s="23"/>
      <c r="AM182" s="23"/>
    </row>
    <row r="183" spans="1:41" x14ac:dyDescent="0.3">
      <c r="A183" s="23"/>
      <c r="R183" s="23"/>
      <c r="AL183" s="23"/>
      <c r="AM183" s="23"/>
    </row>
    <row r="184" spans="1:41" x14ac:dyDescent="0.3">
      <c r="L184" s="23"/>
      <c r="M184" s="23"/>
      <c r="R184" s="22"/>
      <c r="AB184" s="23"/>
      <c r="AC184" s="23"/>
      <c r="AL184" s="22"/>
      <c r="AM184" s="22"/>
    </row>
    <row r="185" spans="1:4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1:41" x14ac:dyDescent="0.3">
      <c r="L186" s="30"/>
      <c r="M186" s="30"/>
      <c r="N186" s="30"/>
      <c r="O186" s="30"/>
      <c r="R186" s="30"/>
      <c r="AB186" s="30"/>
      <c r="AC186" s="30"/>
      <c r="AD186" s="30"/>
      <c r="AE186" s="30"/>
      <c r="AF186" s="30"/>
      <c r="AG186" s="30"/>
      <c r="AH186" s="30"/>
      <c r="AI186" s="30"/>
      <c r="AL186" s="30"/>
      <c r="AM186" s="30"/>
      <c r="AN186" s="30"/>
      <c r="AO186" s="30"/>
    </row>
    <row r="187" spans="1:41" x14ac:dyDescent="0.3">
      <c r="L187" s="30"/>
      <c r="M187" s="30"/>
      <c r="N187" s="30"/>
      <c r="O187" s="30"/>
      <c r="R187" s="30"/>
      <c r="AA187" s="30"/>
      <c r="AB187" s="30"/>
      <c r="AC187" s="30"/>
      <c r="AD187" s="30"/>
      <c r="AE187" s="30"/>
      <c r="AF187" s="30"/>
      <c r="AG187" s="30"/>
      <c r="AH187" s="30"/>
      <c r="AI187" s="30"/>
      <c r="AL187" s="30"/>
      <c r="AM187" s="30"/>
      <c r="AN187" s="30"/>
      <c r="AO187" s="30"/>
    </row>
    <row r="188" spans="1:41" x14ac:dyDescent="0.3">
      <c r="A188" s="30"/>
      <c r="C188" s="30"/>
      <c r="D188" s="30"/>
      <c r="E188" s="30"/>
      <c r="F188" s="30"/>
      <c r="J188" s="30"/>
      <c r="K188" s="30"/>
      <c r="L188" s="30"/>
      <c r="M188" s="30"/>
      <c r="N188" s="30"/>
      <c r="O188" s="30"/>
      <c r="P188" s="30"/>
      <c r="Q188" s="30"/>
      <c r="R188" s="30"/>
      <c r="T188" s="30"/>
      <c r="U188" s="30"/>
      <c r="V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x14ac:dyDescent="0.3">
      <c r="A189" s="30"/>
      <c r="C189" s="30"/>
      <c r="D189" s="30"/>
      <c r="E189" s="30"/>
      <c r="F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T189" s="30"/>
      <c r="U189" s="30"/>
      <c r="V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x14ac:dyDescent="0.3">
      <c r="C190" s="30"/>
      <c r="D190" s="30"/>
      <c r="E190" s="30"/>
      <c r="F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T190" s="30"/>
      <c r="U190" s="30"/>
      <c r="V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1:41" x14ac:dyDescent="0.3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x14ac:dyDescent="0.3">
      <c r="A193" s="22"/>
      <c r="C193" s="23"/>
      <c r="D193" s="23"/>
      <c r="E193" s="23"/>
      <c r="T193" s="23"/>
      <c r="U193" s="23"/>
    </row>
    <row r="195" spans="1:41" x14ac:dyDescent="0.3">
      <c r="A195" s="22"/>
      <c r="C195" s="23"/>
      <c r="F195" s="195"/>
      <c r="H195" s="207"/>
      <c r="I195" s="207"/>
      <c r="J195" s="119"/>
      <c r="K195" s="119"/>
      <c r="L195" s="32"/>
      <c r="M195" s="32"/>
      <c r="N195" s="22"/>
      <c r="O195" s="22"/>
      <c r="P195" s="22"/>
      <c r="Q195" s="22"/>
      <c r="R195" s="32"/>
      <c r="T195" s="23"/>
      <c r="V195" s="32"/>
      <c r="Z195" s="22"/>
      <c r="AA195" s="119"/>
      <c r="AB195" s="32"/>
      <c r="AC195" s="32"/>
      <c r="AD195" s="22"/>
      <c r="AE195" s="22"/>
      <c r="AF195" s="32"/>
      <c r="AG195" s="32"/>
      <c r="AH195" s="204"/>
      <c r="AI195" s="204"/>
      <c r="AJ195" s="32"/>
      <c r="AK195" s="32"/>
      <c r="AL195" s="32"/>
      <c r="AM195" s="32"/>
      <c r="AN195" s="208"/>
      <c r="AO195" s="208"/>
    </row>
    <row r="196" spans="1:41" x14ac:dyDescent="0.3">
      <c r="F196" s="195"/>
      <c r="H196" s="207"/>
      <c r="I196" s="207"/>
      <c r="J196" s="207"/>
      <c r="K196" s="207"/>
      <c r="R196" s="32"/>
      <c r="V196" s="32"/>
      <c r="AA196" s="207"/>
    </row>
    <row r="197" spans="1:41" x14ac:dyDescent="0.3">
      <c r="A197" s="22"/>
      <c r="C197" s="23"/>
      <c r="F197" s="195"/>
      <c r="H197" s="195"/>
      <c r="I197" s="195"/>
      <c r="J197" s="197"/>
      <c r="K197" s="197"/>
      <c r="L197" s="32"/>
      <c r="M197" s="32"/>
      <c r="N197" s="33"/>
      <c r="O197" s="33"/>
      <c r="P197" s="195"/>
      <c r="Q197" s="195"/>
      <c r="R197" s="32"/>
      <c r="T197" s="23"/>
      <c r="V197" s="32"/>
      <c r="Z197" s="32"/>
      <c r="AA197" s="200"/>
      <c r="AB197" s="32"/>
      <c r="AC197" s="32"/>
      <c r="AD197" s="33"/>
      <c r="AE197" s="33"/>
      <c r="AF197" s="32"/>
      <c r="AG197" s="32"/>
      <c r="AH197" s="44"/>
      <c r="AI197" s="44"/>
      <c r="AJ197" s="195"/>
      <c r="AK197" s="195"/>
      <c r="AL197" s="32"/>
      <c r="AM197" s="32"/>
      <c r="AN197" s="33"/>
      <c r="AO197" s="33"/>
    </row>
    <row r="198" spans="1:41" x14ac:dyDescent="0.3">
      <c r="F198" s="34"/>
      <c r="H198" s="34"/>
      <c r="I198" s="34"/>
      <c r="J198" s="198"/>
      <c r="K198" s="198"/>
      <c r="L198" s="34"/>
      <c r="M198" s="34"/>
      <c r="N198" s="34"/>
      <c r="O198" s="34"/>
      <c r="P198" s="34"/>
      <c r="Q198" s="34"/>
      <c r="R198" s="34"/>
      <c r="V198" s="34"/>
      <c r="Z198" s="34"/>
      <c r="AA198" s="198"/>
      <c r="AB198" s="34"/>
      <c r="AC198" s="34"/>
      <c r="AD198" s="34"/>
      <c r="AE198" s="34"/>
      <c r="AF198" s="34"/>
      <c r="AG198" s="34"/>
      <c r="AJ198" s="34"/>
      <c r="AK198" s="34"/>
      <c r="AL198" s="34"/>
      <c r="AM198" s="34"/>
    </row>
    <row r="199" spans="1:41" x14ac:dyDescent="0.3">
      <c r="A199" s="22"/>
      <c r="D199" s="23"/>
      <c r="E199" s="23"/>
      <c r="F199" s="32"/>
      <c r="H199" s="32"/>
      <c r="I199" s="32"/>
      <c r="J199" s="48"/>
      <c r="K199" s="48"/>
      <c r="L199" s="32"/>
      <c r="M199" s="32"/>
      <c r="N199" s="33"/>
      <c r="O199" s="33"/>
      <c r="P199" s="32"/>
      <c r="Q199" s="32"/>
      <c r="R199" s="32"/>
      <c r="U199" s="23"/>
      <c r="V199" s="32"/>
      <c r="Z199" s="32"/>
      <c r="AA199" s="48"/>
      <c r="AB199" s="32"/>
      <c r="AC199" s="32"/>
      <c r="AD199" s="33"/>
      <c r="AE199" s="33"/>
      <c r="AF199" s="32"/>
      <c r="AG199" s="32"/>
      <c r="AH199" s="44"/>
      <c r="AI199" s="44"/>
      <c r="AJ199" s="32"/>
      <c r="AK199" s="32"/>
      <c r="AL199" s="32"/>
      <c r="AM199" s="32"/>
      <c r="AN199" s="33"/>
      <c r="AO199" s="33"/>
    </row>
    <row r="200" spans="1:41" x14ac:dyDescent="0.3">
      <c r="F200" s="34"/>
      <c r="H200" s="34"/>
      <c r="I200" s="34"/>
      <c r="J200" s="198"/>
      <c r="K200" s="198"/>
      <c r="L200" s="34"/>
      <c r="M200" s="34"/>
      <c r="N200" s="34"/>
      <c r="O200" s="34"/>
      <c r="P200" s="34"/>
      <c r="Q200" s="34"/>
      <c r="R200" s="34"/>
      <c r="V200" s="34"/>
      <c r="Z200" s="34"/>
      <c r="AA200" s="198"/>
      <c r="AB200" s="34"/>
      <c r="AC200" s="34"/>
      <c r="AD200" s="34"/>
      <c r="AE200" s="34"/>
      <c r="AF200" s="34"/>
      <c r="AG200" s="34"/>
      <c r="AJ200" s="34"/>
      <c r="AK200" s="34"/>
      <c r="AL200" s="34"/>
      <c r="AM200" s="34"/>
    </row>
    <row r="201" spans="1:41" x14ac:dyDescent="0.3">
      <c r="R201" s="32"/>
    </row>
    <row r="202" spans="1:41" x14ac:dyDescent="0.3">
      <c r="R202" s="32"/>
    </row>
    <row r="203" spans="1:41" x14ac:dyDescent="0.3">
      <c r="R203" s="32"/>
    </row>
    <row r="204" spans="1:41" x14ac:dyDescent="0.3">
      <c r="A204" s="22"/>
      <c r="C204" s="23"/>
      <c r="D204" s="23"/>
      <c r="E204" s="23"/>
      <c r="H204" s="32"/>
      <c r="I204" s="32"/>
      <c r="J204" s="48"/>
      <c r="K204" s="48"/>
      <c r="L204" s="32"/>
      <c r="M204" s="32"/>
      <c r="N204" s="33"/>
      <c r="O204" s="33"/>
      <c r="P204" s="32"/>
      <c r="Q204" s="32"/>
      <c r="R204" s="32"/>
      <c r="T204" s="23"/>
      <c r="U204" s="23"/>
      <c r="Z204" s="32"/>
      <c r="AA204" s="48"/>
      <c r="AB204" s="32"/>
      <c r="AC204" s="32"/>
      <c r="AD204" s="33"/>
      <c r="AE204" s="33"/>
    </row>
    <row r="205" spans="1:41" x14ac:dyDescent="0.3">
      <c r="H205" s="32"/>
      <c r="I205" s="32"/>
      <c r="J205" s="48"/>
      <c r="K205" s="48"/>
      <c r="L205" s="32"/>
      <c r="M205" s="32"/>
      <c r="N205" s="33"/>
      <c r="O205" s="33"/>
      <c r="P205" s="32"/>
      <c r="Q205" s="32"/>
      <c r="R205" s="32"/>
      <c r="Z205" s="32"/>
      <c r="AA205" s="48"/>
      <c r="AB205" s="32"/>
      <c r="AC205" s="32"/>
      <c r="AD205" s="33"/>
      <c r="AE205" s="33"/>
    </row>
    <row r="206" spans="1:41" x14ac:dyDescent="0.3">
      <c r="A206" s="22"/>
      <c r="C206" s="23"/>
      <c r="F206" s="195"/>
      <c r="H206" s="195"/>
      <c r="I206" s="195"/>
      <c r="J206" s="58"/>
      <c r="K206" s="58"/>
      <c r="L206" s="195"/>
      <c r="M206" s="195"/>
      <c r="N206" s="33"/>
      <c r="O206" s="33"/>
      <c r="P206" s="32"/>
      <c r="Q206" s="32"/>
      <c r="R206" s="32"/>
      <c r="T206" s="23"/>
      <c r="V206" s="32"/>
      <c r="Z206" s="32"/>
      <c r="AA206" s="58"/>
      <c r="AB206" s="32"/>
      <c r="AC206" s="32"/>
      <c r="AD206" s="33"/>
      <c r="AE206" s="33"/>
      <c r="AF206" s="32"/>
      <c r="AG206" s="32"/>
      <c r="AH206" s="44"/>
      <c r="AI206" s="44"/>
      <c r="AJ206" s="32"/>
      <c r="AK206" s="32"/>
      <c r="AL206" s="32"/>
      <c r="AM206" s="32"/>
      <c r="AN206" s="33"/>
      <c r="AO206" s="33"/>
    </row>
    <row r="207" spans="1:41" x14ac:dyDescent="0.3">
      <c r="F207" s="195"/>
      <c r="H207" s="207"/>
      <c r="I207" s="207"/>
      <c r="J207" s="207"/>
      <c r="K207" s="207"/>
      <c r="R207" s="32"/>
      <c r="V207" s="32"/>
      <c r="AA207" s="207"/>
    </row>
    <row r="208" spans="1:41" x14ac:dyDescent="0.3">
      <c r="A208" s="22"/>
      <c r="C208" s="23"/>
      <c r="F208" s="195"/>
      <c r="H208" s="195"/>
      <c r="I208" s="195"/>
      <c r="J208" s="119"/>
      <c r="K208" s="119"/>
      <c r="L208" s="32"/>
      <c r="M208" s="32"/>
      <c r="N208" s="33"/>
      <c r="O208" s="33"/>
      <c r="P208" s="32"/>
      <c r="Q208" s="32"/>
      <c r="R208" s="32"/>
      <c r="T208" s="23"/>
      <c r="V208" s="32"/>
      <c r="Z208" s="32"/>
      <c r="AA208" s="119"/>
      <c r="AB208" s="32"/>
      <c r="AC208" s="32"/>
      <c r="AD208" s="33"/>
      <c r="AE208" s="33"/>
      <c r="AF208" s="32"/>
      <c r="AG208" s="32"/>
      <c r="AH208" s="44"/>
      <c r="AI208" s="44"/>
      <c r="AJ208" s="32"/>
      <c r="AK208" s="32"/>
      <c r="AL208" s="32"/>
      <c r="AM208" s="32"/>
      <c r="AN208" s="33"/>
      <c r="AO208" s="33"/>
    </row>
    <row r="209" spans="1:41" x14ac:dyDescent="0.3">
      <c r="F209" s="195"/>
      <c r="H209" s="207"/>
      <c r="I209" s="207"/>
      <c r="J209" s="207"/>
      <c r="K209" s="207"/>
      <c r="R209" s="32"/>
      <c r="V209" s="32"/>
      <c r="AA209" s="207"/>
    </row>
    <row r="210" spans="1:41" x14ac:dyDescent="0.3">
      <c r="A210" s="22"/>
      <c r="C210" s="23"/>
      <c r="F210" s="195"/>
      <c r="H210" s="195"/>
      <c r="I210" s="195"/>
      <c r="J210" s="197"/>
      <c r="K210" s="197"/>
      <c r="L210" s="32"/>
      <c r="M210" s="32"/>
      <c r="N210" s="33"/>
      <c r="O210" s="33"/>
      <c r="P210" s="32"/>
      <c r="Q210" s="32"/>
      <c r="R210" s="32"/>
      <c r="T210" s="23"/>
      <c r="V210" s="32"/>
      <c r="Z210" s="32"/>
      <c r="AA210" s="200"/>
      <c r="AB210" s="32"/>
      <c r="AC210" s="32"/>
      <c r="AD210" s="33"/>
      <c r="AE210" s="33"/>
      <c r="AF210" s="32"/>
      <c r="AG210" s="32"/>
      <c r="AH210" s="44"/>
      <c r="AI210" s="44"/>
      <c r="AJ210" s="32"/>
      <c r="AK210" s="32"/>
      <c r="AL210" s="32"/>
      <c r="AM210" s="32"/>
      <c r="AN210" s="33"/>
      <c r="AO210" s="33"/>
    </row>
    <row r="211" spans="1:41" x14ac:dyDescent="0.3">
      <c r="F211" s="34"/>
      <c r="H211" s="34"/>
      <c r="I211" s="34"/>
      <c r="J211" s="198"/>
      <c r="K211" s="198"/>
      <c r="L211" s="34"/>
      <c r="M211" s="34"/>
      <c r="N211" s="34"/>
      <c r="O211" s="34"/>
      <c r="P211" s="34"/>
      <c r="Q211" s="34"/>
      <c r="R211" s="34"/>
      <c r="S211" s="32"/>
      <c r="V211" s="34"/>
      <c r="Z211" s="34"/>
      <c r="AA211" s="198"/>
      <c r="AB211" s="34"/>
      <c r="AC211" s="34"/>
      <c r="AD211" s="34"/>
      <c r="AE211" s="34"/>
      <c r="AF211" s="34"/>
      <c r="AG211" s="34"/>
      <c r="AJ211" s="34"/>
      <c r="AK211" s="34"/>
      <c r="AL211" s="34"/>
      <c r="AM211" s="34"/>
    </row>
    <row r="212" spans="1:41" x14ac:dyDescent="0.3">
      <c r="A212" s="22"/>
      <c r="D212" s="23"/>
      <c r="E212" s="23"/>
      <c r="F212" s="32"/>
      <c r="H212" s="32"/>
      <c r="I212" s="32"/>
      <c r="J212" s="48"/>
      <c r="K212" s="48"/>
      <c r="L212" s="32"/>
      <c r="M212" s="32"/>
      <c r="N212" s="33"/>
      <c r="O212" s="33"/>
      <c r="P212" s="195"/>
      <c r="Q212" s="195"/>
      <c r="R212" s="32"/>
      <c r="S212" s="32"/>
      <c r="U212" s="23"/>
      <c r="V212" s="32"/>
      <c r="Z212" s="32"/>
      <c r="AA212" s="48"/>
      <c r="AB212" s="32"/>
      <c r="AC212" s="32"/>
      <c r="AD212" s="33"/>
      <c r="AE212" s="33"/>
      <c r="AF212" s="32"/>
      <c r="AG212" s="32"/>
      <c r="AH212" s="44"/>
      <c r="AI212" s="44"/>
      <c r="AJ212" s="195"/>
      <c r="AK212" s="195"/>
      <c r="AL212" s="32"/>
      <c r="AM212" s="32"/>
      <c r="AN212" s="33"/>
      <c r="AO212" s="33"/>
    </row>
    <row r="213" spans="1:41" x14ac:dyDescent="0.3">
      <c r="F213" s="34"/>
      <c r="H213" s="34"/>
      <c r="I213" s="34"/>
      <c r="J213" s="198"/>
      <c r="K213" s="198"/>
      <c r="L213" s="34"/>
      <c r="M213" s="34"/>
      <c r="N213" s="34"/>
      <c r="O213" s="34"/>
      <c r="P213" s="34"/>
      <c r="Q213" s="34"/>
      <c r="R213" s="34"/>
      <c r="S213" s="32"/>
      <c r="V213" s="34"/>
      <c r="Z213" s="34"/>
      <c r="AA213" s="198"/>
      <c r="AB213" s="34"/>
      <c r="AC213" s="34"/>
      <c r="AD213" s="34"/>
      <c r="AE213" s="34"/>
      <c r="AF213" s="34"/>
      <c r="AG213" s="34"/>
      <c r="AJ213" s="34"/>
      <c r="AK213" s="34"/>
      <c r="AL213" s="34"/>
      <c r="AM213" s="34"/>
    </row>
    <row r="214" spans="1:41" x14ac:dyDescent="0.3">
      <c r="R214" s="32"/>
    </row>
    <row r="215" spans="1:41" x14ac:dyDescent="0.3">
      <c r="F215" s="32"/>
      <c r="H215" s="32"/>
      <c r="I215" s="32"/>
      <c r="J215" s="48"/>
      <c r="K215" s="48"/>
      <c r="L215" s="32"/>
      <c r="M215" s="32"/>
      <c r="N215" s="32"/>
      <c r="O215" s="32"/>
      <c r="P215" s="32"/>
      <c r="Q215" s="32"/>
      <c r="R215" s="32"/>
      <c r="V215" s="32"/>
      <c r="Z215" s="32"/>
      <c r="AA215" s="48"/>
      <c r="AB215" s="32"/>
      <c r="AC215" s="32"/>
      <c r="AD215" s="32"/>
      <c r="AE215" s="32"/>
    </row>
    <row r="216" spans="1:41" x14ac:dyDescent="0.3">
      <c r="C216" s="23"/>
      <c r="F216" s="32"/>
      <c r="H216" s="32"/>
      <c r="I216" s="32"/>
      <c r="J216" s="48"/>
      <c r="K216" s="48"/>
      <c r="L216" s="32"/>
      <c r="M216" s="32"/>
      <c r="N216" s="32"/>
      <c r="O216" s="32"/>
      <c r="P216" s="32"/>
      <c r="Q216" s="32"/>
      <c r="R216" s="32"/>
      <c r="T216" s="23"/>
      <c r="V216" s="32"/>
      <c r="Z216" s="32"/>
      <c r="AA216" s="48"/>
      <c r="AB216" s="32"/>
      <c r="AC216" s="32"/>
      <c r="AD216" s="32"/>
      <c r="AE216" s="32"/>
    </row>
    <row r="217" spans="1:41" x14ac:dyDescent="0.3">
      <c r="C217" s="23"/>
      <c r="T217" s="23"/>
    </row>
    <row r="218" spans="1:41" x14ac:dyDescent="0.3">
      <c r="A218" s="23"/>
    </row>
    <row r="220" spans="1:41" x14ac:dyDescent="0.3">
      <c r="J220" s="22"/>
      <c r="K220" s="22"/>
      <c r="AA220" s="22"/>
    </row>
    <row r="221" spans="1:41" x14ac:dyDescent="0.3">
      <c r="H221" s="23"/>
      <c r="I221" s="23"/>
      <c r="Z221" s="23"/>
    </row>
    <row r="222" spans="1:41" x14ac:dyDescent="0.3">
      <c r="J222" s="22"/>
      <c r="K222" s="22"/>
      <c r="AA222" s="22"/>
    </row>
    <row r="223" spans="1:41" x14ac:dyDescent="0.3">
      <c r="L223" s="23"/>
      <c r="M223" s="23"/>
      <c r="AB223" s="23"/>
      <c r="AC223" s="23"/>
    </row>
    <row r="224" spans="1:41" x14ac:dyDescent="0.3">
      <c r="A224" s="22"/>
      <c r="R224" s="23"/>
      <c r="AL224" s="23"/>
      <c r="AM224" s="23"/>
    </row>
    <row r="225" spans="1:41" x14ac:dyDescent="0.3">
      <c r="A225" s="22"/>
      <c r="R225" s="23"/>
      <c r="AL225" s="23"/>
      <c r="AM225" s="23"/>
    </row>
    <row r="226" spans="1:41" x14ac:dyDescent="0.3">
      <c r="A226" s="23"/>
      <c r="R226" s="23"/>
      <c r="AL226" s="23"/>
      <c r="AM226" s="23"/>
    </row>
    <row r="227" spans="1:41" x14ac:dyDescent="0.3">
      <c r="L227" s="23"/>
      <c r="M227" s="23"/>
      <c r="R227" s="22"/>
      <c r="AB227" s="23"/>
      <c r="AC227" s="23"/>
      <c r="AL227" s="22"/>
      <c r="AM227" s="22"/>
    </row>
    <row r="228" spans="1:4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1:41" x14ac:dyDescent="0.3">
      <c r="L229" s="30"/>
      <c r="M229" s="30"/>
      <c r="N229" s="30"/>
      <c r="O229" s="30"/>
      <c r="R229" s="30"/>
      <c r="AB229" s="30"/>
      <c r="AC229" s="30"/>
      <c r="AD229" s="30"/>
      <c r="AE229" s="30"/>
      <c r="AF229" s="30"/>
      <c r="AG229" s="30"/>
      <c r="AH229" s="30"/>
      <c r="AI229" s="30"/>
      <c r="AL229" s="30"/>
      <c r="AM229" s="30"/>
      <c r="AN229" s="30"/>
      <c r="AO229" s="30"/>
    </row>
    <row r="230" spans="1:41" x14ac:dyDescent="0.3">
      <c r="L230" s="30"/>
      <c r="M230" s="30"/>
      <c r="N230" s="30"/>
      <c r="O230" s="30"/>
      <c r="R230" s="30"/>
      <c r="AA230" s="30"/>
      <c r="AB230" s="30"/>
      <c r="AC230" s="30"/>
      <c r="AD230" s="30"/>
      <c r="AE230" s="30"/>
      <c r="AF230" s="30"/>
      <c r="AG230" s="30"/>
      <c r="AH230" s="30"/>
      <c r="AI230" s="30"/>
      <c r="AL230" s="30"/>
      <c r="AM230" s="30"/>
      <c r="AN230" s="30"/>
      <c r="AO230" s="30"/>
    </row>
    <row r="231" spans="1:41" x14ac:dyDescent="0.3">
      <c r="A231" s="30"/>
      <c r="C231" s="30"/>
      <c r="D231" s="30"/>
      <c r="E231" s="30"/>
      <c r="F231" s="30"/>
      <c r="J231" s="30"/>
      <c r="K231" s="30"/>
      <c r="L231" s="30"/>
      <c r="M231" s="30"/>
      <c r="N231" s="30"/>
      <c r="O231" s="30"/>
      <c r="P231" s="30"/>
      <c r="Q231" s="30"/>
      <c r="R231" s="30"/>
      <c r="T231" s="30"/>
      <c r="U231" s="30"/>
      <c r="V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x14ac:dyDescent="0.3">
      <c r="A232" s="30"/>
      <c r="C232" s="30"/>
      <c r="D232" s="30"/>
      <c r="E232" s="30"/>
      <c r="F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T232" s="30"/>
      <c r="U232" s="30"/>
      <c r="V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x14ac:dyDescent="0.3">
      <c r="C233" s="30"/>
      <c r="D233" s="30"/>
      <c r="E233" s="30"/>
      <c r="F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T233" s="30"/>
      <c r="U233" s="30"/>
      <c r="V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1:41" x14ac:dyDescent="0.3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x14ac:dyDescent="0.3">
      <c r="A236" s="22"/>
      <c r="C236" s="23"/>
      <c r="D236" s="23"/>
      <c r="E236" s="23"/>
      <c r="T236" s="23"/>
      <c r="U236" s="23"/>
    </row>
    <row r="237" spans="1:41" x14ac:dyDescent="0.3">
      <c r="A237" s="22"/>
      <c r="D237" s="23"/>
      <c r="E237" s="23"/>
      <c r="U237" s="23"/>
    </row>
    <row r="239" spans="1:41" x14ac:dyDescent="0.3">
      <c r="A239" s="22"/>
      <c r="C239" s="23"/>
      <c r="F239" s="32"/>
      <c r="J239" s="59"/>
      <c r="K239" s="59"/>
      <c r="L239" s="32"/>
      <c r="M239" s="32"/>
      <c r="R239" s="32"/>
      <c r="T239" s="23"/>
      <c r="V239" s="32"/>
      <c r="AA239" s="59"/>
      <c r="AB239" s="32"/>
      <c r="AC239" s="32"/>
      <c r="AL239" s="32"/>
      <c r="AM239" s="32"/>
    </row>
    <row r="240" spans="1:41" x14ac:dyDescent="0.3">
      <c r="F240" s="32"/>
      <c r="R240" s="32"/>
      <c r="V240" s="32"/>
      <c r="AL240" s="32"/>
      <c r="AM240" s="32"/>
    </row>
    <row r="241" spans="1:41" x14ac:dyDescent="0.3">
      <c r="A241" s="22"/>
      <c r="C241" s="23"/>
      <c r="F241" s="195"/>
      <c r="H241" s="195"/>
      <c r="I241" s="195"/>
      <c r="J241" s="119"/>
      <c r="K241" s="119"/>
      <c r="L241" s="32"/>
      <c r="M241" s="32"/>
      <c r="N241" s="33"/>
      <c r="O241" s="33"/>
      <c r="P241" s="32"/>
      <c r="Q241" s="32"/>
      <c r="R241" s="32"/>
      <c r="T241" s="23"/>
      <c r="V241" s="32"/>
      <c r="Z241" s="32"/>
      <c r="AA241" s="119"/>
      <c r="AB241" s="32"/>
      <c r="AC241" s="32"/>
      <c r="AD241" s="33"/>
      <c r="AE241" s="33"/>
      <c r="AF241" s="32"/>
      <c r="AG241" s="32"/>
      <c r="AH241" s="44"/>
      <c r="AI241" s="44"/>
      <c r="AJ241" s="32"/>
      <c r="AK241" s="32"/>
      <c r="AL241" s="32"/>
      <c r="AM241" s="32"/>
      <c r="AN241" s="33"/>
      <c r="AO241" s="33"/>
    </row>
    <row r="242" spans="1:41" x14ac:dyDescent="0.3">
      <c r="A242" s="22"/>
      <c r="C242" s="23"/>
      <c r="F242" s="195"/>
      <c r="H242" s="207"/>
      <c r="I242" s="207"/>
      <c r="J242" s="119"/>
      <c r="K242" s="119"/>
      <c r="L242" s="32"/>
      <c r="M242" s="32"/>
      <c r="N242" s="33"/>
      <c r="O242" s="33"/>
      <c r="P242" s="32"/>
      <c r="Q242" s="32"/>
      <c r="R242" s="32"/>
      <c r="T242" s="23"/>
      <c r="V242" s="32"/>
      <c r="Z242" s="32"/>
      <c r="AA242" s="119"/>
      <c r="AB242" s="32"/>
      <c r="AC242" s="32"/>
      <c r="AD242" s="33"/>
      <c r="AE242" s="33"/>
      <c r="AF242" s="32"/>
      <c r="AG242" s="32"/>
      <c r="AH242" s="44"/>
      <c r="AI242" s="44"/>
      <c r="AJ242" s="32"/>
      <c r="AK242" s="32"/>
      <c r="AL242" s="32"/>
      <c r="AM242" s="32"/>
      <c r="AN242" s="33"/>
      <c r="AO242" s="33"/>
    </row>
    <row r="243" spans="1:41" x14ac:dyDescent="0.3">
      <c r="F243" s="34"/>
      <c r="H243" s="32"/>
      <c r="I243" s="32"/>
      <c r="J243" s="198"/>
      <c r="K243" s="198"/>
      <c r="L243" s="34"/>
      <c r="M243" s="34"/>
      <c r="N243" s="34"/>
      <c r="O243" s="34"/>
      <c r="P243" s="34"/>
      <c r="Q243" s="34"/>
      <c r="R243" s="34"/>
      <c r="V243" s="34"/>
      <c r="Z243" s="32"/>
      <c r="AA243" s="198"/>
      <c r="AB243" s="34"/>
      <c r="AC243" s="34"/>
      <c r="AD243" s="34"/>
      <c r="AE243" s="34"/>
      <c r="AF243" s="34"/>
      <c r="AG243" s="34"/>
      <c r="AJ243" s="34"/>
      <c r="AK243" s="34"/>
      <c r="AL243" s="34"/>
      <c r="AM243" s="34"/>
    </row>
    <row r="244" spans="1:41" x14ac:dyDescent="0.3">
      <c r="A244" s="22"/>
      <c r="C244" s="23"/>
      <c r="F244" s="32"/>
      <c r="H244" s="32"/>
      <c r="I244" s="32"/>
      <c r="J244" s="48"/>
      <c r="K244" s="48"/>
      <c r="L244" s="32"/>
      <c r="M244" s="32"/>
      <c r="N244" s="33"/>
      <c r="O244" s="33"/>
      <c r="P244" s="32"/>
      <c r="Q244" s="32"/>
      <c r="R244" s="32"/>
      <c r="T244" s="23"/>
      <c r="V244" s="32"/>
      <c r="Z244" s="32"/>
      <c r="AA244" s="48"/>
      <c r="AB244" s="32"/>
      <c r="AC244" s="32"/>
      <c r="AD244" s="33"/>
      <c r="AE244" s="33"/>
      <c r="AF244" s="32"/>
      <c r="AG244" s="32"/>
      <c r="AH244" s="44"/>
      <c r="AI244" s="44"/>
      <c r="AJ244" s="32"/>
      <c r="AK244" s="32"/>
      <c r="AL244" s="32"/>
      <c r="AM244" s="32"/>
      <c r="AN244" s="33"/>
      <c r="AO244" s="33"/>
    </row>
    <row r="245" spans="1:41" x14ac:dyDescent="0.3">
      <c r="F245" s="34"/>
      <c r="H245" s="32"/>
      <c r="I245" s="32"/>
      <c r="J245" s="198"/>
      <c r="K245" s="198"/>
      <c r="L245" s="34"/>
      <c r="M245" s="34"/>
      <c r="N245" s="34"/>
      <c r="O245" s="34"/>
      <c r="P245" s="34"/>
      <c r="Q245" s="34"/>
      <c r="R245" s="34"/>
      <c r="V245" s="34"/>
      <c r="Z245" s="32"/>
      <c r="AA245" s="198"/>
      <c r="AB245" s="34"/>
      <c r="AC245" s="34"/>
      <c r="AD245" s="34"/>
      <c r="AE245" s="34"/>
      <c r="AF245" s="34"/>
      <c r="AG245" s="34"/>
      <c r="AJ245" s="34"/>
      <c r="AK245" s="34"/>
      <c r="AL245" s="34"/>
      <c r="AM245" s="34"/>
    </row>
    <row r="246" spans="1:41" x14ac:dyDescent="0.3">
      <c r="F246" s="32"/>
      <c r="R246" s="32"/>
      <c r="V246" s="32"/>
      <c r="AL246" s="32"/>
      <c r="AM246" s="32"/>
    </row>
    <row r="247" spans="1:41" x14ac:dyDescent="0.3">
      <c r="A247" s="22"/>
      <c r="C247" s="23"/>
      <c r="F247" s="32"/>
      <c r="R247" s="32"/>
      <c r="T247" s="23"/>
      <c r="V247" s="32"/>
      <c r="AL247" s="32"/>
      <c r="AM247" s="32"/>
    </row>
    <row r="248" spans="1:41" x14ac:dyDescent="0.3">
      <c r="F248" s="32"/>
      <c r="R248" s="32"/>
      <c r="V248" s="32"/>
      <c r="AL248" s="32"/>
      <c r="AM248" s="32"/>
    </row>
    <row r="249" spans="1:41" x14ac:dyDescent="0.3">
      <c r="A249" s="22"/>
      <c r="C249" s="23"/>
      <c r="F249" s="32"/>
      <c r="H249" s="195"/>
      <c r="I249" s="195"/>
      <c r="J249" s="197"/>
      <c r="K249" s="197"/>
      <c r="L249" s="32"/>
      <c r="M249" s="32"/>
      <c r="N249" s="33"/>
      <c r="O249" s="33"/>
      <c r="P249" s="195"/>
      <c r="Q249" s="195"/>
      <c r="R249" s="32"/>
      <c r="T249" s="23"/>
      <c r="V249" s="32"/>
      <c r="Z249" s="32"/>
      <c r="AA249" s="200"/>
      <c r="AB249" s="32"/>
      <c r="AC249" s="32"/>
      <c r="AD249" s="33"/>
      <c r="AE249" s="33"/>
      <c r="AF249" s="32"/>
      <c r="AG249" s="32"/>
      <c r="AH249" s="44"/>
      <c r="AI249" s="44"/>
      <c r="AJ249" s="195"/>
      <c r="AK249" s="195"/>
      <c r="AL249" s="32"/>
      <c r="AM249" s="32"/>
      <c r="AN249" s="33"/>
      <c r="AO249" s="33"/>
    </row>
    <row r="250" spans="1:41" x14ac:dyDescent="0.3">
      <c r="F250" s="34"/>
      <c r="H250" s="34"/>
      <c r="I250" s="34"/>
      <c r="J250" s="198"/>
      <c r="K250" s="198"/>
      <c r="L250" s="34"/>
      <c r="M250" s="34"/>
      <c r="N250" s="34"/>
      <c r="O250" s="34"/>
      <c r="P250" s="34"/>
      <c r="Q250" s="34"/>
      <c r="R250" s="34"/>
      <c r="V250" s="34"/>
      <c r="Z250" s="34"/>
      <c r="AA250" s="198"/>
      <c r="AB250" s="34"/>
      <c r="AC250" s="34"/>
      <c r="AD250" s="34"/>
      <c r="AE250" s="34"/>
      <c r="AF250" s="34"/>
      <c r="AG250" s="34"/>
      <c r="AJ250" s="34"/>
      <c r="AK250" s="34"/>
      <c r="AL250" s="34"/>
      <c r="AM250" s="34"/>
    </row>
    <row r="252" spans="1:41" x14ac:dyDescent="0.3">
      <c r="A252" s="22"/>
      <c r="C252" s="23"/>
      <c r="F252" s="32"/>
      <c r="H252" s="32"/>
      <c r="I252" s="32"/>
      <c r="J252" s="59"/>
      <c r="K252" s="59"/>
      <c r="L252" s="32"/>
      <c r="M252" s="32"/>
      <c r="N252" s="33"/>
      <c r="O252" s="33"/>
      <c r="P252" s="32"/>
      <c r="Q252" s="32"/>
      <c r="R252" s="32"/>
      <c r="T252" s="23"/>
      <c r="V252" s="32"/>
      <c r="Z252" s="32"/>
      <c r="AA252" s="59"/>
      <c r="AB252" s="32"/>
      <c r="AC252" s="32"/>
      <c r="AD252" s="33"/>
      <c r="AE252" s="33"/>
      <c r="AF252" s="32"/>
      <c r="AG252" s="32"/>
      <c r="AH252" s="44"/>
      <c r="AI252" s="44"/>
      <c r="AJ252" s="32"/>
      <c r="AK252" s="32"/>
      <c r="AL252" s="32"/>
      <c r="AM252" s="32"/>
      <c r="AN252" s="33"/>
      <c r="AO252" s="33"/>
    </row>
    <row r="253" spans="1:41" x14ac:dyDescent="0.3">
      <c r="F253" s="34"/>
      <c r="H253" s="34"/>
      <c r="I253" s="34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Z253" s="34"/>
      <c r="AA253" s="198"/>
      <c r="AB253" s="34"/>
      <c r="AC253" s="34"/>
      <c r="AD253" s="34"/>
      <c r="AE253" s="34"/>
      <c r="AF253" s="34"/>
      <c r="AG253" s="34"/>
      <c r="AJ253" s="34"/>
      <c r="AK253" s="34"/>
      <c r="AL253" s="34"/>
      <c r="AM253" s="34"/>
    </row>
    <row r="254" spans="1:41" x14ac:dyDescent="0.3">
      <c r="R254" s="32"/>
      <c r="AH254" s="32"/>
      <c r="AI254" s="32"/>
    </row>
    <row r="255" spans="1:41" x14ac:dyDescent="0.3">
      <c r="F255" s="32"/>
      <c r="H255" s="32"/>
      <c r="I255" s="32"/>
      <c r="J255" s="48"/>
      <c r="K255" s="48"/>
      <c r="L255" s="32"/>
      <c r="M255" s="32"/>
      <c r="N255" s="32"/>
      <c r="O255" s="32"/>
      <c r="P255" s="32"/>
      <c r="Q255" s="32"/>
      <c r="R255" s="32"/>
      <c r="V255" s="32"/>
      <c r="Z255" s="32"/>
      <c r="AA255" s="48"/>
      <c r="AB255" s="32"/>
      <c r="AC255" s="32"/>
      <c r="AD255" s="32"/>
      <c r="AE255" s="32"/>
      <c r="AF255" s="32"/>
      <c r="AG255" s="32"/>
      <c r="AH255" s="32"/>
      <c r="AI255" s="32"/>
    </row>
    <row r="256" spans="1:41" x14ac:dyDescent="0.3">
      <c r="C256" s="23"/>
      <c r="F256" s="32"/>
      <c r="H256" s="32"/>
      <c r="I256" s="32"/>
      <c r="J256" s="48"/>
      <c r="K256" s="48"/>
      <c r="L256" s="32"/>
      <c r="M256" s="32"/>
      <c r="N256" s="32"/>
      <c r="O256" s="32"/>
      <c r="P256" s="32"/>
      <c r="Q256" s="32"/>
      <c r="R256" s="32"/>
      <c r="T256" s="23"/>
      <c r="V256" s="32"/>
      <c r="Z256" s="32"/>
      <c r="AA256" s="48"/>
      <c r="AB256" s="32"/>
      <c r="AC256" s="32"/>
      <c r="AD256" s="32"/>
      <c r="AE256" s="32"/>
      <c r="AF256" s="32"/>
      <c r="AG256" s="32"/>
      <c r="AH256" s="32"/>
      <c r="AI256" s="32"/>
    </row>
    <row r="257" spans="1:41" x14ac:dyDescent="0.3">
      <c r="A257" s="23"/>
    </row>
    <row r="259" spans="1:41" x14ac:dyDescent="0.3">
      <c r="J259" s="22"/>
      <c r="K259" s="22"/>
      <c r="AA259" s="22"/>
    </row>
    <row r="260" spans="1:41" x14ac:dyDescent="0.3">
      <c r="H260" s="23"/>
      <c r="I260" s="23"/>
      <c r="Z260" s="23"/>
    </row>
    <row r="261" spans="1:41" x14ac:dyDescent="0.3">
      <c r="J261" s="22"/>
      <c r="K261" s="22"/>
      <c r="AA261" s="22"/>
    </row>
    <row r="262" spans="1:41" x14ac:dyDescent="0.3">
      <c r="L262" s="23"/>
      <c r="M262" s="23"/>
      <c r="AB262" s="23"/>
      <c r="AC262" s="23"/>
    </row>
    <row r="263" spans="1:41" x14ac:dyDescent="0.3">
      <c r="A263" s="22"/>
      <c r="R263" s="23"/>
      <c r="AL263" s="23"/>
      <c r="AM263" s="23"/>
    </row>
    <row r="264" spans="1:41" x14ac:dyDescent="0.3">
      <c r="A264" s="22"/>
      <c r="R264" s="23"/>
      <c r="AL264" s="23"/>
      <c r="AM264" s="23"/>
    </row>
    <row r="265" spans="1:41" x14ac:dyDescent="0.3">
      <c r="A265" s="23"/>
      <c r="R265" s="23"/>
      <c r="AL265" s="23"/>
      <c r="AM265" s="23"/>
    </row>
    <row r="266" spans="1:41" x14ac:dyDescent="0.3">
      <c r="L266" s="23"/>
      <c r="M266" s="23"/>
      <c r="R266" s="22"/>
      <c r="AB266" s="23"/>
      <c r="AC266" s="23"/>
      <c r="AL266" s="22"/>
      <c r="AM266" s="22"/>
    </row>
    <row r="267" spans="1:4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1:41" x14ac:dyDescent="0.3">
      <c r="L268" s="30"/>
      <c r="M268" s="30"/>
      <c r="N268" s="30"/>
      <c r="O268" s="30"/>
      <c r="R268" s="30"/>
      <c r="AB268" s="30"/>
      <c r="AC268" s="30"/>
      <c r="AD268" s="30"/>
      <c r="AE268" s="30"/>
      <c r="AF268" s="30"/>
      <c r="AG268" s="30"/>
      <c r="AH268" s="30"/>
      <c r="AI268" s="30"/>
      <c r="AL268" s="30"/>
      <c r="AM268" s="30"/>
      <c r="AN268" s="30"/>
      <c r="AO268" s="30"/>
    </row>
    <row r="269" spans="1:41" x14ac:dyDescent="0.3">
      <c r="L269" s="30"/>
      <c r="M269" s="30"/>
      <c r="N269" s="30"/>
      <c r="O269" s="30"/>
      <c r="R269" s="30"/>
      <c r="AA269" s="30"/>
      <c r="AB269" s="30"/>
      <c r="AC269" s="30"/>
      <c r="AD269" s="30"/>
      <c r="AE269" s="30"/>
      <c r="AF269" s="30"/>
      <c r="AG269" s="30"/>
      <c r="AH269" s="30"/>
      <c r="AI269" s="30"/>
      <c r="AL269" s="30"/>
      <c r="AM269" s="30"/>
      <c r="AN269" s="30"/>
      <c r="AO269" s="30"/>
    </row>
    <row r="270" spans="1:41" x14ac:dyDescent="0.3">
      <c r="A270" s="30"/>
      <c r="C270" s="30"/>
      <c r="D270" s="30"/>
      <c r="E270" s="30"/>
      <c r="F270" s="30"/>
      <c r="J270" s="30"/>
      <c r="K270" s="30"/>
      <c r="L270" s="30"/>
      <c r="M270" s="30"/>
      <c r="N270" s="30"/>
      <c r="O270" s="30"/>
      <c r="P270" s="30"/>
      <c r="Q270" s="30"/>
      <c r="R270" s="30"/>
      <c r="T270" s="30"/>
      <c r="U270" s="30"/>
      <c r="V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x14ac:dyDescent="0.3">
      <c r="A271" s="30"/>
      <c r="C271" s="30"/>
      <c r="D271" s="30"/>
      <c r="E271" s="30"/>
      <c r="F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T271" s="30"/>
      <c r="U271" s="30"/>
      <c r="V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x14ac:dyDescent="0.3">
      <c r="C272" s="30"/>
      <c r="D272" s="30"/>
      <c r="E272" s="30"/>
      <c r="F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T272" s="30"/>
      <c r="U272" s="30"/>
      <c r="V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1:41" x14ac:dyDescent="0.3"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x14ac:dyDescent="0.3">
      <c r="A275" s="22"/>
      <c r="C275" s="23"/>
      <c r="D275" s="23"/>
      <c r="E275" s="23"/>
      <c r="T275" s="23"/>
      <c r="U275" s="23"/>
    </row>
    <row r="276" spans="1:41" x14ac:dyDescent="0.3">
      <c r="A276" s="22"/>
      <c r="C276" s="23"/>
      <c r="T276" s="23"/>
    </row>
    <row r="278" spans="1:41" x14ac:dyDescent="0.3">
      <c r="A278" s="22"/>
      <c r="C278" s="23"/>
      <c r="F278" s="195"/>
      <c r="H278" s="195"/>
      <c r="I278" s="195"/>
      <c r="J278" s="119"/>
      <c r="K278" s="119"/>
      <c r="L278" s="32"/>
      <c r="M278" s="32"/>
      <c r="N278" s="33"/>
      <c r="O278" s="33"/>
      <c r="P278" s="22"/>
      <c r="Q278" s="22"/>
      <c r="R278" s="32"/>
      <c r="T278" s="23"/>
      <c r="V278" s="32"/>
      <c r="Z278" s="195"/>
      <c r="AA278" s="119"/>
      <c r="AB278" s="32"/>
      <c r="AC278" s="32"/>
      <c r="AD278" s="33"/>
      <c r="AE278" s="33"/>
      <c r="AF278" s="32"/>
      <c r="AG278" s="32"/>
      <c r="AH278" s="44"/>
      <c r="AI278" s="44"/>
      <c r="AJ278" s="22"/>
      <c r="AK278" s="22"/>
      <c r="AL278" s="32"/>
      <c r="AM278" s="32"/>
      <c r="AN278" s="33"/>
      <c r="AO278" s="33"/>
    </row>
    <row r="279" spans="1:41" x14ac:dyDescent="0.3">
      <c r="F279" s="34"/>
      <c r="H279" s="32"/>
      <c r="I279" s="32"/>
      <c r="J279" s="198"/>
      <c r="K279" s="198"/>
      <c r="L279" s="34"/>
      <c r="M279" s="34"/>
      <c r="N279" s="34"/>
      <c r="O279" s="34"/>
      <c r="P279" s="34"/>
      <c r="Q279" s="34"/>
      <c r="R279" s="34"/>
      <c r="V279" s="34"/>
      <c r="Z279" s="32"/>
      <c r="AA279" s="198"/>
      <c r="AB279" s="34"/>
      <c r="AC279" s="34"/>
      <c r="AD279" s="34"/>
      <c r="AE279" s="34"/>
      <c r="AF279" s="34"/>
      <c r="AG279" s="34"/>
      <c r="AJ279" s="34"/>
      <c r="AK279" s="34"/>
      <c r="AL279" s="34"/>
      <c r="AM279" s="34"/>
      <c r="AN279" s="33"/>
      <c r="AO279" s="33"/>
    </row>
    <row r="280" spans="1:41" x14ac:dyDescent="0.3">
      <c r="A280" s="22"/>
      <c r="C280" s="23"/>
      <c r="F280" s="195"/>
      <c r="H280" s="195"/>
      <c r="I280" s="195"/>
      <c r="J280" s="206"/>
      <c r="K280" s="206"/>
      <c r="L280" s="32"/>
      <c r="M280" s="32"/>
      <c r="N280" s="33"/>
      <c r="O280" s="33"/>
      <c r="P280" s="32"/>
      <c r="Q280" s="32"/>
      <c r="R280" s="32"/>
      <c r="S280" s="32"/>
      <c r="T280" s="23"/>
      <c r="V280" s="195"/>
      <c r="Z280" s="195"/>
      <c r="AA280" s="206"/>
      <c r="AB280" s="32"/>
      <c r="AC280" s="32"/>
      <c r="AD280" s="33"/>
      <c r="AE280" s="33"/>
      <c r="AF280" s="32"/>
      <c r="AG280" s="32"/>
      <c r="AH280" s="33"/>
      <c r="AI280" s="33"/>
      <c r="AJ280" s="32"/>
      <c r="AK280" s="32"/>
      <c r="AL280" s="32"/>
      <c r="AM280" s="32"/>
      <c r="AN280" s="33"/>
      <c r="AO280" s="33"/>
    </row>
    <row r="281" spans="1:41" x14ac:dyDescent="0.3">
      <c r="A281" s="22"/>
      <c r="C281" s="23"/>
      <c r="F281" s="195"/>
      <c r="H281" s="195"/>
      <c r="I281" s="195"/>
      <c r="J281" s="119"/>
      <c r="K281" s="119"/>
      <c r="L281" s="32"/>
      <c r="M281" s="32"/>
      <c r="N281" s="33"/>
      <c r="O281" s="33"/>
      <c r="P281" s="32"/>
      <c r="Q281" s="32"/>
      <c r="R281" s="32"/>
      <c r="T281" s="23"/>
      <c r="V281" s="195"/>
      <c r="Z281" s="32"/>
      <c r="AA281" s="119"/>
      <c r="AB281" s="32"/>
      <c r="AC281" s="32"/>
      <c r="AD281" s="33"/>
      <c r="AE281" s="33"/>
      <c r="AF281" s="32"/>
      <c r="AG281" s="32"/>
      <c r="AH281" s="44"/>
      <c r="AI281" s="44"/>
      <c r="AJ281" s="32"/>
      <c r="AK281" s="32"/>
      <c r="AL281" s="32"/>
      <c r="AM281" s="32"/>
      <c r="AN281" s="33"/>
      <c r="AO281" s="33"/>
    </row>
    <row r="282" spans="1:41" x14ac:dyDescent="0.3">
      <c r="A282" s="22"/>
      <c r="C282" s="23"/>
      <c r="F282" s="195"/>
      <c r="H282" s="195"/>
      <c r="I282" s="195"/>
      <c r="J282" s="119"/>
      <c r="K282" s="119"/>
      <c r="L282" s="32"/>
      <c r="M282" s="32"/>
      <c r="N282" s="33"/>
      <c r="O282" s="33"/>
      <c r="P282" s="32"/>
      <c r="Q282" s="32"/>
      <c r="R282" s="32"/>
      <c r="T282" s="23"/>
      <c r="V282" s="195"/>
      <c r="Z282" s="32"/>
      <c r="AA282" s="119"/>
      <c r="AB282" s="32"/>
      <c r="AC282" s="32"/>
      <c r="AD282" s="33"/>
      <c r="AE282" s="33"/>
      <c r="AF282" s="32"/>
      <c r="AG282" s="32"/>
      <c r="AH282" s="44"/>
      <c r="AI282" s="44"/>
      <c r="AJ282" s="32"/>
      <c r="AK282" s="32"/>
      <c r="AL282" s="32"/>
      <c r="AM282" s="32"/>
      <c r="AN282" s="33"/>
      <c r="AO282" s="33"/>
    </row>
    <row r="283" spans="1:41" x14ac:dyDescent="0.3">
      <c r="F283" s="34"/>
      <c r="H283" s="34"/>
      <c r="I283" s="34"/>
      <c r="J283" s="198"/>
      <c r="K283" s="198"/>
      <c r="L283" s="34"/>
      <c r="M283" s="34"/>
      <c r="N283" s="34"/>
      <c r="O283" s="34"/>
      <c r="P283" s="34"/>
      <c r="Q283" s="34"/>
      <c r="R283" s="34"/>
      <c r="V283" s="34"/>
      <c r="Z283" s="34"/>
      <c r="AA283" s="198"/>
      <c r="AB283" s="34"/>
      <c r="AC283" s="34"/>
      <c r="AD283" s="34"/>
      <c r="AE283" s="34"/>
      <c r="AF283" s="34"/>
      <c r="AG283" s="34"/>
      <c r="AJ283" s="34"/>
      <c r="AK283" s="34"/>
      <c r="AL283" s="34"/>
      <c r="AM283" s="34"/>
      <c r="AN283" s="33"/>
      <c r="AO283" s="33"/>
    </row>
    <row r="284" spans="1:41" x14ac:dyDescent="0.3">
      <c r="A284" s="22"/>
      <c r="C284" s="23"/>
      <c r="F284" s="32"/>
      <c r="H284" s="32"/>
      <c r="I284" s="32"/>
      <c r="J284" s="48"/>
      <c r="K284" s="48"/>
      <c r="L284" s="32"/>
      <c r="M284" s="32"/>
      <c r="N284" s="33"/>
      <c r="O284" s="33"/>
      <c r="P284" s="32"/>
      <c r="Q284" s="32"/>
      <c r="R284" s="32"/>
      <c r="T284" s="23"/>
      <c r="V284" s="32"/>
      <c r="Z284" s="32"/>
      <c r="AA284" s="48"/>
      <c r="AB284" s="32"/>
      <c r="AC284" s="32"/>
      <c r="AD284" s="33"/>
      <c r="AE284" s="33"/>
      <c r="AF284" s="32"/>
      <c r="AG284" s="32"/>
      <c r="AH284" s="44"/>
      <c r="AI284" s="44"/>
      <c r="AJ284" s="32"/>
      <c r="AK284" s="32"/>
      <c r="AL284" s="32"/>
      <c r="AM284" s="32"/>
      <c r="AN284" s="33"/>
      <c r="AO284" s="33"/>
    </row>
    <row r="285" spans="1:41" x14ac:dyDescent="0.3">
      <c r="F285" s="34"/>
      <c r="H285" s="34"/>
      <c r="I285" s="34"/>
      <c r="J285" s="198"/>
      <c r="K285" s="198"/>
      <c r="L285" s="34"/>
      <c r="M285" s="34"/>
      <c r="N285" s="34"/>
      <c r="O285" s="34"/>
      <c r="P285" s="34"/>
      <c r="Q285" s="34"/>
      <c r="R285" s="34"/>
      <c r="V285" s="34"/>
      <c r="Z285" s="34"/>
      <c r="AA285" s="198"/>
      <c r="AB285" s="34"/>
      <c r="AC285" s="34"/>
      <c r="AD285" s="34"/>
      <c r="AE285" s="34"/>
      <c r="AF285" s="34"/>
      <c r="AG285" s="34"/>
      <c r="AJ285" s="34"/>
      <c r="AK285" s="34"/>
      <c r="AL285" s="34"/>
      <c r="AM285" s="34"/>
      <c r="AN285" s="33"/>
      <c r="AO285" s="33"/>
    </row>
    <row r="286" spans="1:41" x14ac:dyDescent="0.3">
      <c r="A286" s="22"/>
      <c r="C286" s="23"/>
      <c r="F286" s="32"/>
      <c r="H286" s="32"/>
      <c r="I286" s="32"/>
      <c r="J286" s="48"/>
      <c r="K286" s="48"/>
      <c r="L286" s="32"/>
      <c r="M286" s="32"/>
      <c r="N286" s="33"/>
      <c r="O286" s="33"/>
      <c r="P286" s="32"/>
      <c r="Q286" s="32"/>
      <c r="R286" s="32"/>
      <c r="T286" s="23"/>
      <c r="V286" s="32"/>
      <c r="Z286" s="32"/>
      <c r="AA286" s="48"/>
      <c r="AB286" s="32"/>
      <c r="AC286" s="32"/>
      <c r="AD286" s="33"/>
      <c r="AE286" s="33"/>
      <c r="AF286" s="32"/>
      <c r="AG286" s="32"/>
      <c r="AH286" s="44"/>
      <c r="AI286" s="44"/>
      <c r="AJ286" s="32"/>
      <c r="AK286" s="32"/>
      <c r="AL286" s="32"/>
      <c r="AM286" s="32"/>
      <c r="AN286" s="33"/>
      <c r="AO286" s="33"/>
    </row>
    <row r="287" spans="1:41" x14ac:dyDescent="0.3">
      <c r="A287" s="22"/>
      <c r="C287" s="23"/>
      <c r="F287" s="32"/>
      <c r="H287" s="195"/>
      <c r="I287" s="195"/>
      <c r="J287" s="197"/>
      <c r="K287" s="197"/>
      <c r="L287" s="32"/>
      <c r="M287" s="32"/>
      <c r="N287" s="33"/>
      <c r="O287" s="33"/>
      <c r="P287" s="32"/>
      <c r="Q287" s="32"/>
      <c r="R287" s="32"/>
      <c r="T287" s="23"/>
      <c r="V287" s="32"/>
      <c r="Z287" s="32"/>
      <c r="AA287" s="200"/>
      <c r="AB287" s="32"/>
      <c r="AC287" s="32"/>
      <c r="AD287" s="33"/>
      <c r="AE287" s="33"/>
      <c r="AF287" s="32"/>
      <c r="AG287" s="32"/>
      <c r="AH287" s="44"/>
      <c r="AI287" s="44"/>
      <c r="AJ287" s="32"/>
      <c r="AK287" s="32"/>
      <c r="AL287" s="32"/>
      <c r="AM287" s="32"/>
      <c r="AN287" s="33"/>
      <c r="AO287" s="33"/>
    </row>
    <row r="288" spans="1:41" x14ac:dyDescent="0.3">
      <c r="F288" s="34"/>
      <c r="H288" s="34"/>
      <c r="I288" s="34"/>
      <c r="J288" s="198"/>
      <c r="K288" s="198"/>
      <c r="L288" s="34"/>
      <c r="M288" s="34"/>
      <c r="N288" s="34"/>
      <c r="O288" s="34"/>
      <c r="P288" s="34"/>
      <c r="Q288" s="34"/>
      <c r="R288" s="34"/>
      <c r="V288" s="34"/>
      <c r="Z288" s="34"/>
      <c r="AA288" s="198"/>
      <c r="AB288" s="34"/>
      <c r="AC288" s="34"/>
      <c r="AD288" s="34"/>
      <c r="AE288" s="34"/>
      <c r="AF288" s="34"/>
      <c r="AG288" s="34"/>
      <c r="AJ288" s="34"/>
      <c r="AK288" s="34"/>
      <c r="AL288" s="34"/>
      <c r="AM288" s="34"/>
      <c r="AN288" s="33"/>
      <c r="AO288" s="33"/>
    </row>
    <row r="290" spans="1:41" x14ac:dyDescent="0.3">
      <c r="A290" s="22"/>
      <c r="C290" s="23"/>
      <c r="F290" s="32"/>
      <c r="H290" s="32"/>
      <c r="I290" s="32"/>
      <c r="J290" s="198"/>
      <c r="K290" s="198"/>
      <c r="L290" s="32"/>
      <c r="M290" s="32"/>
      <c r="N290" s="33"/>
      <c r="O290" s="33"/>
      <c r="P290" s="32"/>
      <c r="Q290" s="32"/>
      <c r="R290" s="32"/>
      <c r="S290" s="32"/>
      <c r="T290" s="23"/>
      <c r="V290" s="32"/>
      <c r="Z290" s="32"/>
      <c r="AA290" s="198"/>
      <c r="AB290" s="32"/>
      <c r="AC290" s="32"/>
      <c r="AD290" s="33"/>
      <c r="AE290" s="33"/>
      <c r="AF290" s="32"/>
      <c r="AG290" s="32"/>
      <c r="AH290" s="33"/>
      <c r="AI290" s="33"/>
      <c r="AJ290" s="32"/>
      <c r="AK290" s="32"/>
      <c r="AL290" s="32"/>
      <c r="AM290" s="32"/>
      <c r="AN290" s="33"/>
      <c r="AO290" s="33"/>
    </row>
    <row r="291" spans="1:41" x14ac:dyDescent="0.3">
      <c r="F291" s="34"/>
      <c r="H291" s="34"/>
      <c r="I291" s="34"/>
      <c r="J291" s="198"/>
      <c r="K291" s="198"/>
      <c r="L291" s="34"/>
      <c r="M291" s="34"/>
      <c r="N291" s="34"/>
      <c r="O291" s="34"/>
      <c r="P291" s="34"/>
      <c r="Q291" s="34"/>
      <c r="R291" s="34"/>
      <c r="S291" s="32"/>
      <c r="V291" s="34"/>
      <c r="Z291" s="34"/>
      <c r="AA291" s="198"/>
      <c r="AB291" s="34"/>
      <c r="AC291" s="34"/>
      <c r="AD291" s="34"/>
      <c r="AE291" s="34"/>
      <c r="AF291" s="34"/>
      <c r="AG291" s="34"/>
      <c r="AJ291" s="34"/>
      <c r="AK291" s="34"/>
      <c r="AL291" s="34"/>
      <c r="AM291" s="34"/>
      <c r="AN291" s="33"/>
      <c r="AO291" s="33"/>
    </row>
    <row r="292" spans="1:41" x14ac:dyDescent="0.3">
      <c r="A292" s="22"/>
      <c r="C292" s="23"/>
      <c r="F292" s="195"/>
      <c r="H292" s="195"/>
      <c r="I292" s="195"/>
      <c r="J292" s="198"/>
      <c r="K292" s="198"/>
      <c r="L292" s="32"/>
      <c r="M292" s="32"/>
      <c r="N292" s="33"/>
      <c r="O292" s="33"/>
      <c r="P292" s="32"/>
      <c r="Q292" s="32"/>
      <c r="R292" s="32"/>
      <c r="S292" s="32"/>
      <c r="T292" s="23"/>
      <c r="V292" s="195"/>
      <c r="Z292" s="195"/>
      <c r="AA292" s="198"/>
      <c r="AB292" s="32"/>
      <c r="AC292" s="32"/>
      <c r="AD292" s="33"/>
      <c r="AE292" s="33"/>
      <c r="AF292" s="32"/>
      <c r="AG292" s="32"/>
      <c r="AJ292" s="32"/>
      <c r="AK292" s="32"/>
      <c r="AL292" s="32"/>
      <c r="AM292" s="32"/>
      <c r="AN292" s="33"/>
      <c r="AO292" s="33"/>
    </row>
    <row r="294" spans="1:41" x14ac:dyDescent="0.3">
      <c r="A294" s="22"/>
      <c r="C294" s="23"/>
      <c r="F294" s="195"/>
      <c r="H294" s="195"/>
      <c r="I294" s="195"/>
      <c r="J294" s="119"/>
      <c r="K294" s="119"/>
      <c r="L294" s="32"/>
      <c r="M294" s="32"/>
      <c r="N294" s="33"/>
      <c r="O294" s="33"/>
      <c r="P294" s="22"/>
      <c r="Q294" s="22"/>
      <c r="R294" s="32"/>
      <c r="T294" s="23"/>
      <c r="V294" s="32"/>
      <c r="Z294" s="195"/>
      <c r="AA294" s="119"/>
      <c r="AB294" s="32"/>
      <c r="AC294" s="32"/>
      <c r="AD294" s="33"/>
      <c r="AE294" s="33"/>
      <c r="AF294" s="32"/>
      <c r="AG294" s="32"/>
      <c r="AH294" s="44"/>
      <c r="AI294" s="44"/>
      <c r="AJ294" s="22"/>
      <c r="AK294" s="22"/>
      <c r="AL294" s="32"/>
      <c r="AM294" s="32"/>
      <c r="AN294" s="33"/>
      <c r="AO294" s="33"/>
    </row>
    <row r="295" spans="1:41" x14ac:dyDescent="0.3">
      <c r="F295" s="34"/>
      <c r="H295" s="32"/>
      <c r="I295" s="32"/>
      <c r="J295" s="198"/>
      <c r="K295" s="198"/>
      <c r="L295" s="34"/>
      <c r="M295" s="34"/>
      <c r="N295" s="34"/>
      <c r="O295" s="34"/>
      <c r="P295" s="34"/>
      <c r="Q295" s="34"/>
      <c r="R295" s="34"/>
      <c r="V295" s="34"/>
      <c r="Z295" s="32"/>
      <c r="AA295" s="198"/>
      <c r="AB295" s="34"/>
      <c r="AC295" s="34"/>
      <c r="AD295" s="34"/>
      <c r="AE295" s="34"/>
      <c r="AF295" s="34"/>
      <c r="AG295" s="34"/>
      <c r="AJ295" s="34"/>
      <c r="AK295" s="34"/>
      <c r="AL295" s="34"/>
      <c r="AM295" s="34"/>
      <c r="AN295" s="33"/>
      <c r="AO295" s="33"/>
    </row>
    <row r="296" spans="1:41" x14ac:dyDescent="0.3">
      <c r="A296" s="22"/>
      <c r="C296" s="23"/>
      <c r="F296" s="195"/>
      <c r="H296" s="195"/>
      <c r="I296" s="195"/>
      <c r="J296" s="206"/>
      <c r="K296" s="206"/>
      <c r="L296" s="32"/>
      <c r="M296" s="32"/>
      <c r="N296" s="33"/>
      <c r="O296" s="33"/>
      <c r="P296" s="32"/>
      <c r="Q296" s="32"/>
      <c r="R296" s="32"/>
      <c r="S296" s="32"/>
      <c r="T296" s="23"/>
      <c r="V296" s="195"/>
      <c r="Z296" s="195"/>
      <c r="AA296" s="206"/>
      <c r="AB296" s="32"/>
      <c r="AC296" s="32"/>
      <c r="AD296" s="33"/>
      <c r="AE296" s="33"/>
      <c r="AF296" s="32"/>
      <c r="AG296" s="32"/>
      <c r="AH296" s="33"/>
      <c r="AI296" s="33"/>
      <c r="AJ296" s="32"/>
      <c r="AK296" s="32"/>
      <c r="AL296" s="32"/>
      <c r="AM296" s="32"/>
      <c r="AN296" s="33"/>
      <c r="AO296" s="33"/>
    </row>
    <row r="297" spans="1:41" x14ac:dyDescent="0.3">
      <c r="A297" s="22"/>
      <c r="C297" s="23"/>
      <c r="F297" s="195"/>
      <c r="H297" s="195"/>
      <c r="I297" s="195"/>
      <c r="J297" s="119"/>
      <c r="K297" s="119"/>
      <c r="L297" s="32"/>
      <c r="M297" s="32"/>
      <c r="N297" s="33"/>
      <c r="O297" s="33"/>
      <c r="P297" s="32"/>
      <c r="Q297" s="32"/>
      <c r="R297" s="32"/>
      <c r="T297" s="23"/>
      <c r="V297" s="195"/>
      <c r="Z297" s="32"/>
      <c r="AA297" s="119"/>
      <c r="AB297" s="32"/>
      <c r="AC297" s="32"/>
      <c r="AD297" s="33"/>
      <c r="AE297" s="33"/>
      <c r="AF297" s="32"/>
      <c r="AG297" s="32"/>
      <c r="AH297" s="44"/>
      <c r="AI297" s="44"/>
      <c r="AJ297" s="32"/>
      <c r="AK297" s="32"/>
      <c r="AL297" s="32"/>
      <c r="AM297" s="32"/>
      <c r="AN297" s="33"/>
      <c r="AO297" s="33"/>
    </row>
    <row r="298" spans="1:41" x14ac:dyDescent="0.3">
      <c r="A298" s="22"/>
      <c r="C298" s="23"/>
      <c r="F298" s="195"/>
      <c r="H298" s="195"/>
      <c r="I298" s="195"/>
      <c r="J298" s="119"/>
      <c r="K298" s="119"/>
      <c r="L298" s="32"/>
      <c r="M298" s="32"/>
      <c r="N298" s="33"/>
      <c r="O298" s="33"/>
      <c r="P298" s="32"/>
      <c r="Q298" s="32"/>
      <c r="R298" s="32"/>
      <c r="T298" s="23"/>
      <c r="V298" s="195"/>
      <c r="Z298" s="32"/>
      <c r="AA298" s="119"/>
      <c r="AB298" s="32"/>
      <c r="AC298" s="32"/>
      <c r="AD298" s="33"/>
      <c r="AE298" s="33"/>
      <c r="AF298" s="32"/>
      <c r="AG298" s="32"/>
      <c r="AH298" s="44"/>
      <c r="AI298" s="44"/>
      <c r="AJ298" s="32"/>
      <c r="AK298" s="32"/>
      <c r="AL298" s="32"/>
      <c r="AM298" s="32"/>
      <c r="AN298" s="33"/>
      <c r="AO298" s="33"/>
    </row>
    <row r="299" spans="1:41" x14ac:dyDescent="0.3">
      <c r="F299" s="34"/>
      <c r="H299" s="34"/>
      <c r="I299" s="34"/>
      <c r="J299" s="198"/>
      <c r="K299" s="198"/>
      <c r="L299" s="34"/>
      <c r="M299" s="34"/>
      <c r="N299" s="34"/>
      <c r="O299" s="34"/>
      <c r="P299" s="34"/>
      <c r="Q299" s="34"/>
      <c r="R299" s="34"/>
      <c r="V299" s="34"/>
      <c r="Z299" s="34"/>
      <c r="AA299" s="198"/>
      <c r="AB299" s="34"/>
      <c r="AC299" s="34"/>
      <c r="AD299" s="34"/>
      <c r="AE299" s="34"/>
      <c r="AF299" s="34"/>
      <c r="AG299" s="34"/>
      <c r="AJ299" s="34"/>
      <c r="AK299" s="34"/>
      <c r="AL299" s="34"/>
      <c r="AM299" s="34"/>
      <c r="AN299" s="33"/>
      <c r="AO299" s="33"/>
    </row>
    <row r="300" spans="1:41" x14ac:dyDescent="0.3">
      <c r="A300" s="22"/>
      <c r="C300" s="23"/>
      <c r="F300" s="32"/>
      <c r="H300" s="32"/>
      <c r="I300" s="32"/>
      <c r="J300" s="48"/>
      <c r="K300" s="48"/>
      <c r="L300" s="32"/>
      <c r="M300" s="32"/>
      <c r="N300" s="33"/>
      <c r="O300" s="33"/>
      <c r="P300" s="32"/>
      <c r="Q300" s="32"/>
      <c r="R300" s="32"/>
      <c r="T300" s="23"/>
      <c r="V300" s="32"/>
      <c r="Z300" s="32"/>
      <c r="AA300" s="48"/>
      <c r="AB300" s="32"/>
      <c r="AC300" s="32"/>
      <c r="AD300" s="33"/>
      <c r="AE300" s="33"/>
      <c r="AF300" s="32"/>
      <c r="AG300" s="32"/>
      <c r="AH300" s="44"/>
      <c r="AI300" s="44"/>
      <c r="AJ300" s="32"/>
      <c r="AK300" s="32"/>
      <c r="AL300" s="32"/>
      <c r="AM300" s="32"/>
      <c r="AN300" s="33"/>
      <c r="AO300" s="33"/>
    </row>
    <row r="301" spans="1:41" x14ac:dyDescent="0.3">
      <c r="F301" s="34"/>
      <c r="H301" s="34"/>
      <c r="I301" s="34"/>
      <c r="J301" s="198"/>
      <c r="K301" s="198"/>
      <c r="L301" s="34"/>
      <c r="M301" s="34"/>
      <c r="N301" s="34"/>
      <c r="O301" s="34"/>
      <c r="P301" s="34"/>
      <c r="Q301" s="34"/>
      <c r="R301" s="34"/>
      <c r="V301" s="34"/>
      <c r="Z301" s="34"/>
      <c r="AA301" s="198"/>
      <c r="AB301" s="34"/>
      <c r="AC301" s="34"/>
      <c r="AD301" s="34"/>
      <c r="AE301" s="34"/>
      <c r="AF301" s="34"/>
      <c r="AG301" s="34"/>
      <c r="AJ301" s="34"/>
      <c r="AK301" s="34"/>
      <c r="AL301" s="34"/>
      <c r="AM301" s="34"/>
      <c r="AN301" s="33"/>
      <c r="AO301" s="33"/>
    </row>
    <row r="302" spans="1:41" x14ac:dyDescent="0.3">
      <c r="A302" s="22"/>
      <c r="C302" s="23"/>
      <c r="F302" s="32"/>
      <c r="H302" s="32"/>
      <c r="I302" s="32"/>
      <c r="J302" s="48"/>
      <c r="K302" s="48"/>
      <c r="L302" s="32"/>
      <c r="M302" s="32"/>
      <c r="N302" s="33"/>
      <c r="O302" s="33"/>
      <c r="P302" s="32"/>
      <c r="Q302" s="32"/>
      <c r="R302" s="32"/>
      <c r="T302" s="23"/>
      <c r="V302" s="32"/>
      <c r="Z302" s="32"/>
      <c r="AA302" s="48"/>
      <c r="AB302" s="32"/>
      <c r="AC302" s="32"/>
      <c r="AD302" s="33"/>
      <c r="AE302" s="33"/>
      <c r="AF302" s="32"/>
      <c r="AG302" s="32"/>
      <c r="AH302" s="44"/>
      <c r="AI302" s="44"/>
      <c r="AJ302" s="32"/>
      <c r="AK302" s="32"/>
      <c r="AL302" s="32"/>
      <c r="AM302" s="32"/>
      <c r="AN302" s="33"/>
      <c r="AO302" s="33"/>
    </row>
    <row r="303" spans="1:41" x14ac:dyDescent="0.3">
      <c r="A303" s="22"/>
      <c r="C303" s="23"/>
      <c r="F303" s="32"/>
      <c r="H303" s="195"/>
      <c r="I303" s="195"/>
      <c r="J303" s="197"/>
      <c r="K303" s="197"/>
      <c r="L303" s="32"/>
      <c r="M303" s="32"/>
      <c r="N303" s="33"/>
      <c r="O303" s="33"/>
      <c r="P303" s="32"/>
      <c r="Q303" s="32"/>
      <c r="R303" s="32"/>
      <c r="T303" s="23"/>
      <c r="V303" s="32"/>
      <c r="Z303" s="32"/>
      <c r="AA303" s="200"/>
      <c r="AB303" s="32"/>
      <c r="AC303" s="32"/>
      <c r="AD303" s="33"/>
      <c r="AE303" s="33"/>
      <c r="AF303" s="32"/>
      <c r="AG303" s="32"/>
      <c r="AH303" s="44"/>
      <c r="AI303" s="44"/>
      <c r="AJ303" s="32"/>
      <c r="AK303" s="32"/>
      <c r="AL303" s="32"/>
      <c r="AM303" s="32"/>
      <c r="AN303" s="33"/>
      <c r="AO303" s="33"/>
    </row>
    <row r="304" spans="1:41" x14ac:dyDescent="0.3">
      <c r="F304" s="34"/>
      <c r="H304" s="34"/>
      <c r="I304" s="34"/>
      <c r="J304" s="198"/>
      <c r="K304" s="198"/>
      <c r="L304" s="34"/>
      <c r="M304" s="34"/>
      <c r="N304" s="34"/>
      <c r="O304" s="34"/>
      <c r="P304" s="34"/>
      <c r="Q304" s="34"/>
      <c r="R304" s="34"/>
      <c r="V304" s="34"/>
      <c r="Z304" s="34"/>
      <c r="AA304" s="198"/>
      <c r="AB304" s="34"/>
      <c r="AC304" s="34"/>
      <c r="AD304" s="34"/>
      <c r="AE304" s="34"/>
      <c r="AF304" s="34"/>
      <c r="AG304" s="34"/>
      <c r="AJ304" s="34"/>
      <c r="AK304" s="34"/>
      <c r="AL304" s="34"/>
      <c r="AM304" s="34"/>
      <c r="AN304" s="33"/>
      <c r="AO304" s="33"/>
    </row>
    <row r="306" spans="1:41" x14ac:dyDescent="0.3">
      <c r="A306" s="22"/>
      <c r="C306" s="23"/>
      <c r="F306" s="32"/>
      <c r="H306" s="32"/>
      <c r="I306" s="32"/>
      <c r="J306" s="198"/>
      <c r="K306" s="198"/>
      <c r="L306" s="32"/>
      <c r="M306" s="32"/>
      <c r="N306" s="33"/>
      <c r="O306" s="33"/>
      <c r="P306" s="32"/>
      <c r="Q306" s="32"/>
      <c r="R306" s="32"/>
      <c r="S306" s="32"/>
      <c r="T306" s="23"/>
      <c r="V306" s="32"/>
      <c r="Z306" s="32"/>
      <c r="AA306" s="198"/>
      <c r="AB306" s="32"/>
      <c r="AC306" s="32"/>
      <c r="AD306" s="33"/>
      <c r="AE306" s="33"/>
      <c r="AF306" s="32"/>
      <c r="AG306" s="32"/>
      <c r="AH306" s="33"/>
      <c r="AI306" s="33"/>
      <c r="AJ306" s="32"/>
      <c r="AK306" s="32"/>
      <c r="AL306" s="32"/>
      <c r="AM306" s="32"/>
      <c r="AN306" s="33"/>
      <c r="AO306" s="33"/>
    </row>
    <row r="307" spans="1:41" x14ac:dyDescent="0.3">
      <c r="F307" s="34"/>
      <c r="H307" s="34"/>
      <c r="I307" s="34"/>
      <c r="J307" s="198"/>
      <c r="K307" s="198"/>
      <c r="L307" s="34"/>
      <c r="M307" s="34"/>
      <c r="N307" s="34"/>
      <c r="O307" s="34"/>
      <c r="P307" s="34"/>
      <c r="Q307" s="34"/>
      <c r="R307" s="34"/>
      <c r="S307" s="32"/>
      <c r="V307" s="34"/>
      <c r="Z307" s="34"/>
      <c r="AA307" s="198"/>
      <c r="AB307" s="34"/>
      <c r="AC307" s="34"/>
      <c r="AD307" s="34"/>
      <c r="AE307" s="34"/>
      <c r="AF307" s="34"/>
      <c r="AG307" s="34"/>
      <c r="AJ307" s="34"/>
      <c r="AK307" s="34"/>
      <c r="AL307" s="34"/>
      <c r="AM307" s="34"/>
      <c r="AN307" s="33"/>
      <c r="AO307" s="33"/>
    </row>
    <row r="308" spans="1:41" x14ac:dyDescent="0.3">
      <c r="A308" s="22"/>
      <c r="C308" s="23"/>
      <c r="T308" s="23"/>
    </row>
    <row r="309" spans="1:41" x14ac:dyDescent="0.3">
      <c r="A309" s="22"/>
      <c r="C309" s="23"/>
      <c r="F309" s="32"/>
      <c r="H309" s="32"/>
      <c r="I309" s="32"/>
      <c r="L309" s="32"/>
      <c r="M309" s="32"/>
      <c r="N309" s="33"/>
      <c r="O309" s="33"/>
      <c r="P309" s="195"/>
      <c r="Q309" s="195"/>
      <c r="R309" s="32"/>
      <c r="T309" s="23"/>
      <c r="V309" s="32"/>
      <c r="Z309" s="32"/>
      <c r="AB309" s="32"/>
      <c r="AC309" s="32"/>
      <c r="AD309" s="33"/>
      <c r="AE309" s="33"/>
      <c r="AF309" s="32"/>
      <c r="AG309" s="32"/>
      <c r="AH309" s="33"/>
      <c r="AI309" s="33"/>
      <c r="AJ309" s="195"/>
      <c r="AK309" s="195"/>
      <c r="AL309" s="32"/>
      <c r="AM309" s="32"/>
      <c r="AN309" s="33"/>
      <c r="AO309" s="33"/>
    </row>
    <row r="310" spans="1:41" x14ac:dyDescent="0.3">
      <c r="F310" s="34"/>
      <c r="H310" s="34"/>
      <c r="I310" s="34"/>
      <c r="J310" s="198"/>
      <c r="K310" s="198"/>
      <c r="L310" s="34"/>
      <c r="M310" s="34"/>
      <c r="N310" s="34"/>
      <c r="O310" s="34"/>
      <c r="P310" s="34"/>
      <c r="Q310" s="34"/>
      <c r="R310" s="34"/>
      <c r="V310" s="34"/>
      <c r="Z310" s="34"/>
      <c r="AA310" s="198"/>
      <c r="AB310" s="34"/>
      <c r="AC310" s="34"/>
      <c r="AD310" s="34"/>
      <c r="AE310" s="34"/>
      <c r="AF310" s="34"/>
      <c r="AG310" s="34"/>
      <c r="AJ310" s="34"/>
      <c r="AK310" s="34"/>
      <c r="AL310" s="34"/>
      <c r="AM310" s="34"/>
    </row>
    <row r="312" spans="1:41" x14ac:dyDescent="0.3">
      <c r="C312" s="23"/>
      <c r="L312" s="32"/>
      <c r="M312" s="32"/>
      <c r="N312" s="32"/>
      <c r="O312" s="32"/>
      <c r="P312" s="32"/>
      <c r="Q312" s="32"/>
      <c r="R312" s="32"/>
      <c r="S312" s="32"/>
      <c r="T312" s="23"/>
      <c r="AB312" s="32"/>
      <c r="AC312" s="32"/>
      <c r="AD312" s="32"/>
      <c r="AE312" s="32"/>
      <c r="AJ312" s="32"/>
      <c r="AK312" s="32"/>
      <c r="AL312" s="32"/>
      <c r="AM312" s="32"/>
    </row>
    <row r="313" spans="1:41" x14ac:dyDescent="0.3">
      <c r="A313" s="23"/>
    </row>
    <row r="314" spans="1:41" x14ac:dyDescent="0.3">
      <c r="J314" s="22"/>
      <c r="K314" s="22"/>
      <c r="AA314" s="22"/>
    </row>
    <row r="315" spans="1:41" x14ac:dyDescent="0.3">
      <c r="H315" s="23"/>
      <c r="I315" s="23"/>
      <c r="Z315" s="23"/>
    </row>
    <row r="316" spans="1:41" x14ac:dyDescent="0.3">
      <c r="J316" s="22"/>
      <c r="K316" s="22"/>
      <c r="AA316" s="22"/>
    </row>
    <row r="317" spans="1:41" x14ac:dyDescent="0.3">
      <c r="L317" s="23"/>
      <c r="M317" s="23"/>
      <c r="AB317" s="23"/>
      <c r="AC317" s="23"/>
    </row>
    <row r="318" spans="1:41" x14ac:dyDescent="0.3">
      <c r="A318" s="22"/>
      <c r="R318" s="23"/>
      <c r="AL318" s="23"/>
      <c r="AM318" s="23"/>
    </row>
    <row r="319" spans="1:41" x14ac:dyDescent="0.3">
      <c r="A319" s="22"/>
      <c r="R319" s="23"/>
      <c r="AL319" s="23"/>
      <c r="AM319" s="23"/>
    </row>
    <row r="320" spans="1:41" x14ac:dyDescent="0.3">
      <c r="A320" s="23"/>
      <c r="R320" s="23"/>
      <c r="AL320" s="23"/>
      <c r="AM320" s="23"/>
    </row>
    <row r="321" spans="1:41" x14ac:dyDescent="0.3">
      <c r="L321" s="23"/>
      <c r="M321" s="23"/>
      <c r="R321" s="22"/>
      <c r="AB321" s="23"/>
      <c r="AC321" s="23"/>
      <c r="AL321" s="22"/>
      <c r="AM321" s="22"/>
    </row>
    <row r="322" spans="1:4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1:41" x14ac:dyDescent="0.3">
      <c r="L323" s="30"/>
      <c r="M323" s="30"/>
      <c r="N323" s="30"/>
      <c r="O323" s="30"/>
      <c r="R323" s="30"/>
      <c r="AB323" s="30"/>
      <c r="AC323" s="30"/>
      <c r="AD323" s="30"/>
      <c r="AE323" s="30"/>
      <c r="AF323" s="30"/>
      <c r="AG323" s="30"/>
      <c r="AH323" s="30"/>
      <c r="AI323" s="30"/>
      <c r="AL323" s="30"/>
      <c r="AM323" s="30"/>
      <c r="AN323" s="30"/>
      <c r="AO323" s="30"/>
    </row>
    <row r="324" spans="1:41" x14ac:dyDescent="0.3">
      <c r="L324" s="30"/>
      <c r="M324" s="30"/>
      <c r="N324" s="30"/>
      <c r="O324" s="30"/>
      <c r="R324" s="30"/>
      <c r="AA324" s="30"/>
      <c r="AB324" s="30"/>
      <c r="AC324" s="30"/>
      <c r="AD324" s="30"/>
      <c r="AE324" s="30"/>
      <c r="AF324" s="30"/>
      <c r="AG324" s="30"/>
      <c r="AH324" s="30"/>
      <c r="AI324" s="30"/>
      <c r="AL324" s="30"/>
      <c r="AM324" s="30"/>
      <c r="AN324" s="30"/>
      <c r="AO324" s="30"/>
    </row>
    <row r="325" spans="1:41" x14ac:dyDescent="0.3">
      <c r="A325" s="30"/>
      <c r="C325" s="30"/>
      <c r="D325" s="30"/>
      <c r="E325" s="30"/>
      <c r="F325" s="30"/>
      <c r="J325" s="30"/>
      <c r="K325" s="30"/>
      <c r="L325" s="30"/>
      <c r="M325" s="30"/>
      <c r="N325" s="30"/>
      <c r="O325" s="30"/>
      <c r="P325" s="30"/>
      <c r="Q325" s="30"/>
      <c r="R325" s="30"/>
      <c r="T325" s="30"/>
      <c r="U325" s="30"/>
      <c r="V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x14ac:dyDescent="0.3">
      <c r="A326" s="30"/>
      <c r="C326" s="30"/>
      <c r="D326" s="30"/>
      <c r="E326" s="30"/>
      <c r="F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T326" s="30"/>
      <c r="U326" s="30"/>
      <c r="V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x14ac:dyDescent="0.3">
      <c r="C327" s="30"/>
      <c r="D327" s="30"/>
      <c r="E327" s="30"/>
      <c r="F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T327" s="30"/>
      <c r="U327" s="30"/>
      <c r="V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1:41" x14ac:dyDescent="0.3"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x14ac:dyDescent="0.3">
      <c r="A330" s="22"/>
      <c r="C330" s="23"/>
      <c r="D330" s="23"/>
      <c r="E330" s="23"/>
      <c r="T330" s="23"/>
      <c r="U330" s="23"/>
    </row>
    <row r="331" spans="1:41" x14ac:dyDescent="0.3">
      <c r="D331" s="23"/>
      <c r="E331" s="23"/>
      <c r="U331" s="23"/>
    </row>
    <row r="333" spans="1:41" x14ac:dyDescent="0.3">
      <c r="A333" s="22"/>
      <c r="C333" s="23"/>
      <c r="T333" s="23"/>
    </row>
    <row r="334" spans="1:41" x14ac:dyDescent="0.3">
      <c r="A334" s="22"/>
      <c r="C334" s="23"/>
      <c r="F334" s="195"/>
      <c r="H334" s="195"/>
      <c r="I334" s="195"/>
      <c r="J334" s="203"/>
      <c r="K334" s="203"/>
      <c r="L334" s="32"/>
      <c r="M334" s="32"/>
      <c r="N334" s="33"/>
      <c r="O334" s="33"/>
      <c r="P334" s="32"/>
      <c r="Q334" s="32"/>
      <c r="R334" s="32"/>
      <c r="T334" s="23"/>
      <c r="V334" s="195"/>
      <c r="W334" s="32"/>
      <c r="X334" s="32"/>
      <c r="Y334" s="32"/>
      <c r="Z334" s="195"/>
      <c r="AA334" s="203"/>
      <c r="AB334" s="32"/>
      <c r="AC334" s="32"/>
      <c r="AD334" s="33"/>
      <c r="AE334" s="33"/>
      <c r="AF334" s="32"/>
      <c r="AG334" s="32"/>
      <c r="AH334" s="44"/>
      <c r="AI334" s="44"/>
      <c r="AJ334" s="32"/>
      <c r="AK334" s="32"/>
      <c r="AL334" s="32"/>
      <c r="AM334" s="32"/>
      <c r="AN334" s="33"/>
      <c r="AO334" s="33"/>
    </row>
    <row r="335" spans="1:41" x14ac:dyDescent="0.3">
      <c r="A335" s="22"/>
      <c r="C335" s="23"/>
      <c r="F335" s="32"/>
      <c r="H335" s="32"/>
      <c r="I335" s="32"/>
      <c r="J335" s="198"/>
      <c r="K335" s="198"/>
      <c r="L335" s="32"/>
      <c r="M335" s="32"/>
      <c r="N335" s="33"/>
      <c r="O335" s="33"/>
      <c r="P335" s="32"/>
      <c r="Q335" s="32"/>
      <c r="R335" s="32"/>
      <c r="T335" s="23"/>
      <c r="V335" s="195"/>
      <c r="W335" s="32"/>
      <c r="X335" s="32"/>
      <c r="Y335" s="32"/>
      <c r="Z335" s="195"/>
      <c r="AA335" s="198"/>
      <c r="AB335" s="32"/>
      <c r="AC335" s="32"/>
      <c r="AD335" s="33"/>
      <c r="AE335" s="33"/>
      <c r="AF335" s="32"/>
      <c r="AG335" s="32"/>
      <c r="AH335" s="44"/>
      <c r="AI335" s="44"/>
      <c r="AJ335" s="32"/>
      <c r="AK335" s="32"/>
      <c r="AL335" s="32"/>
      <c r="AM335" s="32"/>
      <c r="AN335" s="33"/>
      <c r="AO335" s="33"/>
    </row>
    <row r="336" spans="1:41" x14ac:dyDescent="0.3">
      <c r="A336" s="22"/>
      <c r="C336" s="23"/>
      <c r="F336" s="195"/>
      <c r="H336" s="195"/>
      <c r="I336" s="195"/>
      <c r="J336" s="203"/>
      <c r="K336" s="203"/>
      <c r="L336" s="32"/>
      <c r="M336" s="32"/>
      <c r="N336" s="33"/>
      <c r="O336" s="33"/>
      <c r="P336" s="32"/>
      <c r="Q336" s="32"/>
      <c r="R336" s="32"/>
      <c r="T336" s="23"/>
      <c r="V336" s="195"/>
      <c r="W336" s="32"/>
      <c r="X336" s="32"/>
      <c r="Y336" s="32"/>
      <c r="Z336" s="195"/>
      <c r="AA336" s="203"/>
      <c r="AB336" s="32"/>
      <c r="AC336" s="32"/>
      <c r="AD336" s="33"/>
      <c r="AE336" s="33"/>
      <c r="AF336" s="32"/>
      <c r="AG336" s="32"/>
      <c r="AH336" s="44"/>
      <c r="AI336" s="44"/>
      <c r="AJ336" s="32"/>
      <c r="AK336" s="32"/>
      <c r="AL336" s="32"/>
      <c r="AM336" s="32"/>
      <c r="AN336" s="33"/>
      <c r="AO336" s="33"/>
    </row>
    <row r="337" spans="1:41" x14ac:dyDescent="0.3">
      <c r="A337" s="22"/>
      <c r="C337" s="23"/>
      <c r="F337" s="195"/>
      <c r="H337" s="195"/>
      <c r="I337" s="195"/>
      <c r="J337" s="203"/>
      <c r="K337" s="203"/>
      <c r="L337" s="32"/>
      <c r="M337" s="32"/>
      <c r="N337" s="33"/>
      <c r="O337" s="33"/>
      <c r="P337" s="32"/>
      <c r="Q337" s="32"/>
      <c r="R337" s="32"/>
      <c r="T337" s="23"/>
      <c r="V337" s="195"/>
      <c r="W337" s="32"/>
      <c r="X337" s="32"/>
      <c r="Y337" s="32"/>
      <c r="Z337" s="195"/>
      <c r="AA337" s="203"/>
      <c r="AB337" s="32"/>
      <c r="AC337" s="32"/>
      <c r="AD337" s="33"/>
      <c r="AE337" s="33"/>
      <c r="AF337" s="32"/>
      <c r="AG337" s="32"/>
      <c r="AH337" s="44"/>
      <c r="AI337" s="44"/>
      <c r="AJ337" s="32"/>
      <c r="AK337" s="32"/>
      <c r="AL337" s="32"/>
      <c r="AM337" s="32"/>
      <c r="AN337" s="33"/>
      <c r="AO337" s="33"/>
    </row>
    <row r="338" spans="1:41" x14ac:dyDescent="0.3">
      <c r="A338" s="22"/>
      <c r="C338" s="23"/>
      <c r="F338" s="195"/>
      <c r="H338" s="195"/>
      <c r="I338" s="195"/>
      <c r="J338" s="203"/>
      <c r="K338" s="203"/>
      <c r="L338" s="32"/>
      <c r="M338" s="32"/>
      <c r="N338" s="33"/>
      <c r="O338" s="33"/>
      <c r="P338" s="32"/>
      <c r="Q338" s="32"/>
      <c r="R338" s="32"/>
      <c r="T338" s="23"/>
      <c r="V338" s="195"/>
      <c r="W338" s="32"/>
      <c r="X338" s="32"/>
      <c r="Y338" s="32"/>
      <c r="Z338" s="195"/>
      <c r="AA338" s="203"/>
      <c r="AB338" s="32"/>
      <c r="AC338" s="32"/>
      <c r="AD338" s="33"/>
      <c r="AE338" s="33"/>
      <c r="AF338" s="32"/>
      <c r="AG338" s="32"/>
      <c r="AH338" s="44"/>
      <c r="AI338" s="44"/>
      <c r="AJ338" s="32"/>
      <c r="AK338" s="32"/>
      <c r="AL338" s="32"/>
      <c r="AM338" s="32"/>
      <c r="AN338" s="33"/>
      <c r="AO338" s="33"/>
    </row>
    <row r="339" spans="1:41" x14ac:dyDescent="0.3">
      <c r="A339" s="22"/>
      <c r="C339" s="23"/>
      <c r="F339" s="32"/>
      <c r="H339" s="32"/>
      <c r="I339" s="32"/>
      <c r="J339" s="203"/>
      <c r="K339" s="203"/>
      <c r="L339" s="32"/>
      <c r="M339" s="32"/>
      <c r="N339" s="33"/>
      <c r="O339" s="33"/>
      <c r="P339" s="32"/>
      <c r="Q339" s="32"/>
      <c r="R339" s="32"/>
      <c r="T339" s="23"/>
      <c r="V339" s="195"/>
      <c r="W339" s="32"/>
      <c r="X339" s="32"/>
      <c r="Y339" s="32"/>
      <c r="Z339" s="195"/>
      <c r="AA339" s="203"/>
      <c r="AB339" s="32"/>
      <c r="AC339" s="32"/>
      <c r="AD339" s="33"/>
      <c r="AE339" s="33"/>
      <c r="AF339" s="32"/>
      <c r="AG339" s="32"/>
      <c r="AH339" s="44"/>
      <c r="AI339" s="44"/>
      <c r="AJ339" s="32"/>
      <c r="AK339" s="32"/>
      <c r="AL339" s="32"/>
      <c r="AM339" s="32"/>
      <c r="AN339" s="33"/>
      <c r="AO339" s="33"/>
    </row>
    <row r="340" spans="1:41" x14ac:dyDescent="0.3">
      <c r="A340" s="22"/>
      <c r="C340" s="23"/>
      <c r="F340" s="32"/>
      <c r="H340" s="32"/>
      <c r="I340" s="32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195"/>
      <c r="W340" s="32"/>
      <c r="X340" s="32"/>
      <c r="Y340" s="32"/>
      <c r="Z340" s="195"/>
      <c r="AA340" s="203"/>
      <c r="AB340" s="32"/>
      <c r="AC340" s="32"/>
      <c r="AD340" s="33"/>
      <c r="AE340" s="33"/>
      <c r="AF340" s="32"/>
      <c r="AG340" s="32"/>
      <c r="AH340" s="44"/>
      <c r="AI340" s="44"/>
      <c r="AJ340" s="32"/>
      <c r="AK340" s="32"/>
      <c r="AL340" s="32"/>
      <c r="AM340" s="32"/>
      <c r="AN340" s="33"/>
      <c r="AO340" s="33"/>
    </row>
    <row r="341" spans="1:41" x14ac:dyDescent="0.3">
      <c r="F341" s="60"/>
      <c r="H341" s="209"/>
      <c r="I341" s="209"/>
      <c r="J341" s="203"/>
      <c r="K341" s="203"/>
      <c r="L341" s="60"/>
      <c r="M341" s="60"/>
      <c r="N341" s="34"/>
      <c r="O341" s="34"/>
      <c r="P341" s="60"/>
      <c r="Q341" s="60"/>
      <c r="R341" s="60"/>
      <c r="V341" s="60"/>
      <c r="W341" s="32"/>
      <c r="X341" s="32"/>
      <c r="Y341" s="32"/>
      <c r="Z341" s="60"/>
      <c r="AA341" s="203"/>
      <c r="AB341" s="60"/>
      <c r="AC341" s="60"/>
      <c r="AD341" s="61"/>
      <c r="AE341" s="61"/>
      <c r="AF341" s="60"/>
      <c r="AG341" s="60"/>
      <c r="AH341" s="44"/>
      <c r="AI341" s="44"/>
      <c r="AJ341" s="60"/>
      <c r="AK341" s="60"/>
      <c r="AL341" s="60"/>
      <c r="AM341" s="60"/>
      <c r="AN341" s="33"/>
      <c r="AO341" s="33"/>
    </row>
    <row r="342" spans="1:41" x14ac:dyDescent="0.3">
      <c r="A342" s="22"/>
      <c r="C342" s="23"/>
      <c r="F342" s="32"/>
      <c r="H342" s="32"/>
      <c r="I342" s="32"/>
      <c r="J342" s="203"/>
      <c r="K342" s="203"/>
      <c r="L342" s="32"/>
      <c r="M342" s="32"/>
      <c r="N342" s="44"/>
      <c r="O342" s="44"/>
      <c r="P342" s="32"/>
      <c r="Q342" s="32"/>
      <c r="R342" s="32"/>
      <c r="T342" s="30"/>
      <c r="V342" s="32"/>
      <c r="W342" s="32"/>
      <c r="X342" s="32"/>
      <c r="Y342" s="32"/>
      <c r="Z342" s="32"/>
      <c r="AA342" s="203"/>
      <c r="AB342" s="32"/>
      <c r="AC342" s="32"/>
      <c r="AD342" s="44"/>
      <c r="AE342" s="44"/>
      <c r="AF342" s="32"/>
      <c r="AG342" s="32"/>
      <c r="AH342" s="44"/>
      <c r="AI342" s="44"/>
      <c r="AJ342" s="32"/>
      <c r="AK342" s="32"/>
      <c r="AL342" s="32"/>
      <c r="AM342" s="32"/>
      <c r="AN342" s="33"/>
      <c r="AO342" s="33"/>
    </row>
    <row r="343" spans="1:41" x14ac:dyDescent="0.3">
      <c r="F343" s="29"/>
      <c r="H343" s="29"/>
      <c r="I343" s="29"/>
      <c r="L343" s="29"/>
      <c r="M343" s="29"/>
      <c r="N343" s="61"/>
      <c r="O343" s="61"/>
      <c r="P343" s="60"/>
      <c r="Q343" s="60"/>
      <c r="R343" s="60"/>
      <c r="V343" s="60"/>
      <c r="Z343" s="60"/>
      <c r="AA343" s="198"/>
      <c r="AB343" s="60"/>
      <c r="AC343" s="60"/>
      <c r="AD343" s="60"/>
      <c r="AE343" s="60"/>
      <c r="AF343" s="60"/>
      <c r="AG343" s="60"/>
      <c r="AJ343" s="60"/>
      <c r="AK343" s="60"/>
      <c r="AL343" s="60"/>
      <c r="AM343" s="60"/>
      <c r="AN343" s="61"/>
      <c r="AO343" s="61"/>
    </row>
    <row r="344" spans="1:41" x14ac:dyDescent="0.3">
      <c r="AJ344" s="22"/>
      <c r="AK344" s="22"/>
    </row>
    <row r="348" spans="1:41" x14ac:dyDescent="0.3">
      <c r="N348" s="32"/>
      <c r="O348" s="32"/>
      <c r="P348" s="32"/>
      <c r="Q348" s="32"/>
      <c r="R348" s="32"/>
      <c r="V348" s="32"/>
      <c r="Z348" s="32"/>
      <c r="AA348" s="48"/>
      <c r="AB348" s="32"/>
      <c r="AC348" s="32"/>
      <c r="AD348" s="33"/>
      <c r="AE348" s="33"/>
      <c r="AF348" s="32"/>
      <c r="AG348" s="32"/>
      <c r="AH348" s="44"/>
      <c r="AI348" s="44"/>
      <c r="AJ348" s="32"/>
      <c r="AK348" s="32"/>
      <c r="AL348" s="32"/>
      <c r="AM348" s="32"/>
      <c r="AN348" s="33"/>
      <c r="AO348" s="33"/>
    </row>
    <row r="349" spans="1:41" x14ac:dyDescent="0.3">
      <c r="A349" s="22"/>
      <c r="C349" s="23"/>
      <c r="D349" s="23"/>
      <c r="E349" s="23"/>
      <c r="J349" s="62"/>
      <c r="K349" s="62"/>
      <c r="T349" s="23"/>
      <c r="U349" s="23"/>
      <c r="AA349" s="62"/>
      <c r="AF349" s="32"/>
      <c r="AG349" s="32"/>
      <c r="AJ349" s="32"/>
      <c r="AK349" s="32"/>
      <c r="AL349" s="32"/>
      <c r="AM349" s="32"/>
      <c r="AN349" s="33"/>
      <c r="AO349" s="33"/>
    </row>
    <row r="350" spans="1:41" x14ac:dyDescent="0.3">
      <c r="D350" s="23"/>
      <c r="E350" s="23"/>
      <c r="F350" s="32"/>
      <c r="H350" s="32"/>
      <c r="I350" s="32"/>
      <c r="J350" s="203"/>
      <c r="K350" s="203"/>
      <c r="L350" s="32"/>
      <c r="M350" s="32"/>
      <c r="N350" s="33"/>
      <c r="O350" s="33"/>
      <c r="P350" s="32"/>
      <c r="Q350" s="32"/>
      <c r="R350" s="32"/>
      <c r="U350" s="23"/>
      <c r="V350" s="32"/>
      <c r="Z350" s="32"/>
      <c r="AA350" s="203"/>
      <c r="AB350" s="32"/>
      <c r="AC350" s="32"/>
      <c r="AD350" s="33"/>
      <c r="AE350" s="33"/>
      <c r="AF350" s="32"/>
      <c r="AG350" s="32"/>
      <c r="AH350" s="44"/>
      <c r="AI350" s="44"/>
      <c r="AJ350" s="32"/>
      <c r="AK350" s="32"/>
      <c r="AL350" s="32"/>
      <c r="AM350" s="32"/>
      <c r="AN350" s="33"/>
      <c r="AO350" s="33"/>
    </row>
    <row r="351" spans="1:41" x14ac:dyDescent="0.3">
      <c r="F351" s="32"/>
      <c r="H351" s="32"/>
      <c r="I351" s="32"/>
      <c r="J351" s="198"/>
      <c r="K351" s="198"/>
      <c r="L351" s="32"/>
      <c r="M351" s="32"/>
      <c r="N351" s="32"/>
      <c r="O351" s="32"/>
      <c r="P351" s="32"/>
      <c r="Q351" s="32"/>
      <c r="R351" s="32"/>
      <c r="V351" s="32"/>
      <c r="Z351" s="32"/>
      <c r="AA351" s="198"/>
      <c r="AB351" s="32"/>
      <c r="AC351" s="32"/>
      <c r="AD351" s="32"/>
      <c r="AE351" s="32"/>
      <c r="AF351" s="32"/>
      <c r="AG351" s="32"/>
      <c r="AH351" s="44"/>
      <c r="AI351" s="44"/>
      <c r="AJ351" s="195"/>
      <c r="AK351" s="195"/>
      <c r="AL351" s="32"/>
      <c r="AM351" s="32"/>
      <c r="AN351" s="33"/>
      <c r="AO351" s="33"/>
    </row>
    <row r="352" spans="1:41" x14ac:dyDescent="0.3">
      <c r="A352" s="22"/>
      <c r="C352" s="23"/>
      <c r="F352" s="195"/>
      <c r="H352" s="195"/>
      <c r="I352" s="195"/>
      <c r="J352" s="200"/>
      <c r="K352" s="200"/>
      <c r="L352" s="32"/>
      <c r="M352" s="32"/>
      <c r="N352" s="33"/>
      <c r="O352" s="33"/>
      <c r="P352" s="32"/>
      <c r="Q352" s="32"/>
      <c r="R352" s="32"/>
      <c r="T352" s="23"/>
      <c r="V352" s="195"/>
      <c r="Z352" s="195"/>
      <c r="AA352" s="200"/>
      <c r="AB352" s="32"/>
      <c r="AC352" s="32"/>
      <c r="AD352" s="33"/>
      <c r="AE352" s="33"/>
      <c r="AF352" s="32"/>
      <c r="AG352" s="32"/>
      <c r="AH352" s="44"/>
      <c r="AI352" s="44"/>
      <c r="AJ352" s="32"/>
      <c r="AK352" s="32"/>
      <c r="AL352" s="32"/>
      <c r="AM352" s="32"/>
      <c r="AN352" s="33"/>
      <c r="AO352" s="33"/>
    </row>
    <row r="353" spans="1:41" x14ac:dyDescent="0.3">
      <c r="F353" s="29"/>
      <c r="H353" s="29"/>
      <c r="I353" s="29"/>
      <c r="L353" s="29"/>
      <c r="M353" s="29"/>
      <c r="N353" s="29"/>
      <c r="O353" s="29"/>
      <c r="P353" s="29"/>
      <c r="Q353" s="29"/>
      <c r="R353" s="29"/>
      <c r="V353" s="29"/>
      <c r="Z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1:41" x14ac:dyDescent="0.3">
      <c r="A354" s="22"/>
      <c r="C354" s="30"/>
      <c r="F354" s="195"/>
      <c r="H354" s="195"/>
      <c r="I354" s="195"/>
      <c r="J354" s="119"/>
      <c r="K354" s="119"/>
      <c r="L354" s="195"/>
      <c r="M354" s="195"/>
      <c r="N354" s="33"/>
      <c r="O354" s="33"/>
      <c r="P354" s="195"/>
      <c r="Q354" s="195"/>
      <c r="R354" s="195"/>
      <c r="T354" s="30"/>
      <c r="V354" s="32"/>
      <c r="Z354" s="32"/>
      <c r="AA354" s="48"/>
      <c r="AB354" s="32"/>
      <c r="AC354" s="32"/>
      <c r="AD354" s="33"/>
      <c r="AE354" s="33"/>
      <c r="AF354" s="22"/>
      <c r="AG354" s="22"/>
      <c r="AH354" s="44"/>
      <c r="AI354" s="44"/>
      <c r="AJ354" s="32"/>
      <c r="AK354" s="32"/>
      <c r="AL354" s="32"/>
      <c r="AM354" s="32"/>
      <c r="AN354" s="33"/>
      <c r="AO354" s="33"/>
    </row>
    <row r="355" spans="1:41" x14ac:dyDescent="0.3">
      <c r="F355" s="60"/>
      <c r="H355" s="60"/>
      <c r="I355" s="60"/>
      <c r="J355" s="198"/>
      <c r="K355" s="198"/>
      <c r="L355" s="60"/>
      <c r="M355" s="60"/>
      <c r="N355" s="60"/>
      <c r="O355" s="60"/>
      <c r="P355" s="60"/>
      <c r="Q355" s="60"/>
      <c r="R355" s="60"/>
      <c r="V355" s="29"/>
      <c r="Z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1:41" x14ac:dyDescent="0.3">
      <c r="F356" s="195"/>
      <c r="H356" s="195"/>
      <c r="I356" s="195"/>
      <c r="J356" s="206"/>
      <c r="K356" s="206"/>
      <c r="L356" s="32"/>
      <c r="M356" s="32"/>
      <c r="N356" s="33"/>
      <c r="O356" s="33"/>
      <c r="P356" s="32"/>
      <c r="Q356" s="32"/>
      <c r="R356" s="32"/>
    </row>
    <row r="357" spans="1:41" x14ac:dyDescent="0.3">
      <c r="A357" s="23"/>
      <c r="F357" s="195"/>
      <c r="H357" s="195"/>
      <c r="I357" s="195"/>
      <c r="J357" s="119"/>
      <c r="K357" s="119"/>
      <c r="L357" s="32"/>
      <c r="M357" s="32"/>
      <c r="N357" s="33"/>
      <c r="O357" s="33"/>
      <c r="P357" s="32"/>
      <c r="Q357" s="32"/>
      <c r="R357" s="32"/>
    </row>
    <row r="358" spans="1:41" x14ac:dyDescent="0.3">
      <c r="F358" s="195"/>
      <c r="H358" s="195"/>
      <c r="I358" s="195"/>
      <c r="J358" s="119"/>
      <c r="K358" s="119"/>
      <c r="L358" s="32"/>
      <c r="M358" s="32"/>
      <c r="N358" s="33"/>
      <c r="O358" s="33"/>
      <c r="P358" s="32"/>
      <c r="Q358" s="32"/>
      <c r="R358" s="32"/>
    </row>
    <row r="359" spans="1:41" x14ac:dyDescent="0.3">
      <c r="A359" s="23"/>
    </row>
    <row r="361" spans="1:41" x14ac:dyDescent="0.3">
      <c r="J361" s="22"/>
      <c r="K361" s="22"/>
      <c r="AA361" s="22"/>
    </row>
    <row r="362" spans="1:41" x14ac:dyDescent="0.3">
      <c r="H362" s="23"/>
      <c r="I362" s="23"/>
      <c r="Z362" s="23"/>
    </row>
    <row r="363" spans="1:41" x14ac:dyDescent="0.3">
      <c r="J363" s="22"/>
      <c r="K363" s="22"/>
      <c r="AA363" s="22"/>
    </row>
    <row r="364" spans="1:41" x14ac:dyDescent="0.3">
      <c r="L364" s="23"/>
      <c r="M364" s="23"/>
      <c r="AB364" s="23"/>
      <c r="AC364" s="23"/>
    </row>
    <row r="365" spans="1:41" x14ac:dyDescent="0.3">
      <c r="A365" s="22"/>
      <c r="R365" s="23"/>
      <c r="AL365" s="23"/>
      <c r="AM365" s="23"/>
    </row>
    <row r="366" spans="1:41" x14ac:dyDescent="0.3">
      <c r="A366" s="22"/>
      <c r="R366" s="23"/>
      <c r="AL366" s="23"/>
      <c r="AM366" s="23"/>
    </row>
    <row r="367" spans="1:41" x14ac:dyDescent="0.3">
      <c r="A367" s="23"/>
      <c r="R367" s="23"/>
      <c r="AL367" s="23"/>
      <c r="AM367" s="23"/>
    </row>
    <row r="368" spans="1:41" x14ac:dyDescent="0.3">
      <c r="L368" s="23"/>
      <c r="M368" s="23"/>
      <c r="R368" s="22"/>
      <c r="AB368" s="23"/>
      <c r="AC368" s="23"/>
      <c r="AL368" s="22"/>
      <c r="AM368" s="22"/>
    </row>
    <row r="369" spans="1:4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1:41" x14ac:dyDescent="0.3">
      <c r="L370" s="30"/>
      <c r="M370" s="30"/>
      <c r="N370" s="30"/>
      <c r="O370" s="30"/>
      <c r="R370" s="30"/>
      <c r="AB370" s="30"/>
      <c r="AC370" s="30"/>
      <c r="AD370" s="30"/>
      <c r="AE370" s="30"/>
      <c r="AF370" s="30"/>
      <c r="AG370" s="30"/>
      <c r="AH370" s="30"/>
      <c r="AI370" s="30"/>
      <c r="AL370" s="30"/>
      <c r="AM370" s="30"/>
      <c r="AN370" s="30"/>
      <c r="AO370" s="30"/>
    </row>
    <row r="371" spans="1:41" x14ac:dyDescent="0.3">
      <c r="L371" s="30"/>
      <c r="M371" s="30"/>
      <c r="N371" s="30"/>
      <c r="O371" s="30"/>
      <c r="R371" s="30"/>
      <c r="AA371" s="30"/>
      <c r="AB371" s="30"/>
      <c r="AC371" s="30"/>
      <c r="AD371" s="30"/>
      <c r="AE371" s="30"/>
      <c r="AF371" s="30"/>
      <c r="AG371" s="30"/>
      <c r="AH371" s="30"/>
      <c r="AI371" s="30"/>
      <c r="AL371" s="30"/>
      <c r="AM371" s="30"/>
      <c r="AN371" s="30"/>
      <c r="AO371" s="30"/>
    </row>
    <row r="372" spans="1:41" x14ac:dyDescent="0.3">
      <c r="A372" s="30"/>
      <c r="C372" s="30"/>
      <c r="D372" s="30"/>
      <c r="E372" s="30"/>
      <c r="F372" s="30"/>
      <c r="J372" s="30"/>
      <c r="K372" s="30"/>
      <c r="L372" s="30"/>
      <c r="M372" s="30"/>
      <c r="N372" s="30"/>
      <c r="O372" s="30"/>
      <c r="P372" s="30"/>
      <c r="Q372" s="30"/>
      <c r="R372" s="30"/>
      <c r="T372" s="30"/>
      <c r="U372" s="30"/>
      <c r="V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x14ac:dyDescent="0.3">
      <c r="A373" s="30"/>
      <c r="C373" s="30"/>
      <c r="D373" s="30"/>
      <c r="E373" s="30"/>
      <c r="F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T373" s="30"/>
      <c r="U373" s="30"/>
      <c r="V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x14ac:dyDescent="0.3">
      <c r="C374" s="30"/>
      <c r="D374" s="30"/>
      <c r="E374" s="30"/>
      <c r="F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T374" s="30"/>
      <c r="U374" s="30"/>
      <c r="V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1:41" x14ac:dyDescent="0.3"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x14ac:dyDescent="0.3">
      <c r="A377" s="22"/>
      <c r="C377" s="23"/>
      <c r="D377" s="23"/>
      <c r="E377" s="23"/>
      <c r="T377" s="23"/>
      <c r="U377" s="23"/>
    </row>
    <row r="379" spans="1:41" x14ac:dyDescent="0.3">
      <c r="A379" s="22"/>
      <c r="C379" s="23"/>
      <c r="T379" s="23"/>
    </row>
    <row r="380" spans="1:41" x14ac:dyDescent="0.3">
      <c r="A380" s="22"/>
      <c r="C380" s="23"/>
      <c r="F380" s="195"/>
      <c r="H380" s="195"/>
      <c r="I380" s="195"/>
      <c r="J380" s="198"/>
      <c r="K380" s="198"/>
      <c r="L380" s="32"/>
      <c r="M380" s="32"/>
      <c r="N380" s="33"/>
      <c r="O380" s="33"/>
      <c r="P380" s="32"/>
      <c r="Q380" s="32"/>
      <c r="R380" s="32"/>
      <c r="T380" s="23"/>
      <c r="V380" s="195"/>
      <c r="Z380" s="195"/>
      <c r="AA380" s="198"/>
      <c r="AB380" s="32"/>
      <c r="AC380" s="32"/>
      <c r="AD380" s="33"/>
      <c r="AE380" s="33"/>
      <c r="AF380" s="32"/>
      <c r="AG380" s="32"/>
      <c r="AH380" s="44"/>
      <c r="AI380" s="44"/>
      <c r="AJ380" s="32"/>
      <c r="AK380" s="32"/>
      <c r="AL380" s="32"/>
      <c r="AM380" s="32"/>
      <c r="AN380" s="33"/>
      <c r="AO380" s="33"/>
    </row>
    <row r="381" spans="1:41" x14ac:dyDescent="0.3">
      <c r="A381" s="22"/>
      <c r="C381" s="23"/>
      <c r="T381" s="23"/>
    </row>
    <row r="382" spans="1:41" x14ac:dyDescent="0.3">
      <c r="A382" s="22"/>
      <c r="C382" s="23"/>
      <c r="F382" s="195"/>
      <c r="H382" s="195"/>
      <c r="I382" s="195"/>
      <c r="J382" s="203"/>
      <c r="K382" s="203"/>
      <c r="L382" s="32"/>
      <c r="M382" s="32"/>
      <c r="N382" s="33"/>
      <c r="O382" s="33"/>
      <c r="P382" s="32"/>
      <c r="Q382" s="32"/>
      <c r="R382" s="32"/>
      <c r="T382" s="23"/>
      <c r="V382" s="32"/>
      <c r="Z382" s="32"/>
      <c r="AA382" s="203"/>
      <c r="AB382" s="32"/>
      <c r="AC382" s="32"/>
      <c r="AD382" s="33"/>
      <c r="AE382" s="33"/>
      <c r="AF382" s="32"/>
      <c r="AG382" s="32"/>
      <c r="AH382" s="44"/>
      <c r="AI382" s="44"/>
      <c r="AJ382" s="32"/>
      <c r="AK382" s="32"/>
      <c r="AL382" s="32"/>
      <c r="AM382" s="32"/>
      <c r="AN382" s="33"/>
      <c r="AO382" s="33"/>
    </row>
    <row r="383" spans="1:41" x14ac:dyDescent="0.3">
      <c r="A383" s="22"/>
      <c r="C383" s="23"/>
      <c r="F383" s="195"/>
      <c r="H383" s="195"/>
      <c r="I383" s="195"/>
      <c r="J383" s="203"/>
      <c r="K383" s="203"/>
      <c r="L383" s="32"/>
      <c r="M383" s="32"/>
      <c r="N383" s="33"/>
      <c r="O383" s="33"/>
      <c r="P383" s="32"/>
      <c r="Q383" s="32"/>
      <c r="R383" s="32"/>
      <c r="T383" s="23"/>
      <c r="V383" s="32"/>
      <c r="Z383" s="32"/>
      <c r="AA383" s="203"/>
      <c r="AB383" s="32"/>
      <c r="AC383" s="32"/>
      <c r="AD383" s="33"/>
      <c r="AE383" s="33"/>
      <c r="AF383" s="32"/>
      <c r="AG383" s="32"/>
      <c r="AH383" s="44"/>
      <c r="AI383" s="44"/>
      <c r="AJ383" s="32"/>
      <c r="AK383" s="32"/>
      <c r="AL383" s="32"/>
      <c r="AM383" s="32"/>
      <c r="AN383" s="33"/>
      <c r="AO383" s="33"/>
    </row>
    <row r="384" spans="1:41" x14ac:dyDescent="0.3">
      <c r="A384" s="22"/>
      <c r="C384" s="23"/>
      <c r="F384" s="195"/>
      <c r="H384" s="195"/>
      <c r="I384" s="195"/>
      <c r="J384" s="203"/>
      <c r="K384" s="203"/>
      <c r="L384" s="32"/>
      <c r="M384" s="32"/>
      <c r="N384" s="33"/>
      <c r="O384" s="33"/>
      <c r="P384" s="32"/>
      <c r="Q384" s="32"/>
      <c r="R384" s="32"/>
      <c r="T384" s="23"/>
      <c r="V384" s="32"/>
      <c r="Z384" s="32"/>
      <c r="AA384" s="203"/>
      <c r="AB384" s="32"/>
      <c r="AC384" s="32"/>
      <c r="AD384" s="33"/>
      <c r="AE384" s="33"/>
      <c r="AF384" s="32"/>
      <c r="AG384" s="32"/>
      <c r="AH384" s="44"/>
      <c r="AI384" s="44"/>
      <c r="AJ384" s="32"/>
      <c r="AK384" s="32"/>
      <c r="AL384" s="32"/>
      <c r="AM384" s="32"/>
      <c r="AN384" s="33"/>
      <c r="AO384" s="33"/>
    </row>
    <row r="385" spans="1:41" x14ac:dyDescent="0.3">
      <c r="A385" s="22"/>
      <c r="C385" s="23"/>
      <c r="F385" s="195"/>
      <c r="H385" s="195"/>
      <c r="I385" s="195"/>
      <c r="J385" s="203"/>
      <c r="K385" s="203"/>
      <c r="L385" s="32"/>
      <c r="M385" s="32"/>
      <c r="N385" s="33"/>
      <c r="O385" s="33"/>
      <c r="P385" s="32"/>
      <c r="Q385" s="32"/>
      <c r="R385" s="32"/>
      <c r="T385" s="23"/>
      <c r="V385" s="32"/>
      <c r="Z385" s="32"/>
      <c r="AA385" s="203"/>
      <c r="AB385" s="32"/>
      <c r="AC385" s="32"/>
      <c r="AD385" s="33"/>
      <c r="AE385" s="33"/>
      <c r="AF385" s="32"/>
      <c r="AG385" s="32"/>
      <c r="AH385" s="44"/>
      <c r="AI385" s="44"/>
      <c r="AJ385" s="32"/>
      <c r="AK385" s="32"/>
      <c r="AL385" s="32"/>
      <c r="AM385" s="32"/>
      <c r="AN385" s="33"/>
      <c r="AO385" s="33"/>
    </row>
    <row r="386" spans="1:41" x14ac:dyDescent="0.3">
      <c r="A386" s="22"/>
      <c r="C386" s="23"/>
      <c r="J386" s="62"/>
      <c r="K386" s="62"/>
      <c r="T386" s="23"/>
      <c r="AA386" s="62"/>
    </row>
    <row r="387" spans="1:41" x14ac:dyDescent="0.3">
      <c r="A387" s="22"/>
      <c r="C387" s="23"/>
      <c r="F387" s="195"/>
      <c r="H387" s="195"/>
      <c r="I387" s="195"/>
      <c r="J387" s="203"/>
      <c r="K387" s="203"/>
      <c r="L387" s="32"/>
      <c r="M387" s="32"/>
      <c r="N387" s="33"/>
      <c r="O387" s="33"/>
      <c r="P387" s="32"/>
      <c r="Q387" s="32"/>
      <c r="R387" s="32"/>
      <c r="T387" s="23"/>
      <c r="V387" s="32"/>
      <c r="Z387" s="32"/>
      <c r="AA387" s="203"/>
      <c r="AB387" s="32"/>
      <c r="AC387" s="32"/>
      <c r="AD387" s="33"/>
      <c r="AE387" s="33"/>
      <c r="AF387" s="32"/>
      <c r="AG387" s="32"/>
      <c r="AH387" s="44"/>
      <c r="AI387" s="44"/>
      <c r="AJ387" s="32"/>
      <c r="AK387" s="32"/>
      <c r="AL387" s="32"/>
      <c r="AM387" s="32"/>
      <c r="AN387" s="33"/>
      <c r="AO387" s="33"/>
    </row>
    <row r="388" spans="1:41" x14ac:dyDescent="0.3">
      <c r="A388" s="22"/>
      <c r="C388" s="23"/>
      <c r="F388" s="195"/>
      <c r="H388" s="195"/>
      <c r="I388" s="195"/>
      <c r="J388" s="203"/>
      <c r="K388" s="203"/>
      <c r="L388" s="32"/>
      <c r="M388" s="32"/>
      <c r="N388" s="33"/>
      <c r="O388" s="33"/>
      <c r="P388" s="32"/>
      <c r="Q388" s="32"/>
      <c r="R388" s="32"/>
      <c r="T388" s="23"/>
      <c r="V388" s="32"/>
      <c r="Z388" s="32"/>
      <c r="AA388" s="203"/>
      <c r="AB388" s="32"/>
      <c r="AC388" s="32"/>
      <c r="AD388" s="33"/>
      <c r="AE388" s="33"/>
      <c r="AF388" s="32"/>
      <c r="AG388" s="32"/>
      <c r="AH388" s="44"/>
      <c r="AI388" s="44"/>
      <c r="AJ388" s="32"/>
      <c r="AK388" s="32"/>
      <c r="AL388" s="32"/>
      <c r="AM388" s="32"/>
      <c r="AN388" s="33"/>
      <c r="AO388" s="33"/>
    </row>
    <row r="389" spans="1:41" x14ac:dyDescent="0.3">
      <c r="A389" s="22"/>
      <c r="C389" s="23"/>
      <c r="F389" s="195"/>
      <c r="H389" s="195"/>
      <c r="I389" s="195"/>
      <c r="J389" s="203"/>
      <c r="K389" s="203"/>
      <c r="L389" s="32"/>
      <c r="M389" s="32"/>
      <c r="N389" s="33"/>
      <c r="O389" s="33"/>
      <c r="P389" s="32"/>
      <c r="Q389" s="32"/>
      <c r="R389" s="32"/>
      <c r="T389" s="23"/>
      <c r="V389" s="32"/>
      <c r="Z389" s="32"/>
      <c r="AA389" s="203"/>
      <c r="AB389" s="32"/>
      <c r="AC389" s="32"/>
      <c r="AD389" s="33"/>
      <c r="AE389" s="33"/>
      <c r="AF389" s="32"/>
      <c r="AG389" s="32"/>
      <c r="AH389" s="44"/>
      <c r="AI389" s="44"/>
      <c r="AJ389" s="32"/>
      <c r="AK389" s="32"/>
      <c r="AL389" s="32"/>
      <c r="AM389" s="32"/>
      <c r="AN389" s="33"/>
      <c r="AO389" s="33"/>
    </row>
    <row r="390" spans="1:41" x14ac:dyDescent="0.3">
      <c r="A390" s="22"/>
      <c r="C390" s="23"/>
      <c r="J390" s="62"/>
      <c r="K390" s="62"/>
      <c r="T390" s="23"/>
      <c r="AA390" s="62"/>
    </row>
    <row r="391" spans="1:41" x14ac:dyDescent="0.3">
      <c r="A391" s="22"/>
      <c r="C391" s="23"/>
      <c r="F391" s="195"/>
      <c r="H391" s="195"/>
      <c r="I391" s="195"/>
      <c r="J391" s="203"/>
      <c r="K391" s="203"/>
      <c r="L391" s="32"/>
      <c r="M391" s="32"/>
      <c r="N391" s="33"/>
      <c r="O391" s="33"/>
      <c r="P391" s="32"/>
      <c r="Q391" s="32"/>
      <c r="R391" s="32"/>
      <c r="T391" s="23"/>
      <c r="V391" s="32"/>
      <c r="Z391" s="32"/>
      <c r="AA391" s="203"/>
      <c r="AB391" s="32"/>
      <c r="AC391" s="32"/>
      <c r="AD391" s="33"/>
      <c r="AE391" s="33"/>
      <c r="AF391" s="32"/>
      <c r="AG391" s="32"/>
      <c r="AH391" s="44"/>
      <c r="AI391" s="44"/>
      <c r="AJ391" s="32"/>
      <c r="AK391" s="32"/>
      <c r="AL391" s="32"/>
      <c r="AM391" s="32"/>
      <c r="AN391" s="33"/>
      <c r="AO391" s="33"/>
    </row>
    <row r="392" spans="1:41" x14ac:dyDescent="0.3">
      <c r="A392" s="22"/>
      <c r="C392" s="23"/>
      <c r="F392" s="195"/>
      <c r="H392" s="195"/>
      <c r="I392" s="195"/>
      <c r="J392" s="203"/>
      <c r="K392" s="203"/>
      <c r="L392" s="32"/>
      <c r="M392" s="32"/>
      <c r="N392" s="33"/>
      <c r="O392" s="33"/>
      <c r="P392" s="32"/>
      <c r="Q392" s="32"/>
      <c r="R392" s="32"/>
      <c r="T392" s="23"/>
      <c r="V392" s="32"/>
      <c r="Z392" s="32"/>
      <c r="AA392" s="203"/>
      <c r="AB392" s="32"/>
      <c r="AC392" s="32"/>
      <c r="AD392" s="33"/>
      <c r="AE392" s="33"/>
      <c r="AF392" s="32"/>
      <c r="AG392" s="32"/>
      <c r="AH392" s="44"/>
      <c r="AI392" s="44"/>
      <c r="AJ392" s="32"/>
      <c r="AK392" s="32"/>
      <c r="AL392" s="32"/>
      <c r="AM392" s="32"/>
      <c r="AN392" s="33"/>
      <c r="AO392" s="33"/>
    </row>
    <row r="393" spans="1:41" x14ac:dyDescent="0.3">
      <c r="A393" s="22"/>
      <c r="C393" s="23"/>
      <c r="J393" s="62"/>
      <c r="K393" s="62"/>
      <c r="T393" s="23"/>
      <c r="AA393" s="62"/>
    </row>
    <row r="394" spans="1:41" x14ac:dyDescent="0.3">
      <c r="A394" s="22"/>
      <c r="C394" s="23"/>
      <c r="F394" s="195"/>
      <c r="H394" s="195"/>
      <c r="I394" s="195"/>
      <c r="J394" s="203"/>
      <c r="K394" s="203"/>
      <c r="L394" s="32"/>
      <c r="M394" s="32"/>
      <c r="N394" s="33"/>
      <c r="O394" s="33"/>
      <c r="P394" s="32"/>
      <c r="Q394" s="32"/>
      <c r="R394" s="32"/>
      <c r="T394" s="23"/>
      <c r="V394" s="32"/>
      <c r="Z394" s="32"/>
      <c r="AA394" s="203"/>
      <c r="AB394" s="32"/>
      <c r="AC394" s="32"/>
      <c r="AD394" s="33"/>
      <c r="AE394" s="33"/>
      <c r="AF394" s="32"/>
      <c r="AG394" s="32"/>
      <c r="AH394" s="44"/>
      <c r="AI394" s="44"/>
      <c r="AJ394" s="32"/>
      <c r="AK394" s="32"/>
      <c r="AL394" s="32"/>
      <c r="AM394" s="32"/>
      <c r="AN394" s="33"/>
      <c r="AO394" s="33"/>
    </row>
    <row r="395" spans="1:41" x14ac:dyDescent="0.3">
      <c r="A395" s="22"/>
      <c r="C395" s="23"/>
      <c r="F395" s="195"/>
      <c r="H395" s="195"/>
      <c r="I395" s="195"/>
      <c r="J395" s="203"/>
      <c r="K395" s="203"/>
      <c r="L395" s="32"/>
      <c r="M395" s="32"/>
      <c r="N395" s="33"/>
      <c r="O395" s="33"/>
      <c r="P395" s="32"/>
      <c r="Q395" s="32"/>
      <c r="R395" s="32"/>
      <c r="T395" s="23"/>
      <c r="V395" s="32"/>
      <c r="Z395" s="32"/>
      <c r="AA395" s="203"/>
      <c r="AB395" s="32"/>
      <c r="AC395" s="32"/>
      <c r="AD395" s="33"/>
      <c r="AE395" s="33"/>
      <c r="AF395" s="32"/>
      <c r="AG395" s="32"/>
      <c r="AH395" s="44"/>
      <c r="AI395" s="44"/>
      <c r="AJ395" s="32"/>
      <c r="AK395" s="32"/>
      <c r="AL395" s="32"/>
      <c r="AM395" s="32"/>
      <c r="AN395" s="33"/>
      <c r="AO395" s="33"/>
    </row>
    <row r="396" spans="1:41" x14ac:dyDescent="0.3">
      <c r="A396" s="22"/>
      <c r="C396" s="23"/>
      <c r="F396" s="195"/>
      <c r="H396" s="195"/>
      <c r="I396" s="195"/>
      <c r="J396" s="203"/>
      <c r="K396" s="203"/>
      <c r="L396" s="32"/>
      <c r="M396" s="32"/>
      <c r="N396" s="33"/>
      <c r="O396" s="33"/>
      <c r="P396" s="32"/>
      <c r="Q396" s="32"/>
      <c r="R396" s="32"/>
      <c r="T396" s="23"/>
      <c r="V396" s="32"/>
      <c r="Z396" s="32"/>
      <c r="AA396" s="203"/>
      <c r="AB396" s="32"/>
      <c r="AC396" s="32"/>
      <c r="AD396" s="33"/>
      <c r="AE396" s="33"/>
      <c r="AF396" s="32"/>
      <c r="AG396" s="32"/>
      <c r="AH396" s="44"/>
      <c r="AI396" s="44"/>
      <c r="AJ396" s="32"/>
      <c r="AK396" s="32"/>
      <c r="AL396" s="32"/>
      <c r="AM396" s="32"/>
      <c r="AN396" s="33"/>
      <c r="AO396" s="33"/>
    </row>
    <row r="397" spans="1:41" x14ac:dyDescent="0.3">
      <c r="F397" s="34"/>
      <c r="H397" s="34"/>
      <c r="I397" s="34"/>
      <c r="J397" s="203"/>
      <c r="K397" s="203"/>
      <c r="L397" s="34"/>
      <c r="M397" s="34"/>
      <c r="N397" s="34"/>
      <c r="O397" s="34"/>
      <c r="P397" s="34"/>
      <c r="Q397" s="34"/>
      <c r="R397" s="34"/>
      <c r="V397" s="34"/>
      <c r="Z397" s="34"/>
      <c r="AA397" s="203"/>
      <c r="AB397" s="34"/>
      <c r="AC397" s="34"/>
      <c r="AD397" s="34"/>
      <c r="AE397" s="34"/>
      <c r="AF397" s="34"/>
      <c r="AG397" s="34"/>
      <c r="AJ397" s="34"/>
      <c r="AK397" s="34"/>
      <c r="AL397" s="34"/>
      <c r="AM397" s="34"/>
    </row>
    <row r="398" spans="1:41" x14ac:dyDescent="0.3">
      <c r="A398" s="22"/>
      <c r="C398" s="30"/>
      <c r="F398" s="32"/>
      <c r="H398" s="32"/>
      <c r="I398" s="32"/>
      <c r="J398" s="62"/>
      <c r="K398" s="62"/>
      <c r="L398" s="32"/>
      <c r="M398" s="32"/>
      <c r="N398" s="44"/>
      <c r="O398" s="44"/>
      <c r="P398" s="32"/>
      <c r="Q398" s="32"/>
      <c r="R398" s="32"/>
      <c r="T398" s="30"/>
      <c r="V398" s="32"/>
      <c r="Z398" s="32"/>
      <c r="AA398" s="62"/>
      <c r="AB398" s="32"/>
      <c r="AC398" s="32"/>
      <c r="AD398" s="32"/>
      <c r="AE398" s="32"/>
      <c r="AF398" s="32"/>
      <c r="AG398" s="32"/>
      <c r="AH398" s="44"/>
      <c r="AI398" s="44"/>
      <c r="AJ398" s="32"/>
      <c r="AK398" s="32"/>
      <c r="AL398" s="32"/>
      <c r="AM398" s="32"/>
      <c r="AN398" s="33"/>
      <c r="AO398" s="33"/>
    </row>
    <row r="399" spans="1:41" x14ac:dyDescent="0.3">
      <c r="F399" s="34"/>
      <c r="H399" s="34"/>
      <c r="I399" s="34"/>
      <c r="J399" s="203"/>
      <c r="K399" s="203"/>
      <c r="L399" s="34"/>
      <c r="M399" s="34"/>
      <c r="N399" s="34"/>
      <c r="O399" s="34"/>
      <c r="P399" s="34"/>
      <c r="Q399" s="34"/>
      <c r="R399" s="34"/>
      <c r="V399" s="34"/>
      <c r="Z399" s="34"/>
      <c r="AA399" s="203"/>
      <c r="AB399" s="34"/>
      <c r="AC399" s="34"/>
      <c r="AD399" s="34"/>
      <c r="AE399" s="34"/>
      <c r="AF399" s="34"/>
      <c r="AG399" s="34"/>
      <c r="AJ399" s="34"/>
      <c r="AK399" s="34"/>
      <c r="AL399" s="34"/>
      <c r="AM399" s="34"/>
    </row>
    <row r="400" spans="1:41" x14ac:dyDescent="0.3">
      <c r="A400" s="22"/>
      <c r="C400" s="23"/>
      <c r="J400" s="62"/>
      <c r="K400" s="62"/>
      <c r="T400" s="23"/>
      <c r="AA400" s="62"/>
    </row>
    <row r="401" spans="1:41" x14ac:dyDescent="0.3">
      <c r="A401" s="22"/>
      <c r="C401" s="23"/>
      <c r="J401" s="62"/>
      <c r="K401" s="62"/>
      <c r="T401" s="23"/>
      <c r="AA401" s="62"/>
    </row>
    <row r="402" spans="1:41" x14ac:dyDescent="0.3">
      <c r="A402" s="22"/>
      <c r="C402" s="23"/>
      <c r="F402" s="195"/>
      <c r="H402" s="195"/>
      <c r="I402" s="195"/>
      <c r="J402" s="203"/>
      <c r="K402" s="203"/>
      <c r="L402" s="32"/>
      <c r="M402" s="32"/>
      <c r="N402" s="33"/>
      <c r="O402" s="33"/>
      <c r="P402" s="32"/>
      <c r="Q402" s="32"/>
      <c r="R402" s="32"/>
      <c r="T402" s="23"/>
      <c r="V402" s="32"/>
      <c r="Z402" s="32"/>
      <c r="AA402" s="203"/>
      <c r="AB402" s="32"/>
      <c r="AC402" s="32"/>
      <c r="AD402" s="33"/>
      <c r="AE402" s="33"/>
      <c r="AF402" s="32"/>
      <c r="AG402" s="32"/>
      <c r="AH402" s="44"/>
      <c r="AI402" s="44"/>
      <c r="AJ402" s="32"/>
      <c r="AK402" s="32"/>
      <c r="AL402" s="32"/>
      <c r="AM402" s="32"/>
      <c r="AN402" s="33"/>
      <c r="AO402" s="33"/>
    </row>
    <row r="403" spans="1:41" x14ac:dyDescent="0.3">
      <c r="A403" s="22"/>
      <c r="C403" s="23"/>
      <c r="F403" s="195"/>
      <c r="H403" s="195"/>
      <c r="I403" s="195"/>
      <c r="J403" s="203"/>
      <c r="K403" s="203"/>
      <c r="L403" s="32"/>
      <c r="M403" s="32"/>
      <c r="N403" s="33"/>
      <c r="O403" s="33"/>
      <c r="P403" s="32"/>
      <c r="Q403" s="32"/>
      <c r="R403" s="32"/>
      <c r="T403" s="23"/>
      <c r="V403" s="32"/>
      <c r="Z403" s="32"/>
      <c r="AA403" s="203"/>
      <c r="AB403" s="32"/>
      <c r="AC403" s="32"/>
      <c r="AD403" s="33"/>
      <c r="AE403" s="33"/>
      <c r="AF403" s="32"/>
      <c r="AG403" s="32"/>
      <c r="AH403" s="44"/>
      <c r="AI403" s="44"/>
      <c r="AJ403" s="32"/>
      <c r="AK403" s="32"/>
      <c r="AL403" s="32"/>
      <c r="AM403" s="32"/>
      <c r="AN403" s="33"/>
      <c r="AO403" s="33"/>
    </row>
    <row r="404" spans="1:41" x14ac:dyDescent="0.3">
      <c r="A404" s="22"/>
      <c r="C404" s="23"/>
      <c r="F404" s="195"/>
      <c r="H404" s="195"/>
      <c r="I404" s="195"/>
      <c r="J404" s="203"/>
      <c r="K404" s="203"/>
      <c r="L404" s="32"/>
      <c r="M404" s="32"/>
      <c r="N404" s="33"/>
      <c r="O404" s="33"/>
      <c r="P404" s="32"/>
      <c r="Q404" s="32"/>
      <c r="R404" s="32"/>
      <c r="T404" s="23"/>
      <c r="V404" s="32"/>
      <c r="Z404" s="32"/>
      <c r="AA404" s="203"/>
      <c r="AB404" s="32"/>
      <c r="AC404" s="32"/>
      <c r="AD404" s="33"/>
      <c r="AE404" s="33"/>
      <c r="AF404" s="32"/>
      <c r="AG404" s="32"/>
      <c r="AH404" s="44"/>
      <c r="AI404" s="44"/>
      <c r="AJ404" s="32"/>
      <c r="AK404" s="32"/>
      <c r="AL404" s="32"/>
      <c r="AM404" s="32"/>
      <c r="AN404" s="33"/>
      <c r="AO404" s="33"/>
    </row>
    <row r="405" spans="1:41" x14ac:dyDescent="0.3">
      <c r="A405" s="22"/>
      <c r="C405" s="23"/>
      <c r="F405" s="195"/>
      <c r="H405" s="195"/>
      <c r="I405" s="195"/>
      <c r="J405" s="203"/>
      <c r="K405" s="203"/>
      <c r="L405" s="32"/>
      <c r="M405" s="32"/>
      <c r="N405" s="33"/>
      <c r="O405" s="33"/>
      <c r="P405" s="32"/>
      <c r="Q405" s="32"/>
      <c r="R405" s="32"/>
      <c r="T405" s="23"/>
      <c r="V405" s="32"/>
      <c r="Z405" s="32"/>
      <c r="AA405" s="203"/>
      <c r="AB405" s="32"/>
      <c r="AC405" s="32"/>
      <c r="AD405" s="33"/>
      <c r="AE405" s="33"/>
      <c r="AF405" s="32"/>
      <c r="AG405" s="32"/>
      <c r="AH405" s="44"/>
      <c r="AI405" s="44"/>
      <c r="AJ405" s="32"/>
      <c r="AK405" s="32"/>
      <c r="AL405" s="32"/>
      <c r="AM405" s="32"/>
      <c r="AN405" s="33"/>
      <c r="AO405" s="33"/>
    </row>
    <row r="406" spans="1:41" x14ac:dyDescent="0.3">
      <c r="A406" s="22"/>
      <c r="C406" s="23"/>
      <c r="F406" s="195"/>
      <c r="H406" s="195"/>
      <c r="I406" s="195"/>
      <c r="J406" s="203"/>
      <c r="K406" s="203"/>
      <c r="L406" s="32"/>
      <c r="M406" s="32"/>
      <c r="N406" s="33"/>
      <c r="O406" s="33"/>
      <c r="P406" s="32"/>
      <c r="Q406" s="32"/>
      <c r="R406" s="32"/>
      <c r="T406" s="23"/>
      <c r="V406" s="32"/>
      <c r="Z406" s="32"/>
      <c r="AA406" s="203"/>
      <c r="AB406" s="32"/>
      <c r="AC406" s="32"/>
      <c r="AD406" s="33"/>
      <c r="AE406" s="33"/>
      <c r="AF406" s="32"/>
      <c r="AG406" s="32"/>
      <c r="AH406" s="44"/>
      <c r="AI406" s="44"/>
      <c r="AJ406" s="32"/>
      <c r="AK406" s="32"/>
      <c r="AL406" s="32"/>
      <c r="AM406" s="32"/>
      <c r="AN406" s="33"/>
      <c r="AO406" s="33"/>
    </row>
    <row r="407" spans="1:41" x14ac:dyDescent="0.3">
      <c r="A407" s="22"/>
      <c r="C407" s="23"/>
      <c r="F407" s="195"/>
      <c r="H407" s="195"/>
      <c r="I407" s="195"/>
      <c r="J407" s="203"/>
      <c r="K407" s="203"/>
      <c r="L407" s="32"/>
      <c r="M407" s="32"/>
      <c r="N407" s="33"/>
      <c r="O407" s="33"/>
      <c r="P407" s="32"/>
      <c r="Q407" s="32"/>
      <c r="R407" s="32"/>
      <c r="T407" s="23"/>
      <c r="V407" s="32"/>
      <c r="Z407" s="32"/>
      <c r="AA407" s="203"/>
      <c r="AB407" s="32"/>
      <c r="AC407" s="32"/>
      <c r="AD407" s="33"/>
      <c r="AE407" s="33"/>
      <c r="AF407" s="32"/>
      <c r="AG407" s="32"/>
      <c r="AH407" s="44"/>
      <c r="AI407" s="44"/>
      <c r="AJ407" s="32"/>
      <c r="AK407" s="32"/>
      <c r="AL407" s="32"/>
      <c r="AM407" s="32"/>
      <c r="AN407" s="33"/>
      <c r="AO407" s="33"/>
    </row>
    <row r="408" spans="1:41" x14ac:dyDescent="0.3">
      <c r="A408" s="22"/>
      <c r="C408" s="23"/>
      <c r="F408" s="195"/>
      <c r="H408" s="195"/>
      <c r="I408" s="195"/>
      <c r="J408" s="203"/>
      <c r="K408" s="203"/>
      <c r="L408" s="32"/>
      <c r="M408" s="32"/>
      <c r="N408" s="33"/>
      <c r="O408" s="33"/>
      <c r="P408" s="32"/>
      <c r="Q408" s="32"/>
      <c r="R408" s="32"/>
      <c r="T408" s="23"/>
      <c r="V408" s="32"/>
      <c r="Z408" s="32"/>
      <c r="AA408" s="203"/>
      <c r="AB408" s="32"/>
      <c r="AC408" s="32"/>
      <c r="AD408" s="33"/>
      <c r="AE408" s="33"/>
      <c r="AF408" s="32"/>
      <c r="AG408" s="32"/>
      <c r="AH408" s="44"/>
      <c r="AI408" s="44"/>
      <c r="AJ408" s="32"/>
      <c r="AK408" s="32"/>
      <c r="AL408" s="32"/>
      <c r="AM408" s="32"/>
      <c r="AN408" s="33"/>
      <c r="AO408" s="33"/>
    </row>
    <row r="409" spans="1:41" x14ac:dyDescent="0.3">
      <c r="A409" s="22"/>
      <c r="C409" s="23"/>
      <c r="J409" s="62"/>
      <c r="K409" s="62"/>
      <c r="T409" s="23"/>
      <c r="AA409" s="62"/>
    </row>
    <row r="410" spans="1:41" x14ac:dyDescent="0.3">
      <c r="A410" s="22"/>
      <c r="C410" s="23"/>
      <c r="F410" s="195"/>
      <c r="H410" s="195"/>
      <c r="I410" s="195"/>
      <c r="J410" s="203"/>
      <c r="K410" s="203"/>
      <c r="L410" s="32"/>
      <c r="M410" s="32"/>
      <c r="N410" s="33"/>
      <c r="O410" s="33"/>
      <c r="P410" s="32"/>
      <c r="Q410" s="32"/>
      <c r="R410" s="32"/>
      <c r="T410" s="23"/>
      <c r="V410" s="32"/>
      <c r="Z410" s="32"/>
      <c r="AA410" s="203"/>
      <c r="AB410" s="32"/>
      <c r="AC410" s="32"/>
      <c r="AD410" s="33"/>
      <c r="AE410" s="33"/>
      <c r="AF410" s="32"/>
      <c r="AG410" s="32"/>
      <c r="AH410" s="44"/>
      <c r="AI410" s="44"/>
      <c r="AJ410" s="32"/>
      <c r="AK410" s="32"/>
      <c r="AL410" s="32"/>
      <c r="AM410" s="32"/>
      <c r="AN410" s="33"/>
      <c r="AO410" s="33"/>
    </row>
    <row r="411" spans="1:41" x14ac:dyDescent="0.3">
      <c r="A411" s="22"/>
      <c r="C411" s="23"/>
      <c r="F411" s="195"/>
      <c r="H411" s="195"/>
      <c r="I411" s="195"/>
      <c r="J411" s="203"/>
      <c r="K411" s="203"/>
      <c r="L411" s="32"/>
      <c r="M411" s="32"/>
      <c r="N411" s="33"/>
      <c r="O411" s="33"/>
      <c r="P411" s="32"/>
      <c r="Q411" s="32"/>
      <c r="R411" s="32"/>
      <c r="T411" s="23"/>
      <c r="V411" s="32"/>
      <c r="Z411" s="32"/>
      <c r="AA411" s="203"/>
      <c r="AB411" s="32"/>
      <c r="AC411" s="32"/>
      <c r="AD411" s="33"/>
      <c r="AE411" s="33"/>
      <c r="AF411" s="32"/>
      <c r="AG411" s="32"/>
      <c r="AH411" s="44"/>
      <c r="AI411" s="44"/>
      <c r="AJ411" s="32"/>
      <c r="AK411" s="32"/>
      <c r="AL411" s="32"/>
      <c r="AM411" s="32"/>
      <c r="AN411" s="33"/>
      <c r="AO411" s="33"/>
    </row>
    <row r="412" spans="1:41" x14ac:dyDescent="0.3">
      <c r="A412" s="22"/>
      <c r="C412" s="23"/>
      <c r="F412" s="195"/>
      <c r="H412" s="195"/>
      <c r="I412" s="195"/>
      <c r="J412" s="203"/>
      <c r="K412" s="203"/>
      <c r="L412" s="32"/>
      <c r="M412" s="32"/>
      <c r="N412" s="33"/>
      <c r="O412" s="33"/>
      <c r="P412" s="32"/>
      <c r="Q412" s="32"/>
      <c r="R412" s="32"/>
      <c r="T412" s="23"/>
      <c r="V412" s="32"/>
      <c r="Z412" s="32"/>
      <c r="AA412" s="203"/>
      <c r="AB412" s="32"/>
      <c r="AC412" s="32"/>
      <c r="AD412" s="33"/>
      <c r="AE412" s="33"/>
      <c r="AF412" s="32"/>
      <c r="AG412" s="32"/>
      <c r="AH412" s="44"/>
      <c r="AI412" s="44"/>
      <c r="AJ412" s="32"/>
      <c r="AK412" s="32"/>
      <c r="AL412" s="32"/>
      <c r="AM412" s="32"/>
      <c r="AN412" s="33"/>
      <c r="AO412" s="33"/>
    </row>
    <row r="413" spans="1:41" x14ac:dyDescent="0.3">
      <c r="A413" s="22"/>
      <c r="C413" s="23"/>
      <c r="F413" s="195"/>
      <c r="H413" s="195"/>
      <c r="I413" s="195"/>
      <c r="J413" s="203"/>
      <c r="K413" s="203"/>
      <c r="L413" s="32"/>
      <c r="M413" s="32"/>
      <c r="N413" s="33"/>
      <c r="O413" s="33"/>
      <c r="P413" s="32"/>
      <c r="Q413" s="32"/>
      <c r="R413" s="32"/>
      <c r="T413" s="23"/>
      <c r="V413" s="32"/>
      <c r="Z413" s="32"/>
      <c r="AA413" s="203"/>
      <c r="AB413" s="32"/>
      <c r="AC413" s="32"/>
      <c r="AD413" s="33"/>
      <c r="AE413" s="33"/>
      <c r="AF413" s="32"/>
      <c r="AG413" s="32"/>
      <c r="AH413" s="44"/>
      <c r="AI413" s="44"/>
      <c r="AJ413" s="32"/>
      <c r="AK413" s="32"/>
      <c r="AL413" s="32"/>
      <c r="AM413" s="32"/>
      <c r="AN413" s="33"/>
      <c r="AO413" s="33"/>
    </row>
    <row r="414" spans="1:41" x14ac:dyDescent="0.3">
      <c r="A414" s="22"/>
      <c r="C414" s="23"/>
      <c r="J414" s="62"/>
      <c r="K414" s="62"/>
      <c r="T414" s="23"/>
      <c r="AA414" s="62"/>
    </row>
    <row r="415" spans="1:41" x14ac:dyDescent="0.3">
      <c r="A415" s="22"/>
      <c r="C415" s="23"/>
      <c r="F415" s="195"/>
      <c r="H415" s="195"/>
      <c r="I415" s="195"/>
      <c r="J415" s="203"/>
      <c r="K415" s="203"/>
      <c r="L415" s="32"/>
      <c r="M415" s="32"/>
      <c r="N415" s="33"/>
      <c r="O415" s="33"/>
      <c r="P415" s="32"/>
      <c r="Q415" s="32"/>
      <c r="R415" s="32"/>
      <c r="T415" s="23"/>
      <c r="V415" s="32"/>
      <c r="Z415" s="32"/>
      <c r="AA415" s="203"/>
      <c r="AB415" s="32"/>
      <c r="AC415" s="32"/>
      <c r="AD415" s="33"/>
      <c r="AE415" s="33"/>
      <c r="AF415" s="32"/>
      <c r="AG415" s="32"/>
      <c r="AH415" s="44"/>
      <c r="AI415" s="44"/>
      <c r="AJ415" s="32"/>
      <c r="AK415" s="32"/>
      <c r="AL415" s="32"/>
      <c r="AM415" s="32"/>
      <c r="AN415" s="33"/>
      <c r="AO415" s="33"/>
    </row>
    <row r="416" spans="1:41" x14ac:dyDescent="0.3">
      <c r="A416" s="22"/>
      <c r="C416" s="23"/>
      <c r="F416" s="195"/>
      <c r="H416" s="195"/>
      <c r="I416" s="195"/>
      <c r="J416" s="203"/>
      <c r="K416" s="203"/>
      <c r="L416" s="32"/>
      <c r="M416" s="32"/>
      <c r="N416" s="33"/>
      <c r="O416" s="33"/>
      <c r="P416" s="32"/>
      <c r="Q416" s="32"/>
      <c r="R416" s="32"/>
      <c r="T416" s="23"/>
      <c r="V416" s="32"/>
      <c r="Z416" s="32"/>
      <c r="AA416" s="203"/>
      <c r="AB416" s="32"/>
      <c r="AC416" s="32"/>
      <c r="AD416" s="33"/>
      <c r="AE416" s="33"/>
      <c r="AF416" s="32"/>
      <c r="AG416" s="32"/>
      <c r="AH416" s="44"/>
      <c r="AI416" s="44"/>
      <c r="AJ416" s="32"/>
      <c r="AK416" s="32"/>
      <c r="AL416" s="32"/>
      <c r="AM416" s="32"/>
      <c r="AN416" s="33"/>
      <c r="AO416" s="33"/>
    </row>
    <row r="417" spans="1:41" x14ac:dyDescent="0.3">
      <c r="A417" s="22"/>
      <c r="C417" s="23"/>
      <c r="F417" s="195"/>
      <c r="H417" s="195"/>
      <c r="I417" s="195"/>
      <c r="J417" s="203"/>
      <c r="K417" s="203"/>
      <c r="L417" s="32"/>
      <c r="M417" s="32"/>
      <c r="N417" s="33"/>
      <c r="O417" s="33"/>
      <c r="P417" s="32"/>
      <c r="Q417" s="32"/>
      <c r="R417" s="32"/>
      <c r="T417" s="23"/>
      <c r="V417" s="32"/>
      <c r="Z417" s="32"/>
      <c r="AA417" s="203"/>
      <c r="AB417" s="32"/>
      <c r="AC417" s="32"/>
      <c r="AD417" s="33"/>
      <c r="AE417" s="33"/>
      <c r="AF417" s="32"/>
      <c r="AG417" s="32"/>
      <c r="AH417" s="44"/>
      <c r="AI417" s="44"/>
      <c r="AJ417" s="32"/>
      <c r="AK417" s="32"/>
      <c r="AL417" s="32"/>
      <c r="AM417" s="32"/>
      <c r="AN417" s="33"/>
      <c r="AO417" s="33"/>
    </row>
    <row r="418" spans="1:41" x14ac:dyDescent="0.3">
      <c r="A418" s="22"/>
      <c r="C418" s="23"/>
      <c r="F418" s="195"/>
      <c r="H418" s="195"/>
      <c r="I418" s="195"/>
      <c r="J418" s="203"/>
      <c r="K418" s="203"/>
      <c r="L418" s="32"/>
      <c r="M418" s="32"/>
      <c r="N418" s="33"/>
      <c r="O418" s="33"/>
      <c r="P418" s="32"/>
      <c r="Q418" s="32"/>
      <c r="R418" s="32"/>
      <c r="T418" s="23"/>
      <c r="V418" s="32"/>
      <c r="Z418" s="32"/>
      <c r="AA418" s="203"/>
      <c r="AB418" s="32"/>
      <c r="AC418" s="32"/>
      <c r="AD418" s="33"/>
      <c r="AE418" s="33"/>
      <c r="AF418" s="32"/>
      <c r="AG418" s="32"/>
      <c r="AH418" s="44"/>
      <c r="AI418" s="44"/>
      <c r="AJ418" s="32"/>
      <c r="AK418" s="32"/>
      <c r="AL418" s="32"/>
      <c r="AM418" s="32"/>
      <c r="AN418" s="33"/>
      <c r="AO418" s="33"/>
    </row>
    <row r="419" spans="1:41" x14ac:dyDescent="0.3">
      <c r="A419" s="22"/>
      <c r="C419" s="23"/>
      <c r="F419" s="195"/>
      <c r="H419" s="195"/>
      <c r="I419" s="195"/>
      <c r="J419" s="203"/>
      <c r="K419" s="203"/>
      <c r="L419" s="32"/>
      <c r="M419" s="32"/>
      <c r="N419" s="33"/>
      <c r="O419" s="33"/>
      <c r="P419" s="32"/>
      <c r="Q419" s="32"/>
      <c r="R419" s="32"/>
      <c r="T419" s="23"/>
      <c r="V419" s="32"/>
      <c r="Z419" s="32"/>
      <c r="AA419" s="203"/>
      <c r="AB419" s="32"/>
      <c r="AC419" s="32"/>
      <c r="AD419" s="33"/>
      <c r="AE419" s="33"/>
      <c r="AF419" s="32"/>
      <c r="AG419" s="32"/>
      <c r="AH419" s="44"/>
      <c r="AI419" s="44"/>
      <c r="AJ419" s="32"/>
      <c r="AK419" s="32"/>
      <c r="AL419" s="32"/>
      <c r="AM419" s="32"/>
      <c r="AN419" s="33"/>
      <c r="AO419" s="33"/>
    </row>
    <row r="420" spans="1:41" x14ac:dyDescent="0.3">
      <c r="F420" s="34"/>
      <c r="H420" s="34"/>
      <c r="I420" s="34"/>
      <c r="J420" s="198"/>
      <c r="K420" s="198"/>
      <c r="L420" s="34"/>
      <c r="M420" s="34"/>
      <c r="N420" s="34"/>
      <c r="O420" s="34"/>
      <c r="P420" s="34"/>
      <c r="Q420" s="34"/>
      <c r="R420" s="34"/>
      <c r="V420" s="34"/>
      <c r="Z420" s="34"/>
      <c r="AA420" s="203"/>
      <c r="AB420" s="34"/>
      <c r="AC420" s="34"/>
      <c r="AD420" s="34"/>
      <c r="AE420" s="34"/>
      <c r="AF420" s="34"/>
      <c r="AG420" s="34"/>
      <c r="AJ420" s="34"/>
      <c r="AK420" s="34"/>
      <c r="AL420" s="34"/>
      <c r="AM420" s="34"/>
    </row>
    <row r="421" spans="1:41" x14ac:dyDescent="0.3">
      <c r="A421" s="22"/>
      <c r="C421" s="23"/>
      <c r="F421" s="32"/>
      <c r="H421" s="32"/>
      <c r="I421" s="32"/>
      <c r="L421" s="32"/>
      <c r="M421" s="32"/>
      <c r="N421" s="44"/>
      <c r="O421" s="44"/>
      <c r="P421" s="32"/>
      <c r="Q421" s="32"/>
      <c r="R421" s="32"/>
      <c r="T421" s="23"/>
      <c r="V421" s="32"/>
      <c r="Z421" s="32"/>
      <c r="AB421" s="32"/>
      <c r="AC421" s="32"/>
      <c r="AD421" s="33"/>
      <c r="AE421" s="33"/>
      <c r="AF421" s="32"/>
      <c r="AG421" s="32"/>
      <c r="AH421" s="44"/>
      <c r="AI421" s="44"/>
      <c r="AJ421" s="32"/>
      <c r="AK421" s="32"/>
      <c r="AL421" s="32"/>
      <c r="AM421" s="32"/>
      <c r="AN421" s="33"/>
      <c r="AO421" s="33"/>
    </row>
    <row r="422" spans="1:41" x14ac:dyDescent="0.3">
      <c r="F422" s="34"/>
      <c r="H422" s="34"/>
      <c r="I422" s="34"/>
      <c r="J422" s="198"/>
      <c r="K422" s="198"/>
      <c r="L422" s="34"/>
      <c r="M422" s="34"/>
      <c r="N422" s="34"/>
      <c r="O422" s="34"/>
      <c r="P422" s="34"/>
      <c r="Q422" s="34"/>
      <c r="R422" s="34"/>
      <c r="V422" s="34"/>
      <c r="Z422" s="34"/>
      <c r="AA422" s="198"/>
      <c r="AB422" s="34"/>
      <c r="AC422" s="34"/>
      <c r="AD422" s="34"/>
      <c r="AE422" s="34"/>
      <c r="AF422" s="34"/>
      <c r="AG422" s="34"/>
      <c r="AJ422" s="34"/>
      <c r="AK422" s="34"/>
      <c r="AL422" s="34"/>
      <c r="AM422" s="34"/>
    </row>
    <row r="423" spans="1:41" x14ac:dyDescent="0.3">
      <c r="A423" s="22"/>
      <c r="C423" s="23"/>
      <c r="T423" s="23"/>
    </row>
    <row r="424" spans="1:41" x14ac:dyDescent="0.3">
      <c r="A424" s="22"/>
      <c r="C424" s="23"/>
      <c r="F424" s="195"/>
      <c r="H424" s="195"/>
      <c r="I424" s="195"/>
      <c r="J424" s="119"/>
      <c r="K424" s="119"/>
      <c r="L424" s="32"/>
      <c r="M424" s="32"/>
      <c r="N424" s="33"/>
      <c r="O424" s="33"/>
      <c r="P424" s="32"/>
      <c r="Q424" s="32"/>
      <c r="R424" s="32"/>
      <c r="T424" s="23"/>
      <c r="V424" s="32"/>
      <c r="Z424" s="32"/>
      <c r="AA424" s="119"/>
      <c r="AB424" s="32"/>
      <c r="AC424" s="32"/>
      <c r="AD424" s="33"/>
      <c r="AE424" s="33"/>
      <c r="AF424" s="32"/>
      <c r="AG424" s="32"/>
      <c r="AH424" s="44"/>
      <c r="AI424" s="44"/>
      <c r="AJ424" s="32"/>
      <c r="AK424" s="32"/>
      <c r="AL424" s="32"/>
      <c r="AM424" s="32"/>
      <c r="AN424" s="33"/>
      <c r="AO424" s="33"/>
    </row>
    <row r="425" spans="1:41" x14ac:dyDescent="0.3">
      <c r="A425" s="22"/>
      <c r="C425" s="23"/>
      <c r="F425" s="195"/>
      <c r="H425" s="195"/>
      <c r="I425" s="195"/>
      <c r="J425" s="119"/>
      <c r="K425" s="119"/>
      <c r="L425" s="32"/>
      <c r="M425" s="32"/>
      <c r="N425" s="33"/>
      <c r="O425" s="33"/>
      <c r="P425" s="32"/>
      <c r="Q425" s="32"/>
      <c r="R425" s="32"/>
      <c r="T425" s="23"/>
      <c r="V425" s="32"/>
      <c r="Z425" s="32"/>
      <c r="AA425" s="119"/>
      <c r="AB425" s="32"/>
      <c r="AC425" s="32"/>
      <c r="AD425" s="33"/>
      <c r="AE425" s="33"/>
      <c r="AF425" s="32"/>
      <c r="AG425" s="32"/>
      <c r="AH425" s="44"/>
      <c r="AI425" s="44"/>
      <c r="AJ425" s="32"/>
      <c r="AK425" s="32"/>
      <c r="AL425" s="32"/>
      <c r="AM425" s="32"/>
      <c r="AN425" s="33"/>
      <c r="AO425" s="33"/>
    </row>
    <row r="426" spans="1:41" x14ac:dyDescent="0.3">
      <c r="F426" s="34"/>
      <c r="H426" s="32"/>
      <c r="I426" s="32"/>
      <c r="J426" s="198"/>
      <c r="K426" s="198"/>
      <c r="L426" s="34"/>
      <c r="M426" s="34"/>
      <c r="N426" s="34"/>
      <c r="O426" s="34"/>
      <c r="P426" s="34"/>
      <c r="Q426" s="34"/>
      <c r="R426" s="34"/>
      <c r="V426" s="34"/>
      <c r="Z426" s="32"/>
      <c r="AA426" s="198"/>
      <c r="AB426" s="34"/>
      <c r="AC426" s="34"/>
      <c r="AD426" s="34"/>
      <c r="AE426" s="34"/>
      <c r="AF426" s="34"/>
      <c r="AG426" s="34"/>
      <c r="AJ426" s="34"/>
      <c r="AK426" s="34"/>
      <c r="AL426" s="34"/>
      <c r="AM426" s="34"/>
    </row>
    <row r="427" spans="1:41" x14ac:dyDescent="0.3">
      <c r="F427" s="32"/>
      <c r="H427" s="32"/>
      <c r="I427" s="32"/>
      <c r="J427" s="198"/>
      <c r="K427" s="198"/>
      <c r="L427" s="32"/>
      <c r="M427" s="32"/>
      <c r="N427" s="32"/>
      <c r="O427" s="32"/>
      <c r="P427" s="32"/>
      <c r="Q427" s="32"/>
      <c r="R427" s="32"/>
      <c r="V427" s="32"/>
      <c r="Z427" s="32"/>
      <c r="AA427" s="198"/>
      <c r="AB427" s="32"/>
      <c r="AC427" s="32"/>
      <c r="AD427" s="32"/>
      <c r="AE427" s="32"/>
      <c r="AF427" s="32"/>
      <c r="AG427" s="32"/>
      <c r="AJ427" s="32"/>
      <c r="AK427" s="32"/>
      <c r="AL427" s="32"/>
      <c r="AM427" s="32"/>
    </row>
    <row r="428" spans="1:41" x14ac:dyDescent="0.3">
      <c r="A428" s="22"/>
      <c r="C428" s="23"/>
      <c r="F428" s="32"/>
      <c r="H428" s="32"/>
      <c r="I428" s="32"/>
      <c r="L428" s="32"/>
      <c r="M428" s="32"/>
      <c r="N428" s="33"/>
      <c r="O428" s="33"/>
      <c r="P428" s="32"/>
      <c r="Q428" s="32"/>
      <c r="R428" s="32"/>
      <c r="T428" s="23"/>
      <c r="V428" s="32"/>
      <c r="Z428" s="32"/>
      <c r="AB428" s="32"/>
      <c r="AC428" s="32"/>
      <c r="AD428" s="33"/>
      <c r="AE428" s="33"/>
      <c r="AF428" s="32"/>
      <c r="AG428" s="32"/>
      <c r="AH428" s="44"/>
      <c r="AI428" s="44"/>
      <c r="AJ428" s="195"/>
      <c r="AK428" s="195"/>
      <c r="AL428" s="32"/>
      <c r="AM428" s="32"/>
      <c r="AN428" s="33"/>
      <c r="AO428" s="33"/>
    </row>
    <row r="429" spans="1:41" x14ac:dyDescent="0.3">
      <c r="F429" s="34"/>
      <c r="H429" s="34"/>
      <c r="I429" s="34"/>
      <c r="J429" s="198"/>
      <c r="K429" s="198"/>
      <c r="L429" s="34"/>
      <c r="M429" s="34"/>
      <c r="N429" s="34"/>
      <c r="O429" s="34"/>
      <c r="P429" s="34"/>
      <c r="Q429" s="34"/>
      <c r="R429" s="34"/>
      <c r="V429" s="34"/>
      <c r="Z429" s="34"/>
      <c r="AA429" s="198"/>
      <c r="AB429" s="34"/>
      <c r="AC429" s="34"/>
      <c r="AD429" s="34"/>
      <c r="AE429" s="34"/>
      <c r="AF429" s="34"/>
      <c r="AG429" s="34"/>
      <c r="AJ429" s="34"/>
      <c r="AK429" s="34"/>
      <c r="AL429" s="34"/>
      <c r="AM429" s="34"/>
    </row>
    <row r="431" spans="1:41" x14ac:dyDescent="0.3">
      <c r="A431" s="23"/>
      <c r="T431" s="23"/>
    </row>
    <row r="432" spans="1:41" x14ac:dyDescent="0.3">
      <c r="A432" s="23"/>
      <c r="T432" s="23"/>
    </row>
    <row r="433" spans="1:39" x14ac:dyDescent="0.3">
      <c r="A433" s="23"/>
      <c r="T433" s="23"/>
    </row>
    <row r="434" spans="1:39" x14ac:dyDescent="0.3">
      <c r="A434" s="23"/>
      <c r="T434" s="23"/>
    </row>
    <row r="435" spans="1:39" x14ac:dyDescent="0.3">
      <c r="A435" s="23"/>
      <c r="T435" s="23"/>
    </row>
    <row r="436" spans="1:39" x14ac:dyDescent="0.3">
      <c r="A436" s="23"/>
      <c r="T436" s="23"/>
    </row>
    <row r="437" spans="1:39" x14ac:dyDescent="0.3">
      <c r="A437" s="23"/>
      <c r="T437" s="23"/>
    </row>
    <row r="438" spans="1:39" x14ac:dyDescent="0.3">
      <c r="A438" s="23"/>
      <c r="T438" s="23"/>
    </row>
    <row r="439" spans="1:39" x14ac:dyDescent="0.3">
      <c r="A439" s="23"/>
      <c r="T439" s="23"/>
    </row>
    <row r="441" spans="1:39" x14ac:dyDescent="0.3">
      <c r="A441" s="23"/>
    </row>
    <row r="442" spans="1:39" x14ac:dyDescent="0.3">
      <c r="J442" s="22"/>
      <c r="K442" s="22"/>
      <c r="AA442" s="22"/>
    </row>
    <row r="443" spans="1:39" x14ac:dyDescent="0.3">
      <c r="H443" s="23"/>
      <c r="I443" s="23"/>
      <c r="Z443" s="23"/>
    </row>
    <row r="444" spans="1:39" x14ac:dyDescent="0.3">
      <c r="J444" s="22"/>
      <c r="K444" s="22"/>
      <c r="AA444" s="22"/>
    </row>
    <row r="445" spans="1:39" x14ac:dyDescent="0.3">
      <c r="L445" s="23"/>
      <c r="M445" s="23"/>
      <c r="AB445" s="23"/>
      <c r="AC445" s="23"/>
    </row>
    <row r="446" spans="1:39" x14ac:dyDescent="0.3">
      <c r="A446" s="22"/>
      <c r="R446" s="23"/>
      <c r="AL446" s="23"/>
      <c r="AM446" s="23"/>
    </row>
    <row r="447" spans="1:39" x14ac:dyDescent="0.3">
      <c r="A447" s="22"/>
      <c r="R447" s="23"/>
      <c r="AL447" s="23"/>
      <c r="AM447" s="23"/>
    </row>
    <row r="448" spans="1:39" x14ac:dyDescent="0.3">
      <c r="A448" s="23"/>
      <c r="R448" s="23"/>
      <c r="AL448" s="23"/>
      <c r="AM448" s="23"/>
    </row>
    <row r="449" spans="1:41" x14ac:dyDescent="0.3">
      <c r="L449" s="23"/>
      <c r="M449" s="23"/>
      <c r="R449" s="22"/>
      <c r="AB449" s="23"/>
      <c r="AC449" s="23"/>
      <c r="AL449" s="22"/>
      <c r="AM449" s="22"/>
    </row>
    <row r="450" spans="1:4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1:41" x14ac:dyDescent="0.3">
      <c r="L451" s="30"/>
      <c r="M451" s="30"/>
      <c r="N451" s="30"/>
      <c r="O451" s="30"/>
      <c r="R451" s="30"/>
      <c r="AB451" s="30"/>
      <c r="AC451" s="30"/>
      <c r="AD451" s="30"/>
      <c r="AE451" s="30"/>
      <c r="AF451" s="30"/>
      <c r="AG451" s="30"/>
      <c r="AH451" s="30"/>
      <c r="AI451" s="30"/>
      <c r="AL451" s="30"/>
      <c r="AM451" s="30"/>
      <c r="AN451" s="30"/>
      <c r="AO451" s="30"/>
    </row>
    <row r="452" spans="1:41" x14ac:dyDescent="0.3">
      <c r="L452" s="30"/>
      <c r="M452" s="30"/>
      <c r="N452" s="30"/>
      <c r="O452" s="30"/>
      <c r="R452" s="30"/>
      <c r="AA452" s="30"/>
      <c r="AB452" s="30"/>
      <c r="AC452" s="30"/>
      <c r="AD452" s="30"/>
      <c r="AE452" s="30"/>
      <c r="AF452" s="30"/>
      <c r="AG452" s="30"/>
      <c r="AH452" s="30"/>
      <c r="AI452" s="30"/>
      <c r="AL452" s="30"/>
      <c r="AM452" s="30"/>
      <c r="AN452" s="30"/>
      <c r="AO452" s="30"/>
    </row>
    <row r="453" spans="1:41" x14ac:dyDescent="0.3">
      <c r="A453" s="30"/>
      <c r="C453" s="30"/>
      <c r="D453" s="30"/>
      <c r="E453" s="30"/>
      <c r="F453" s="30"/>
      <c r="J453" s="30"/>
      <c r="K453" s="30"/>
      <c r="L453" s="30"/>
      <c r="M453" s="30"/>
      <c r="N453" s="30"/>
      <c r="O453" s="30"/>
      <c r="P453" s="30"/>
      <c r="Q453" s="30"/>
      <c r="R453" s="30"/>
      <c r="T453" s="30"/>
      <c r="U453" s="30"/>
      <c r="V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x14ac:dyDescent="0.3">
      <c r="A454" s="30"/>
      <c r="C454" s="30"/>
      <c r="D454" s="30"/>
      <c r="E454" s="30"/>
      <c r="F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T454" s="30"/>
      <c r="U454" s="30"/>
      <c r="V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x14ac:dyDescent="0.3">
      <c r="C455" s="30"/>
      <c r="D455" s="30"/>
      <c r="E455" s="30"/>
      <c r="F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T455" s="30"/>
      <c r="U455" s="30"/>
      <c r="V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1:4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1:41" x14ac:dyDescent="0.3"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</row>
    <row r="458" spans="1:41" x14ac:dyDescent="0.3">
      <c r="A458" s="22"/>
      <c r="C458" s="23"/>
      <c r="D458" s="23"/>
      <c r="E458" s="23"/>
      <c r="T458" s="23"/>
      <c r="U458" s="23"/>
    </row>
    <row r="459" spans="1:41" x14ac:dyDescent="0.3">
      <c r="A459" s="22"/>
      <c r="D459" s="23"/>
      <c r="E459" s="23"/>
      <c r="U459" s="23"/>
    </row>
    <row r="461" spans="1:41" x14ac:dyDescent="0.3">
      <c r="A461" s="22"/>
      <c r="C461" s="23"/>
      <c r="F461" s="32"/>
      <c r="J461" s="59"/>
      <c r="K461" s="59"/>
      <c r="L461" s="32"/>
      <c r="M461" s="32"/>
      <c r="R461" s="32"/>
      <c r="T461" s="23"/>
      <c r="V461" s="32"/>
      <c r="AA461" s="59"/>
      <c r="AB461" s="32"/>
      <c r="AC461" s="32"/>
      <c r="AH461" s="32"/>
      <c r="AI461" s="32"/>
      <c r="AL461" s="32"/>
      <c r="AM461" s="32"/>
    </row>
    <row r="462" spans="1:41" x14ac:dyDescent="0.3">
      <c r="A462" s="22"/>
      <c r="C462" s="23"/>
      <c r="F462" s="32"/>
      <c r="R462" s="32"/>
      <c r="T462" s="23"/>
      <c r="V462" s="32"/>
      <c r="AH462" s="32"/>
      <c r="AI462" s="32"/>
      <c r="AL462" s="32"/>
      <c r="AM462" s="32"/>
    </row>
    <row r="463" spans="1:41" x14ac:dyDescent="0.3">
      <c r="AJ463" s="32"/>
      <c r="AK463" s="32"/>
      <c r="AL463" s="32"/>
      <c r="AM463" s="32"/>
      <c r="AN463" s="33"/>
      <c r="AO463" s="33"/>
    </row>
    <row r="464" spans="1:41" x14ac:dyDescent="0.3">
      <c r="A464" s="22"/>
      <c r="C464" s="23"/>
      <c r="F464" s="195"/>
      <c r="H464" s="195"/>
      <c r="I464" s="195"/>
      <c r="J464" s="206"/>
      <c r="K464" s="206"/>
      <c r="L464" s="32"/>
      <c r="M464" s="32"/>
      <c r="N464" s="33"/>
      <c r="O464" s="33"/>
      <c r="P464" s="32"/>
      <c r="Q464" s="32"/>
      <c r="R464" s="32"/>
      <c r="T464" s="23"/>
      <c r="V464" s="32"/>
      <c r="Z464" s="32"/>
      <c r="AA464" s="206"/>
      <c r="AB464" s="32"/>
      <c r="AC464" s="32"/>
      <c r="AD464" s="33"/>
      <c r="AE464" s="33"/>
      <c r="AF464" s="32"/>
      <c r="AG464" s="32"/>
      <c r="AH464" s="44"/>
      <c r="AI464" s="44"/>
      <c r="AJ464" s="32"/>
      <c r="AK464" s="32"/>
      <c r="AL464" s="32"/>
      <c r="AM464" s="32"/>
      <c r="AN464" s="33"/>
      <c r="AO464" s="33"/>
    </row>
    <row r="465" spans="1:41" x14ac:dyDescent="0.3">
      <c r="F465" s="32"/>
      <c r="H465" s="32"/>
      <c r="I465" s="32"/>
      <c r="J465" s="48"/>
      <c r="K465" s="48"/>
      <c r="L465" s="32"/>
      <c r="M465" s="32"/>
      <c r="P465" s="32"/>
      <c r="Q465" s="32"/>
      <c r="R465" s="32"/>
      <c r="V465" s="32"/>
      <c r="Z465" s="32"/>
      <c r="AA465" s="48"/>
      <c r="AB465" s="32"/>
      <c r="AC465" s="32"/>
      <c r="AJ465" s="32"/>
      <c r="AK465" s="32"/>
      <c r="AL465" s="32"/>
      <c r="AM465" s="32"/>
      <c r="AN465" s="33"/>
      <c r="AO465" s="33"/>
    </row>
    <row r="466" spans="1:41" x14ac:dyDescent="0.3">
      <c r="F466" s="32"/>
      <c r="R466" s="32"/>
      <c r="V466" s="32"/>
      <c r="AL466" s="32"/>
      <c r="AM466" s="32"/>
      <c r="AN466" s="33"/>
      <c r="AO466" s="33"/>
    </row>
    <row r="467" spans="1:41" x14ac:dyDescent="0.3">
      <c r="A467" s="22"/>
      <c r="C467" s="23"/>
      <c r="F467" s="32"/>
      <c r="J467" s="59"/>
      <c r="K467" s="59"/>
      <c r="L467" s="32"/>
      <c r="M467" s="32"/>
      <c r="N467" s="33"/>
      <c r="O467" s="33"/>
      <c r="R467" s="32"/>
      <c r="T467" s="23"/>
      <c r="V467" s="32"/>
      <c r="AA467" s="59"/>
      <c r="AB467" s="32"/>
      <c r="AC467" s="32"/>
      <c r="AD467" s="33"/>
      <c r="AE467" s="33"/>
      <c r="AL467" s="32"/>
      <c r="AM467" s="32"/>
      <c r="AN467" s="33"/>
      <c r="AO467" s="33"/>
    </row>
    <row r="468" spans="1:41" x14ac:dyDescent="0.3">
      <c r="A468" s="22"/>
      <c r="C468" s="23"/>
      <c r="F468" s="32"/>
      <c r="H468" s="32"/>
      <c r="I468" s="32"/>
      <c r="J468" s="59"/>
      <c r="K468" s="59"/>
      <c r="L468" s="32"/>
      <c r="M468" s="32"/>
      <c r="N468" s="33"/>
      <c r="O468" s="33"/>
      <c r="P468" s="32"/>
      <c r="Q468" s="32"/>
      <c r="R468" s="32"/>
      <c r="T468" s="23"/>
      <c r="V468" s="32"/>
      <c r="Z468" s="32"/>
      <c r="AA468" s="59"/>
      <c r="AB468" s="32"/>
      <c r="AC468" s="32"/>
      <c r="AD468" s="33"/>
      <c r="AE468" s="33"/>
      <c r="AJ468" s="32"/>
      <c r="AK468" s="32"/>
      <c r="AL468" s="32"/>
      <c r="AM468" s="32"/>
      <c r="AN468" s="33"/>
      <c r="AO468" s="33"/>
    </row>
    <row r="469" spans="1:41" x14ac:dyDescent="0.3">
      <c r="A469" s="22"/>
      <c r="C469" s="23"/>
      <c r="T469" s="23"/>
      <c r="AN469" s="33"/>
      <c r="AO469" s="33"/>
    </row>
    <row r="470" spans="1:41" x14ac:dyDescent="0.3">
      <c r="A470" s="22"/>
      <c r="C470" s="23"/>
      <c r="T470" s="23"/>
      <c r="AN470" s="33"/>
      <c r="AO470" s="33"/>
    </row>
    <row r="471" spans="1:41" x14ac:dyDescent="0.3">
      <c r="AN471" s="33"/>
      <c r="AO471" s="33"/>
    </row>
    <row r="472" spans="1:41" x14ac:dyDescent="0.3">
      <c r="A472" s="22"/>
      <c r="C472" s="23"/>
      <c r="F472" s="195"/>
      <c r="H472" s="195"/>
      <c r="I472" s="195"/>
      <c r="J472" s="206"/>
      <c r="K472" s="206"/>
      <c r="L472" s="32"/>
      <c r="M472" s="32"/>
      <c r="N472" s="33"/>
      <c r="O472" s="33"/>
      <c r="P472" s="32"/>
      <c r="Q472" s="32"/>
      <c r="R472" s="32"/>
      <c r="T472" s="23"/>
      <c r="V472" s="32"/>
      <c r="Z472" s="32"/>
      <c r="AA472" s="206"/>
      <c r="AB472" s="32"/>
      <c r="AC472" s="32"/>
      <c r="AD472" s="33"/>
      <c r="AE472" s="33"/>
      <c r="AF472" s="32"/>
      <c r="AG472" s="32"/>
      <c r="AH472" s="44"/>
      <c r="AI472" s="44"/>
      <c r="AJ472" s="32"/>
      <c r="AK472" s="32"/>
      <c r="AL472" s="32"/>
      <c r="AM472" s="32"/>
      <c r="AN472" s="33"/>
      <c r="AO472" s="33"/>
    </row>
    <row r="473" spans="1:41" x14ac:dyDescent="0.3">
      <c r="F473" s="34"/>
      <c r="H473" s="34"/>
      <c r="I473" s="34"/>
      <c r="J473" s="198"/>
      <c r="K473" s="198"/>
      <c r="L473" s="34"/>
      <c r="M473" s="34"/>
      <c r="N473" s="34"/>
      <c r="O473" s="34"/>
      <c r="P473" s="34"/>
      <c r="Q473" s="34"/>
      <c r="R473" s="34"/>
      <c r="V473" s="34"/>
      <c r="Z473" s="34"/>
      <c r="AA473" s="198"/>
      <c r="AB473" s="34"/>
      <c r="AC473" s="34"/>
      <c r="AD473" s="34"/>
      <c r="AE473" s="34"/>
      <c r="AF473" s="34"/>
      <c r="AG473" s="34"/>
      <c r="AJ473" s="34"/>
      <c r="AK473" s="34"/>
      <c r="AL473" s="34"/>
      <c r="AM473" s="34"/>
      <c r="AN473" s="33"/>
      <c r="AO473" s="33"/>
    </row>
    <row r="474" spans="1:41" x14ac:dyDescent="0.3">
      <c r="H474" s="32"/>
      <c r="I474" s="32"/>
      <c r="Z474" s="32"/>
      <c r="AN474" s="33"/>
      <c r="AO474" s="33"/>
    </row>
    <row r="475" spans="1:41" x14ac:dyDescent="0.3">
      <c r="A475" s="22"/>
      <c r="C475" s="23"/>
      <c r="F475" s="32"/>
      <c r="H475" s="32"/>
      <c r="I475" s="32"/>
      <c r="L475" s="32"/>
      <c r="M475" s="32"/>
      <c r="N475" s="33"/>
      <c r="O475" s="33"/>
      <c r="P475" s="195"/>
      <c r="Q475" s="195"/>
      <c r="R475" s="32"/>
      <c r="T475" s="23"/>
      <c r="V475" s="32"/>
      <c r="Z475" s="32"/>
      <c r="AB475" s="32"/>
      <c r="AC475" s="32"/>
      <c r="AD475" s="33"/>
      <c r="AE475" s="33"/>
      <c r="AF475" s="32"/>
      <c r="AG475" s="32"/>
      <c r="AH475" s="44"/>
      <c r="AI475" s="44"/>
      <c r="AJ475" s="195"/>
      <c r="AK475" s="195"/>
      <c r="AL475" s="32"/>
      <c r="AM475" s="32"/>
      <c r="AN475" s="33"/>
      <c r="AO475" s="33"/>
    </row>
    <row r="476" spans="1:41" x14ac:dyDescent="0.3">
      <c r="F476" s="34"/>
      <c r="H476" s="34"/>
      <c r="I476" s="34"/>
      <c r="J476" s="198"/>
      <c r="K476" s="198"/>
      <c r="L476" s="34"/>
      <c r="M476" s="34"/>
      <c r="N476" s="34"/>
      <c r="O476" s="34"/>
      <c r="P476" s="34"/>
      <c r="Q476" s="34"/>
      <c r="R476" s="34"/>
      <c r="V476" s="34"/>
      <c r="Z476" s="34"/>
      <c r="AA476" s="198"/>
      <c r="AB476" s="34"/>
      <c r="AC476" s="34"/>
      <c r="AD476" s="34"/>
      <c r="AE476" s="34"/>
      <c r="AF476" s="34"/>
      <c r="AG476" s="34"/>
      <c r="AJ476" s="34"/>
      <c r="AK476" s="34"/>
      <c r="AL476" s="34"/>
      <c r="AM476" s="34"/>
      <c r="AN476" s="33"/>
      <c r="AO476" s="33"/>
    </row>
    <row r="478" spans="1:41" x14ac:dyDescent="0.3">
      <c r="F478" s="32"/>
      <c r="H478" s="32"/>
      <c r="I478" s="32"/>
      <c r="J478" s="48"/>
      <c r="K478" s="48"/>
      <c r="L478" s="32"/>
      <c r="M478" s="32"/>
      <c r="N478" s="32"/>
      <c r="O478" s="32"/>
      <c r="P478" s="32"/>
      <c r="Q478" s="32"/>
      <c r="R478" s="32"/>
      <c r="V478" s="32"/>
      <c r="Z478" s="32"/>
      <c r="AA478" s="48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</row>
    <row r="479" spans="1:41" x14ac:dyDescent="0.3">
      <c r="A479" s="23"/>
    </row>
    <row r="480" spans="1:41" x14ac:dyDescent="0.3">
      <c r="J480" s="22"/>
      <c r="K480" s="22"/>
      <c r="AA480" s="22"/>
    </row>
    <row r="481" spans="1:41" x14ac:dyDescent="0.3">
      <c r="H481" s="23"/>
      <c r="I481" s="23"/>
      <c r="Z481" s="23"/>
    </row>
    <row r="482" spans="1:41" x14ac:dyDescent="0.3">
      <c r="J482" s="22"/>
      <c r="K482" s="22"/>
      <c r="AA482" s="22"/>
    </row>
    <row r="483" spans="1:41" x14ac:dyDescent="0.3">
      <c r="L483" s="23"/>
      <c r="M483" s="23"/>
      <c r="AB483" s="23"/>
      <c r="AC483" s="23"/>
    </row>
    <row r="484" spans="1:41" x14ac:dyDescent="0.3">
      <c r="A484" s="22"/>
      <c r="R484" s="23"/>
      <c r="AL484" s="23"/>
      <c r="AM484" s="23"/>
    </row>
    <row r="485" spans="1:41" x14ac:dyDescent="0.3">
      <c r="A485" s="22"/>
      <c r="R485" s="23"/>
      <c r="AL485" s="23"/>
      <c r="AM485" s="23"/>
    </row>
    <row r="486" spans="1:41" x14ac:dyDescent="0.3">
      <c r="A486" s="23"/>
      <c r="R486" s="23"/>
      <c r="AL486" s="23"/>
      <c r="AM486" s="23"/>
    </row>
    <row r="487" spans="1:41" x14ac:dyDescent="0.3">
      <c r="L487" s="23"/>
      <c r="M487" s="23"/>
      <c r="R487" s="22"/>
      <c r="AB487" s="23"/>
      <c r="AC487" s="23"/>
      <c r="AL487" s="22"/>
      <c r="AM487" s="22"/>
    </row>
    <row r="488" spans="1:4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1:41" x14ac:dyDescent="0.3">
      <c r="L489" s="30"/>
      <c r="M489" s="30"/>
      <c r="N489" s="30"/>
      <c r="O489" s="30"/>
      <c r="R489" s="30"/>
      <c r="AB489" s="30"/>
      <c r="AC489" s="30"/>
      <c r="AD489" s="30"/>
      <c r="AE489" s="30"/>
      <c r="AF489" s="30"/>
      <c r="AG489" s="30"/>
      <c r="AH489" s="30"/>
      <c r="AI489" s="30"/>
      <c r="AL489" s="30"/>
      <c r="AM489" s="30"/>
      <c r="AN489" s="30"/>
      <c r="AO489" s="30"/>
    </row>
    <row r="490" spans="1:41" x14ac:dyDescent="0.3">
      <c r="L490" s="30"/>
      <c r="M490" s="30"/>
      <c r="N490" s="30"/>
      <c r="O490" s="30"/>
      <c r="R490" s="30"/>
      <c r="AA490" s="30"/>
      <c r="AB490" s="30"/>
      <c r="AC490" s="30"/>
      <c r="AD490" s="30"/>
      <c r="AE490" s="30"/>
      <c r="AF490" s="30"/>
      <c r="AG490" s="30"/>
      <c r="AH490" s="30"/>
      <c r="AI490" s="30"/>
      <c r="AL490" s="30"/>
      <c r="AM490" s="30"/>
      <c r="AN490" s="30"/>
      <c r="AO490" s="30"/>
    </row>
    <row r="491" spans="1:41" x14ac:dyDescent="0.3">
      <c r="A491" s="30"/>
      <c r="C491" s="30"/>
      <c r="D491" s="30"/>
      <c r="E491" s="30"/>
      <c r="F491" s="30"/>
      <c r="J491" s="30"/>
      <c r="K491" s="30"/>
      <c r="L491" s="30"/>
      <c r="M491" s="30"/>
      <c r="N491" s="30"/>
      <c r="O491" s="30"/>
      <c r="P491" s="30"/>
      <c r="Q491" s="30"/>
      <c r="R491" s="30"/>
      <c r="T491" s="30"/>
      <c r="U491" s="30"/>
      <c r="V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</row>
    <row r="492" spans="1:41" x14ac:dyDescent="0.3">
      <c r="A492" s="30"/>
      <c r="C492" s="30"/>
      <c r="D492" s="30"/>
      <c r="E492" s="30"/>
      <c r="F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T492" s="30"/>
      <c r="U492" s="30"/>
      <c r="V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</row>
    <row r="493" spans="1:41" x14ac:dyDescent="0.3">
      <c r="C493" s="30"/>
      <c r="D493" s="30"/>
      <c r="E493" s="30"/>
      <c r="F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T493" s="30"/>
      <c r="U493" s="30"/>
      <c r="V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</row>
    <row r="494" spans="1:4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1:41" x14ac:dyDescent="0.3"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</row>
    <row r="496" spans="1:41" x14ac:dyDescent="0.3">
      <c r="A496" s="22"/>
      <c r="C496" s="23"/>
      <c r="D496" s="23"/>
      <c r="E496" s="23"/>
      <c r="T496" s="23"/>
      <c r="U496" s="23"/>
      <c r="V496" s="32"/>
      <c r="W496" s="32"/>
      <c r="X496" s="32"/>
      <c r="Y496" s="32"/>
      <c r="Z496" s="32"/>
      <c r="AA496" s="206"/>
    </row>
    <row r="498" spans="1:41" x14ac:dyDescent="0.3">
      <c r="A498" s="22"/>
      <c r="C498" s="23"/>
      <c r="T498" s="23"/>
      <c r="V498" s="32"/>
      <c r="W498" s="32"/>
      <c r="X498" s="32"/>
      <c r="Y498" s="32"/>
      <c r="Z498" s="32"/>
      <c r="AA498" s="206"/>
    </row>
    <row r="499" spans="1:41" x14ac:dyDescent="0.3">
      <c r="A499" s="22"/>
      <c r="C499" s="23"/>
      <c r="F499" s="195"/>
      <c r="H499" s="195"/>
      <c r="I499" s="195"/>
      <c r="J499" s="203"/>
      <c r="K499" s="203"/>
      <c r="L499" s="32"/>
      <c r="M499" s="32"/>
      <c r="N499" s="33"/>
      <c r="O499" s="33"/>
      <c r="P499" s="32"/>
      <c r="Q499" s="32"/>
      <c r="R499" s="32"/>
      <c r="T499" s="23"/>
      <c r="V499" s="32"/>
      <c r="W499" s="32"/>
      <c r="X499" s="32"/>
      <c r="Y499" s="32"/>
      <c r="Z499" s="32"/>
      <c r="AA499" s="203"/>
      <c r="AB499" s="32"/>
      <c r="AC499" s="32"/>
      <c r="AD499" s="33"/>
      <c r="AE499" s="33"/>
      <c r="AF499" s="32"/>
      <c r="AG499" s="32"/>
      <c r="AH499" s="44"/>
      <c r="AI499" s="44"/>
      <c r="AJ499" s="32"/>
      <c r="AK499" s="32"/>
      <c r="AL499" s="32"/>
      <c r="AM499" s="32"/>
      <c r="AN499" s="33"/>
      <c r="AO499" s="33"/>
    </row>
    <row r="500" spans="1:41" x14ac:dyDescent="0.3">
      <c r="A500" s="22"/>
      <c r="C500" s="23"/>
      <c r="F500" s="195"/>
      <c r="H500" s="195"/>
      <c r="I500" s="195"/>
      <c r="J500" s="203"/>
      <c r="K500" s="203"/>
      <c r="L500" s="32"/>
      <c r="M500" s="32"/>
      <c r="N500" s="33"/>
      <c r="O500" s="33"/>
      <c r="P500" s="32"/>
      <c r="Q500" s="32"/>
      <c r="R500" s="32"/>
      <c r="T500" s="23"/>
      <c r="V500" s="32"/>
      <c r="W500" s="32"/>
      <c r="X500" s="32"/>
      <c r="Y500" s="32"/>
      <c r="Z500" s="32"/>
      <c r="AA500" s="203"/>
      <c r="AB500" s="32"/>
      <c r="AC500" s="32"/>
      <c r="AD500" s="33"/>
      <c r="AE500" s="33"/>
      <c r="AF500" s="32"/>
      <c r="AG500" s="32"/>
      <c r="AH500" s="44"/>
      <c r="AI500" s="44"/>
      <c r="AJ500" s="32"/>
      <c r="AK500" s="32"/>
      <c r="AL500" s="32"/>
      <c r="AM500" s="32"/>
      <c r="AN500" s="33"/>
      <c r="AO500" s="33"/>
    </row>
    <row r="501" spans="1:41" x14ac:dyDescent="0.3">
      <c r="A501" s="22"/>
      <c r="C501" s="23"/>
      <c r="F501" s="195"/>
      <c r="H501" s="195"/>
      <c r="I501" s="195"/>
      <c r="J501" s="203"/>
      <c r="K501" s="203"/>
      <c r="L501" s="32"/>
      <c r="M501" s="32"/>
      <c r="N501" s="33"/>
      <c r="O501" s="33"/>
      <c r="P501" s="32"/>
      <c r="Q501" s="32"/>
      <c r="R501" s="32"/>
      <c r="T501" s="23"/>
      <c r="V501" s="32"/>
      <c r="W501" s="32"/>
      <c r="X501" s="32"/>
      <c r="Y501" s="32"/>
      <c r="Z501" s="32"/>
      <c r="AA501" s="203"/>
      <c r="AB501" s="32"/>
      <c r="AC501" s="32"/>
      <c r="AD501" s="33"/>
      <c r="AE501" s="33"/>
      <c r="AF501" s="32"/>
      <c r="AG501" s="32"/>
      <c r="AH501" s="44"/>
      <c r="AI501" s="44"/>
      <c r="AJ501" s="32"/>
      <c r="AK501" s="32"/>
      <c r="AL501" s="32"/>
      <c r="AM501" s="32"/>
      <c r="AN501" s="33"/>
      <c r="AO501" s="33"/>
    </row>
    <row r="502" spans="1:41" x14ac:dyDescent="0.3">
      <c r="A502" s="22"/>
      <c r="C502" s="23"/>
      <c r="F502" s="195"/>
      <c r="H502" s="195"/>
      <c r="I502" s="195"/>
      <c r="J502" s="203"/>
      <c r="K502" s="203"/>
      <c r="L502" s="32"/>
      <c r="M502" s="32"/>
      <c r="N502" s="33"/>
      <c r="O502" s="33"/>
      <c r="P502" s="32"/>
      <c r="Q502" s="32"/>
      <c r="R502" s="32"/>
      <c r="T502" s="23"/>
      <c r="V502" s="32"/>
      <c r="W502" s="32"/>
      <c r="X502" s="32"/>
      <c r="Y502" s="32"/>
      <c r="Z502" s="32"/>
      <c r="AA502" s="203"/>
      <c r="AB502" s="32"/>
      <c r="AC502" s="32"/>
      <c r="AD502" s="33"/>
      <c r="AE502" s="33"/>
      <c r="AF502" s="32"/>
      <c r="AG502" s="32"/>
      <c r="AH502" s="44"/>
      <c r="AI502" s="44"/>
      <c r="AJ502" s="32"/>
      <c r="AK502" s="32"/>
      <c r="AL502" s="32"/>
      <c r="AM502" s="32"/>
      <c r="AN502" s="33"/>
      <c r="AO502" s="33"/>
    </row>
    <row r="503" spans="1:41" x14ac:dyDescent="0.3">
      <c r="J503" s="62"/>
      <c r="K503" s="62"/>
      <c r="V503" s="32"/>
      <c r="W503" s="32"/>
      <c r="X503" s="32"/>
      <c r="Y503" s="32"/>
      <c r="Z503" s="32"/>
      <c r="AA503" s="203"/>
    </row>
    <row r="504" spans="1:41" x14ac:dyDescent="0.3">
      <c r="A504" s="22"/>
      <c r="C504" s="23"/>
      <c r="F504" s="195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32"/>
      <c r="Z504" s="32"/>
      <c r="AA504" s="203"/>
      <c r="AB504" s="32"/>
      <c r="AC504" s="32"/>
      <c r="AD504" s="33"/>
      <c r="AE504" s="33"/>
      <c r="AF504" s="32"/>
      <c r="AG504" s="32"/>
      <c r="AH504" s="44"/>
      <c r="AI504" s="44"/>
      <c r="AJ504" s="32"/>
      <c r="AK504" s="32"/>
      <c r="AL504" s="32"/>
      <c r="AM504" s="32"/>
      <c r="AN504" s="44"/>
      <c r="AO504" s="44"/>
    </row>
    <row r="505" spans="1:41" x14ac:dyDescent="0.3">
      <c r="A505" s="22"/>
      <c r="C505" s="23"/>
      <c r="J505" s="62"/>
      <c r="K505" s="62"/>
      <c r="T505" s="23"/>
      <c r="V505" s="32"/>
      <c r="W505" s="32"/>
      <c r="X505" s="32"/>
      <c r="Y505" s="32"/>
      <c r="Z505" s="32"/>
      <c r="AA505" s="203"/>
    </row>
    <row r="506" spans="1:41" x14ac:dyDescent="0.3">
      <c r="A506" s="22"/>
      <c r="C506" s="23"/>
      <c r="F506" s="195"/>
      <c r="H506" s="195"/>
      <c r="I506" s="195"/>
      <c r="J506" s="203"/>
      <c r="K506" s="203"/>
      <c r="L506" s="32"/>
      <c r="M506" s="32"/>
      <c r="N506" s="33"/>
      <c r="O506" s="33"/>
      <c r="P506" s="32"/>
      <c r="Q506" s="32"/>
      <c r="R506" s="32"/>
      <c r="T506" s="23"/>
      <c r="V506" s="32"/>
      <c r="W506" s="32"/>
      <c r="X506" s="32"/>
      <c r="Y506" s="32"/>
      <c r="Z506" s="32"/>
      <c r="AA506" s="203"/>
      <c r="AB506" s="32"/>
      <c r="AC506" s="32"/>
      <c r="AD506" s="33"/>
      <c r="AE506" s="33"/>
      <c r="AF506" s="32"/>
      <c r="AG506" s="32"/>
      <c r="AH506" s="44"/>
      <c r="AI506" s="44"/>
      <c r="AJ506" s="32"/>
      <c r="AK506" s="32"/>
      <c r="AL506" s="32"/>
      <c r="AM506" s="32"/>
      <c r="AN506" s="44"/>
      <c r="AO506" s="44"/>
    </row>
    <row r="507" spans="1:41" x14ac:dyDescent="0.3">
      <c r="J507" s="62"/>
      <c r="K507" s="62"/>
      <c r="AA507" s="62"/>
    </row>
    <row r="508" spans="1:41" x14ac:dyDescent="0.3">
      <c r="A508" s="22"/>
      <c r="C508" s="23"/>
      <c r="J508" s="62"/>
      <c r="K508" s="62"/>
      <c r="T508" s="23"/>
      <c r="V508" s="32"/>
      <c r="W508" s="32"/>
      <c r="X508" s="32"/>
      <c r="Y508" s="32"/>
      <c r="Z508" s="32"/>
      <c r="AA508" s="203"/>
    </row>
    <row r="509" spans="1:41" x14ac:dyDescent="0.3">
      <c r="A509" s="22"/>
      <c r="C509" s="23"/>
      <c r="F509" s="195"/>
      <c r="H509" s="195"/>
      <c r="I509" s="195"/>
      <c r="J509" s="203"/>
      <c r="K509" s="203"/>
      <c r="L509" s="32"/>
      <c r="M509" s="32"/>
      <c r="N509" s="33"/>
      <c r="O509" s="33"/>
      <c r="P509" s="32"/>
      <c r="Q509" s="32"/>
      <c r="R509" s="32"/>
      <c r="T509" s="23"/>
      <c r="V509" s="32"/>
      <c r="W509" s="32"/>
      <c r="X509" s="32"/>
      <c r="Y509" s="32"/>
      <c r="Z509" s="32"/>
      <c r="AA509" s="203"/>
      <c r="AB509" s="32"/>
      <c r="AC509" s="32"/>
      <c r="AD509" s="33"/>
      <c r="AE509" s="33"/>
      <c r="AF509" s="32"/>
      <c r="AG509" s="32"/>
      <c r="AH509" s="44"/>
      <c r="AI509" s="44"/>
      <c r="AJ509" s="32"/>
      <c r="AK509" s="32"/>
      <c r="AL509" s="32"/>
      <c r="AM509" s="32"/>
      <c r="AN509" s="44"/>
      <c r="AO509" s="44"/>
    </row>
    <row r="510" spans="1:41" x14ac:dyDescent="0.3">
      <c r="A510" s="22"/>
      <c r="C510" s="23"/>
      <c r="F510" s="195"/>
      <c r="H510" s="195"/>
      <c r="I510" s="195"/>
      <c r="J510" s="203"/>
      <c r="K510" s="203"/>
      <c r="L510" s="32"/>
      <c r="M510" s="32"/>
      <c r="N510" s="33"/>
      <c r="O510" s="33"/>
      <c r="P510" s="32"/>
      <c r="Q510" s="32"/>
      <c r="R510" s="32"/>
      <c r="T510" s="23"/>
      <c r="V510" s="32"/>
      <c r="W510" s="32"/>
      <c r="X510" s="32"/>
      <c r="Y510" s="32"/>
      <c r="Z510" s="32"/>
      <c r="AA510" s="203"/>
      <c r="AB510" s="32"/>
      <c r="AC510" s="32"/>
      <c r="AD510" s="33"/>
      <c r="AE510" s="33"/>
      <c r="AF510" s="32"/>
      <c r="AG510" s="32"/>
      <c r="AH510" s="44"/>
      <c r="AI510" s="44"/>
      <c r="AJ510" s="32"/>
      <c r="AK510" s="32"/>
      <c r="AL510" s="32"/>
      <c r="AM510" s="32"/>
      <c r="AN510" s="44"/>
      <c r="AO510" s="44"/>
    </row>
    <row r="511" spans="1:41" x14ac:dyDescent="0.3">
      <c r="F511" s="34"/>
      <c r="H511" s="34"/>
      <c r="I511" s="34"/>
      <c r="J511" s="203"/>
      <c r="K511" s="203"/>
      <c r="L511" s="34"/>
      <c r="M511" s="34"/>
      <c r="N511" s="34"/>
      <c r="O511" s="34"/>
      <c r="P511" s="34"/>
      <c r="Q511" s="34"/>
      <c r="R511" s="34"/>
      <c r="V511" s="34"/>
      <c r="Z511" s="34"/>
      <c r="AA511" s="198"/>
      <c r="AB511" s="34"/>
      <c r="AC511" s="34"/>
      <c r="AD511" s="34"/>
      <c r="AE511" s="34"/>
      <c r="AF511" s="34"/>
      <c r="AG511" s="34"/>
      <c r="AJ511" s="34"/>
      <c r="AK511" s="34"/>
      <c r="AL511" s="34"/>
      <c r="AM511" s="34"/>
    </row>
    <row r="512" spans="1:41" x14ac:dyDescent="0.3">
      <c r="A512" s="22"/>
      <c r="C512" s="23"/>
      <c r="F512" s="32"/>
      <c r="H512" s="32"/>
      <c r="I512" s="32"/>
      <c r="L512" s="32"/>
      <c r="M512" s="32"/>
      <c r="N512" s="33"/>
      <c r="O512" s="33"/>
      <c r="P512" s="195"/>
      <c r="Q512" s="195"/>
      <c r="R512" s="32"/>
      <c r="T512" s="23"/>
      <c r="V512" s="32"/>
      <c r="W512" s="32"/>
      <c r="X512" s="32"/>
      <c r="Y512" s="32"/>
      <c r="Z512" s="32"/>
      <c r="AA512" s="206"/>
      <c r="AB512" s="32"/>
      <c r="AC512" s="32"/>
      <c r="AD512" s="33"/>
      <c r="AE512" s="33"/>
      <c r="AF512" s="32"/>
      <c r="AG512" s="32"/>
      <c r="AH512" s="44"/>
      <c r="AI512" s="44"/>
      <c r="AJ512" s="195"/>
      <c r="AK512" s="195"/>
      <c r="AL512" s="32"/>
      <c r="AM512" s="32"/>
      <c r="AN512" s="44"/>
      <c r="AO512" s="44"/>
    </row>
    <row r="513" spans="1:41" x14ac:dyDescent="0.3">
      <c r="F513" s="34"/>
      <c r="H513" s="34"/>
      <c r="I513" s="34"/>
      <c r="J513" s="198"/>
      <c r="K513" s="198"/>
      <c r="L513" s="34"/>
      <c r="M513" s="34"/>
      <c r="N513" s="34"/>
      <c r="O513" s="34"/>
      <c r="P513" s="34"/>
      <c r="Q513" s="34"/>
      <c r="R513" s="34"/>
      <c r="V513" s="34"/>
      <c r="Z513" s="34"/>
      <c r="AA513" s="198"/>
      <c r="AB513" s="34"/>
      <c r="AC513" s="34"/>
      <c r="AD513" s="34"/>
      <c r="AE513" s="34"/>
      <c r="AF513" s="34"/>
      <c r="AG513" s="34"/>
      <c r="AJ513" s="34"/>
      <c r="AK513" s="34"/>
      <c r="AL513" s="34"/>
      <c r="AM513" s="34"/>
    </row>
    <row r="515" spans="1:41" x14ac:dyDescent="0.3">
      <c r="C515" s="22"/>
      <c r="T515" s="22"/>
    </row>
    <row r="516" spans="1:41" x14ac:dyDescent="0.3">
      <c r="A516" s="23"/>
    </row>
    <row r="517" spans="1:41" x14ac:dyDescent="0.3">
      <c r="J517" s="22"/>
      <c r="K517" s="22"/>
      <c r="AA517" s="22"/>
    </row>
    <row r="518" spans="1:41" x14ac:dyDescent="0.3">
      <c r="H518" s="23"/>
      <c r="I518" s="23"/>
      <c r="Z518" s="23"/>
    </row>
    <row r="519" spans="1:41" x14ac:dyDescent="0.3">
      <c r="J519" s="22"/>
      <c r="K519" s="22"/>
      <c r="AA519" s="22"/>
    </row>
    <row r="520" spans="1:41" x14ac:dyDescent="0.3">
      <c r="L520" s="23"/>
      <c r="M520" s="23"/>
      <c r="AB520" s="23"/>
      <c r="AC520" s="23"/>
    </row>
    <row r="521" spans="1:41" x14ac:dyDescent="0.3">
      <c r="A521" s="22"/>
      <c r="R521" s="23"/>
      <c r="AL521" s="23"/>
      <c r="AM521" s="23"/>
    </row>
    <row r="522" spans="1:41" x14ac:dyDescent="0.3">
      <c r="A522" s="22"/>
      <c r="R522" s="23"/>
      <c r="AL522" s="23"/>
      <c r="AM522" s="23"/>
    </row>
    <row r="523" spans="1:41" x14ac:dyDescent="0.3">
      <c r="A523" s="23"/>
      <c r="R523" s="23"/>
      <c r="AL523" s="23"/>
      <c r="AM523" s="23"/>
    </row>
    <row r="524" spans="1:41" x14ac:dyDescent="0.3">
      <c r="L524" s="23"/>
      <c r="M524" s="23"/>
      <c r="R524" s="22"/>
      <c r="AB524" s="23"/>
      <c r="AC524" s="23"/>
      <c r="AL524" s="22"/>
      <c r="AM524" s="22"/>
    </row>
    <row r="525" spans="1:4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1:41" x14ac:dyDescent="0.3">
      <c r="L526" s="30"/>
      <c r="M526" s="30"/>
      <c r="N526" s="30"/>
      <c r="O526" s="30"/>
      <c r="R526" s="30"/>
      <c r="AB526" s="30"/>
      <c r="AC526" s="30"/>
      <c r="AD526" s="30"/>
      <c r="AE526" s="30"/>
      <c r="AF526" s="30"/>
      <c r="AG526" s="30"/>
      <c r="AH526" s="30"/>
      <c r="AI526" s="30"/>
      <c r="AL526" s="30"/>
      <c r="AM526" s="30"/>
      <c r="AN526" s="30"/>
      <c r="AO526" s="30"/>
    </row>
    <row r="527" spans="1:41" x14ac:dyDescent="0.3">
      <c r="L527" s="30"/>
      <c r="M527" s="30"/>
      <c r="N527" s="30"/>
      <c r="O527" s="30"/>
      <c r="R527" s="30"/>
      <c r="AA527" s="30"/>
      <c r="AB527" s="30"/>
      <c r="AC527" s="30"/>
      <c r="AD527" s="30"/>
      <c r="AE527" s="30"/>
      <c r="AF527" s="30"/>
      <c r="AG527" s="30"/>
      <c r="AH527" s="30"/>
      <c r="AI527" s="30"/>
      <c r="AL527" s="30"/>
      <c r="AM527" s="30"/>
      <c r="AN527" s="30"/>
      <c r="AO527" s="30"/>
    </row>
    <row r="528" spans="1:41" x14ac:dyDescent="0.3">
      <c r="A528" s="30"/>
      <c r="C528" s="30"/>
      <c r="D528" s="30"/>
      <c r="E528" s="30"/>
      <c r="F528" s="30"/>
      <c r="J528" s="30"/>
      <c r="K528" s="30"/>
      <c r="L528" s="30"/>
      <c r="M528" s="30"/>
      <c r="N528" s="30"/>
      <c r="O528" s="30"/>
      <c r="P528" s="30"/>
      <c r="Q528" s="30"/>
      <c r="R528" s="30"/>
      <c r="T528" s="30"/>
      <c r="U528" s="30"/>
      <c r="V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</row>
    <row r="529" spans="1:41" x14ac:dyDescent="0.3">
      <c r="A529" s="30"/>
      <c r="C529" s="30"/>
      <c r="D529" s="30"/>
      <c r="E529" s="30"/>
      <c r="F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T529" s="30"/>
      <c r="U529" s="30"/>
      <c r="V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</row>
    <row r="530" spans="1:41" x14ac:dyDescent="0.3">
      <c r="C530" s="30"/>
      <c r="D530" s="30"/>
      <c r="E530" s="30"/>
      <c r="F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T530" s="30"/>
      <c r="U530" s="30"/>
      <c r="V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</row>
    <row r="531" spans="1:4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1:41" x14ac:dyDescent="0.3"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</row>
    <row r="533" spans="1:41" x14ac:dyDescent="0.3">
      <c r="A533" s="22"/>
      <c r="C533" s="23"/>
      <c r="D533" s="23"/>
      <c r="E533" s="23"/>
      <c r="T533" s="23"/>
      <c r="U533" s="23"/>
    </row>
    <row r="535" spans="1:41" x14ac:dyDescent="0.3">
      <c r="A535" s="22"/>
      <c r="C535" s="23"/>
      <c r="T535" s="23"/>
    </row>
    <row r="536" spans="1:41" x14ac:dyDescent="0.3">
      <c r="A536" s="22"/>
      <c r="C536" s="23"/>
      <c r="T536" s="23"/>
    </row>
    <row r="537" spans="1:41" x14ac:dyDescent="0.3">
      <c r="A537" s="22"/>
      <c r="C537" s="23"/>
      <c r="F537" s="195"/>
      <c r="H537" s="195"/>
      <c r="I537" s="195"/>
      <c r="J537" s="203"/>
      <c r="K537" s="203"/>
      <c r="L537" s="32"/>
      <c r="M537" s="32"/>
      <c r="N537" s="33"/>
      <c r="O537" s="33"/>
      <c r="P537" s="32"/>
      <c r="Q537" s="32"/>
      <c r="R537" s="32"/>
      <c r="T537" s="23"/>
      <c r="V537" s="32"/>
      <c r="W537" s="32"/>
      <c r="X537" s="32"/>
      <c r="Y537" s="32"/>
      <c r="Z537" s="32"/>
      <c r="AA537" s="203"/>
      <c r="AB537" s="32"/>
      <c r="AC537" s="32"/>
      <c r="AD537" s="33"/>
      <c r="AE537" s="33"/>
      <c r="AF537" s="32"/>
      <c r="AG537" s="32"/>
      <c r="AH537" s="44"/>
      <c r="AI537" s="44"/>
      <c r="AJ537" s="32"/>
      <c r="AK537" s="32"/>
      <c r="AL537" s="32"/>
      <c r="AM537" s="32"/>
      <c r="AN537" s="44"/>
      <c r="AO537" s="44"/>
    </row>
    <row r="538" spans="1:41" x14ac:dyDescent="0.3">
      <c r="A538" s="22"/>
      <c r="C538" s="23"/>
      <c r="F538" s="32"/>
      <c r="H538" s="32"/>
      <c r="I538" s="32"/>
      <c r="J538" s="62"/>
      <c r="K538" s="62"/>
      <c r="L538" s="32"/>
      <c r="M538" s="32"/>
      <c r="N538" s="33"/>
      <c r="O538" s="33"/>
      <c r="P538" s="32"/>
      <c r="Q538" s="32"/>
      <c r="R538" s="32"/>
      <c r="T538" s="23"/>
      <c r="V538" s="32"/>
      <c r="W538" s="32"/>
      <c r="X538" s="32"/>
      <c r="Y538" s="32"/>
      <c r="Z538" s="32"/>
      <c r="AA538" s="62"/>
      <c r="AB538" s="32"/>
      <c r="AC538" s="32"/>
      <c r="AD538" s="33"/>
      <c r="AE538" s="33"/>
      <c r="AF538" s="32"/>
      <c r="AG538" s="32"/>
      <c r="AH538" s="44"/>
      <c r="AI538" s="44"/>
      <c r="AJ538" s="32"/>
      <c r="AK538" s="32"/>
      <c r="AL538" s="32"/>
      <c r="AM538" s="32"/>
      <c r="AN538" s="44"/>
      <c r="AO538" s="44"/>
    </row>
    <row r="539" spans="1:41" x14ac:dyDescent="0.3">
      <c r="A539" s="22"/>
      <c r="C539" s="23"/>
      <c r="F539" s="32"/>
      <c r="H539" s="32"/>
      <c r="I539" s="32"/>
      <c r="J539" s="62"/>
      <c r="K539" s="62"/>
      <c r="L539" s="32"/>
      <c r="M539" s="32"/>
      <c r="N539" s="33"/>
      <c r="O539" s="33"/>
      <c r="P539" s="32"/>
      <c r="Q539" s="32"/>
      <c r="R539" s="32"/>
      <c r="T539" s="23"/>
      <c r="V539" s="32"/>
      <c r="W539" s="32"/>
      <c r="X539" s="32"/>
      <c r="Y539" s="32"/>
      <c r="Z539" s="32"/>
      <c r="AA539" s="62"/>
      <c r="AB539" s="32"/>
      <c r="AC539" s="32"/>
      <c r="AD539" s="33"/>
      <c r="AE539" s="33"/>
      <c r="AF539" s="32"/>
      <c r="AG539" s="32"/>
      <c r="AH539" s="44"/>
      <c r="AI539" s="44"/>
      <c r="AJ539" s="32"/>
      <c r="AK539" s="32"/>
      <c r="AL539" s="32"/>
      <c r="AM539" s="32"/>
      <c r="AN539" s="44"/>
      <c r="AO539" s="44"/>
    </row>
    <row r="540" spans="1:41" x14ac:dyDescent="0.3">
      <c r="A540" s="22"/>
      <c r="C540" s="23"/>
      <c r="F540" s="32"/>
      <c r="H540" s="32"/>
      <c r="I540" s="32"/>
      <c r="J540" s="62"/>
      <c r="K540" s="62"/>
      <c r="T540" s="23"/>
      <c r="V540" s="32"/>
      <c r="AA540" s="62"/>
    </row>
    <row r="541" spans="1:41" x14ac:dyDescent="0.3">
      <c r="A541" s="22"/>
      <c r="C541" s="23"/>
      <c r="F541" s="195"/>
      <c r="H541" s="195"/>
      <c r="I541" s="195"/>
      <c r="J541" s="203"/>
      <c r="K541" s="203"/>
      <c r="L541" s="32"/>
      <c r="M541" s="32"/>
      <c r="N541" s="33"/>
      <c r="O541" s="33"/>
      <c r="P541" s="32"/>
      <c r="Q541" s="32"/>
      <c r="R541" s="32"/>
      <c r="T541" s="23"/>
      <c r="V541" s="32"/>
      <c r="W541" s="32"/>
      <c r="X541" s="32"/>
      <c r="Y541" s="32"/>
      <c r="Z541" s="32"/>
      <c r="AA541" s="203"/>
      <c r="AB541" s="32"/>
      <c r="AC541" s="32"/>
      <c r="AD541" s="33"/>
      <c r="AE541" s="33"/>
      <c r="AF541" s="32"/>
      <c r="AG541" s="32"/>
      <c r="AH541" s="44"/>
      <c r="AI541" s="44"/>
      <c r="AJ541" s="32"/>
      <c r="AK541" s="32"/>
      <c r="AL541" s="32"/>
      <c r="AM541" s="32"/>
      <c r="AN541" s="44"/>
      <c r="AO541" s="44"/>
    </row>
    <row r="542" spans="1:41" x14ac:dyDescent="0.3">
      <c r="A542" s="22"/>
      <c r="C542" s="23"/>
      <c r="F542" s="32"/>
      <c r="H542" s="32"/>
      <c r="I542" s="32"/>
      <c r="J542" s="62"/>
      <c r="K542" s="62"/>
      <c r="T542" s="23"/>
      <c r="V542" s="32"/>
      <c r="W542" s="32"/>
      <c r="X542" s="32"/>
      <c r="Y542" s="32"/>
      <c r="Z542" s="32"/>
      <c r="AA542" s="62"/>
      <c r="AD542" s="33"/>
      <c r="AE542" s="33"/>
      <c r="AF542" s="32"/>
      <c r="AG542" s="32"/>
      <c r="AH542" s="44"/>
      <c r="AI542" s="44"/>
      <c r="AJ542" s="32"/>
      <c r="AK542" s="32"/>
      <c r="AL542" s="32"/>
      <c r="AM542" s="32"/>
      <c r="AN542" s="44"/>
      <c r="AO542" s="44"/>
    </row>
    <row r="543" spans="1:41" x14ac:dyDescent="0.3">
      <c r="A543" s="22"/>
      <c r="C543" s="23"/>
      <c r="F543" s="195"/>
      <c r="H543" s="195"/>
      <c r="I543" s="195"/>
      <c r="J543" s="203"/>
      <c r="K543" s="203"/>
      <c r="L543" s="32"/>
      <c r="M543" s="32"/>
      <c r="N543" s="33"/>
      <c r="O543" s="33"/>
      <c r="P543" s="32"/>
      <c r="Q543" s="32"/>
      <c r="R543" s="32"/>
      <c r="T543" s="23"/>
      <c r="V543" s="32"/>
      <c r="W543" s="32"/>
      <c r="X543" s="32"/>
      <c r="Y543" s="32"/>
      <c r="Z543" s="32"/>
      <c r="AA543" s="203"/>
      <c r="AB543" s="32"/>
      <c r="AC543" s="32"/>
      <c r="AD543" s="33"/>
      <c r="AE543" s="33"/>
      <c r="AF543" s="32"/>
      <c r="AG543" s="32"/>
      <c r="AH543" s="44"/>
      <c r="AI543" s="44"/>
      <c r="AJ543" s="32"/>
      <c r="AK543" s="32"/>
      <c r="AL543" s="32"/>
      <c r="AM543" s="32"/>
      <c r="AN543" s="44"/>
      <c r="AO543" s="44"/>
    </row>
    <row r="544" spans="1:41" x14ac:dyDescent="0.3">
      <c r="A544" s="22"/>
      <c r="C544" s="23"/>
      <c r="F544" s="32"/>
      <c r="H544" s="32"/>
      <c r="I544" s="32"/>
      <c r="J544" s="62"/>
      <c r="K544" s="62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32"/>
      <c r="Z544" s="32"/>
      <c r="AA544" s="62"/>
      <c r="AB544" s="32"/>
      <c r="AC544" s="32"/>
      <c r="AD544" s="33"/>
      <c r="AE544" s="33"/>
      <c r="AF544" s="32"/>
      <c r="AG544" s="32"/>
      <c r="AH544" s="44"/>
      <c r="AI544" s="44"/>
      <c r="AJ544" s="32"/>
      <c r="AK544" s="32"/>
      <c r="AL544" s="32"/>
      <c r="AM544" s="32"/>
      <c r="AN544" s="44"/>
      <c r="AO544" s="44"/>
    </row>
    <row r="545" spans="1:41" x14ac:dyDescent="0.3">
      <c r="F545" s="32"/>
      <c r="H545" s="32"/>
      <c r="I545" s="32"/>
      <c r="J545" s="62"/>
      <c r="K545" s="62"/>
      <c r="AA545" s="62"/>
    </row>
    <row r="546" spans="1:41" x14ac:dyDescent="0.3">
      <c r="A546" s="22"/>
      <c r="C546" s="23"/>
      <c r="F546" s="32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32"/>
      <c r="Z546" s="32"/>
      <c r="AA546" s="203"/>
      <c r="AB546" s="32"/>
      <c r="AC546" s="32"/>
      <c r="AD546" s="33"/>
      <c r="AE546" s="33"/>
      <c r="AF546" s="32"/>
      <c r="AG546" s="32"/>
      <c r="AH546" s="44"/>
      <c r="AI546" s="44"/>
      <c r="AJ546" s="32"/>
      <c r="AK546" s="32"/>
      <c r="AL546" s="32"/>
      <c r="AM546" s="32"/>
      <c r="AN546" s="44"/>
      <c r="AO546" s="44"/>
    </row>
    <row r="547" spans="1:41" x14ac:dyDescent="0.3">
      <c r="F547" s="34"/>
      <c r="H547" s="34"/>
      <c r="I547" s="34"/>
      <c r="J547" s="203"/>
      <c r="K547" s="203"/>
      <c r="L547" s="34"/>
      <c r="M547" s="34"/>
      <c r="N547" s="34"/>
      <c r="O547" s="34"/>
      <c r="P547" s="34"/>
      <c r="Q547" s="34"/>
      <c r="R547" s="34"/>
      <c r="V547" s="34"/>
      <c r="Z547" s="34"/>
      <c r="AA547" s="203"/>
      <c r="AB547" s="34"/>
      <c r="AC547" s="34"/>
      <c r="AD547" s="34"/>
      <c r="AE547" s="34"/>
      <c r="AF547" s="34"/>
      <c r="AG547" s="34"/>
      <c r="AJ547" s="34"/>
      <c r="AK547" s="34"/>
      <c r="AL547" s="34"/>
      <c r="AM547" s="34"/>
    </row>
    <row r="548" spans="1:41" x14ac:dyDescent="0.3">
      <c r="A548" s="22"/>
      <c r="C548" s="23"/>
      <c r="F548" s="32"/>
      <c r="H548" s="32"/>
      <c r="I548" s="32"/>
      <c r="J548" s="62"/>
      <c r="K548" s="62"/>
      <c r="L548" s="32"/>
      <c r="M548" s="32"/>
      <c r="N548" s="22"/>
      <c r="O548" s="22"/>
      <c r="P548" s="32"/>
      <c r="Q548" s="32"/>
      <c r="R548" s="32"/>
      <c r="T548" s="23"/>
      <c r="V548" s="32"/>
      <c r="Z548" s="32"/>
      <c r="AA548" s="62"/>
      <c r="AB548" s="32"/>
      <c r="AC548" s="32"/>
      <c r="AD548" s="44"/>
      <c r="AE548" s="44"/>
      <c r="AF548" s="32"/>
      <c r="AG548" s="32"/>
      <c r="AH548" s="44"/>
      <c r="AI548" s="44"/>
      <c r="AJ548" s="32"/>
      <c r="AK548" s="32"/>
      <c r="AL548" s="32"/>
      <c r="AM548" s="32"/>
      <c r="AN548" s="44"/>
      <c r="AO548" s="44"/>
    </row>
    <row r="549" spans="1:41" x14ac:dyDescent="0.3">
      <c r="F549" s="34"/>
      <c r="H549" s="34"/>
      <c r="I549" s="34"/>
      <c r="J549" s="203"/>
      <c r="K549" s="203"/>
      <c r="L549" s="34"/>
      <c r="M549" s="34"/>
      <c r="N549" s="34"/>
      <c r="O549" s="34"/>
      <c r="P549" s="34"/>
      <c r="Q549" s="34"/>
      <c r="R549" s="34"/>
      <c r="V549" s="34"/>
      <c r="Z549" s="34"/>
      <c r="AA549" s="203"/>
      <c r="AB549" s="34"/>
      <c r="AC549" s="34"/>
      <c r="AD549" s="34"/>
      <c r="AE549" s="34"/>
      <c r="AF549" s="34"/>
      <c r="AG549" s="34"/>
      <c r="AJ549" s="34"/>
      <c r="AK549" s="34"/>
      <c r="AL549" s="34"/>
      <c r="AM549" s="34"/>
    </row>
    <row r="550" spans="1:41" x14ac:dyDescent="0.3">
      <c r="J550" s="62"/>
      <c r="K550" s="62"/>
      <c r="AA550" s="62"/>
    </row>
    <row r="551" spans="1:41" x14ac:dyDescent="0.3">
      <c r="A551" s="22"/>
      <c r="C551" s="23"/>
      <c r="J551" s="62"/>
      <c r="K551" s="62"/>
      <c r="T551" s="23"/>
      <c r="AA551" s="62"/>
    </row>
    <row r="552" spans="1:41" x14ac:dyDescent="0.3">
      <c r="A552" s="22"/>
      <c r="C552" s="23"/>
      <c r="J552" s="62"/>
      <c r="K552" s="62"/>
      <c r="T552" s="23"/>
      <c r="AA552" s="62"/>
    </row>
    <row r="553" spans="1:41" x14ac:dyDescent="0.3">
      <c r="A553" s="22"/>
      <c r="C553" s="23"/>
      <c r="F553" s="195"/>
      <c r="H553" s="195"/>
      <c r="I553" s="195"/>
      <c r="J553" s="203"/>
      <c r="K553" s="203"/>
      <c r="L553" s="32"/>
      <c r="M553" s="32"/>
      <c r="N553" s="33"/>
      <c r="O553" s="33"/>
      <c r="P553" s="32"/>
      <c r="Q553" s="32"/>
      <c r="R553" s="32"/>
      <c r="T553" s="23"/>
      <c r="V553" s="32"/>
      <c r="W553" s="32"/>
      <c r="X553" s="32"/>
      <c r="Y553" s="32"/>
      <c r="Z553" s="32"/>
      <c r="AA553" s="203"/>
      <c r="AB553" s="32"/>
      <c r="AC553" s="32"/>
      <c r="AD553" s="33"/>
      <c r="AE553" s="33"/>
      <c r="AF553" s="32"/>
      <c r="AG553" s="32"/>
      <c r="AH553" s="44"/>
      <c r="AI553" s="44"/>
      <c r="AJ553" s="32"/>
      <c r="AK553" s="32"/>
      <c r="AL553" s="32"/>
      <c r="AM553" s="32"/>
      <c r="AN553" s="44"/>
      <c r="AO553" s="44"/>
    </row>
    <row r="554" spans="1:41" x14ac:dyDescent="0.3">
      <c r="A554" s="22"/>
      <c r="C554" s="23"/>
      <c r="J554" s="62"/>
      <c r="K554" s="62"/>
      <c r="T554" s="23"/>
      <c r="AA554" s="62"/>
    </row>
    <row r="555" spans="1:41" x14ac:dyDescent="0.3">
      <c r="A555" s="22"/>
      <c r="C555" s="23"/>
      <c r="F555" s="195"/>
      <c r="H555" s="195"/>
      <c r="I555" s="195"/>
      <c r="J555" s="203"/>
      <c r="K555" s="203"/>
      <c r="L555" s="32"/>
      <c r="M555" s="32"/>
      <c r="N555" s="33"/>
      <c r="O555" s="33"/>
      <c r="P555" s="32"/>
      <c r="Q555" s="32"/>
      <c r="R555" s="32"/>
      <c r="T555" s="23"/>
      <c r="V555" s="32"/>
      <c r="W555" s="32"/>
      <c r="X555" s="32"/>
      <c r="Y555" s="32"/>
      <c r="Z555" s="32"/>
      <c r="AA555" s="203"/>
      <c r="AB555" s="32"/>
      <c r="AC555" s="32"/>
      <c r="AD555" s="33"/>
      <c r="AE555" s="33"/>
      <c r="AF555" s="32"/>
      <c r="AG555" s="32"/>
      <c r="AH555" s="44"/>
      <c r="AI555" s="44"/>
      <c r="AJ555" s="32"/>
      <c r="AK555" s="32"/>
      <c r="AL555" s="32"/>
      <c r="AM555" s="32"/>
      <c r="AN555" s="44"/>
      <c r="AO555" s="44"/>
    </row>
    <row r="556" spans="1:41" x14ac:dyDescent="0.3">
      <c r="F556" s="34"/>
      <c r="H556" s="34"/>
      <c r="I556" s="34"/>
      <c r="J556" s="203"/>
      <c r="K556" s="203"/>
      <c r="L556" s="34"/>
      <c r="M556" s="34"/>
      <c r="N556" s="34"/>
      <c r="O556" s="34"/>
      <c r="P556" s="34"/>
      <c r="Q556" s="34"/>
      <c r="R556" s="34"/>
      <c r="V556" s="34"/>
      <c r="Z556" s="34"/>
      <c r="AA556" s="203"/>
      <c r="AB556" s="34"/>
      <c r="AC556" s="34"/>
      <c r="AD556" s="34"/>
      <c r="AE556" s="34"/>
      <c r="AF556" s="34"/>
      <c r="AG556" s="34"/>
      <c r="AJ556" s="34"/>
      <c r="AK556" s="34"/>
      <c r="AL556" s="34"/>
      <c r="AM556" s="34"/>
    </row>
    <row r="557" spans="1:41" x14ac:dyDescent="0.3">
      <c r="A557" s="22"/>
      <c r="C557" s="23"/>
      <c r="F557" s="32"/>
      <c r="H557" s="32"/>
      <c r="I557" s="32"/>
      <c r="J557" s="62"/>
      <c r="K557" s="62"/>
      <c r="L557" s="32"/>
      <c r="M557" s="32"/>
      <c r="N557" s="44"/>
      <c r="O557" s="44"/>
      <c r="P557" s="32"/>
      <c r="Q557" s="32"/>
      <c r="R557" s="32"/>
      <c r="T557" s="23"/>
      <c r="V557" s="32"/>
      <c r="Z557" s="32"/>
      <c r="AA557" s="62"/>
      <c r="AB557" s="32"/>
      <c r="AC557" s="32"/>
      <c r="AD557" s="44"/>
      <c r="AE557" s="44"/>
      <c r="AF557" s="32"/>
      <c r="AG557" s="32"/>
      <c r="AH557" s="44"/>
      <c r="AI557" s="44"/>
      <c r="AJ557" s="32"/>
      <c r="AK557" s="32"/>
      <c r="AL557" s="32"/>
      <c r="AM557" s="32"/>
      <c r="AN557" s="44"/>
      <c r="AO557" s="44"/>
    </row>
    <row r="558" spans="1:41" x14ac:dyDescent="0.3">
      <c r="F558" s="34"/>
      <c r="H558" s="34"/>
      <c r="I558" s="34"/>
      <c r="J558" s="203"/>
      <c r="K558" s="203"/>
      <c r="L558" s="34"/>
      <c r="M558" s="34"/>
      <c r="N558" s="34"/>
      <c r="O558" s="34"/>
      <c r="P558" s="34"/>
      <c r="Q558" s="34"/>
      <c r="R558" s="34"/>
      <c r="V558" s="34"/>
      <c r="Z558" s="34"/>
      <c r="AA558" s="198"/>
      <c r="AB558" s="34"/>
      <c r="AC558" s="34"/>
      <c r="AD558" s="34"/>
      <c r="AE558" s="34"/>
      <c r="AF558" s="34"/>
      <c r="AG558" s="34"/>
      <c r="AJ558" s="34"/>
      <c r="AK558" s="34"/>
      <c r="AL558" s="34"/>
      <c r="AM558" s="34"/>
    </row>
    <row r="559" spans="1:41" x14ac:dyDescent="0.3">
      <c r="J559" s="62"/>
      <c r="K559" s="62"/>
    </row>
    <row r="560" spans="1:41" x14ac:dyDescent="0.3">
      <c r="A560" s="22"/>
      <c r="C560" s="23"/>
      <c r="F560" s="32"/>
      <c r="H560" s="32"/>
      <c r="I560" s="32"/>
      <c r="J560" s="62"/>
      <c r="K560" s="62"/>
      <c r="L560" s="32"/>
      <c r="M560" s="32"/>
      <c r="N560" s="33"/>
      <c r="O560" s="33"/>
      <c r="P560" s="195"/>
      <c r="Q560" s="195"/>
      <c r="R560" s="32"/>
      <c r="T560" s="23"/>
      <c r="V560" s="32"/>
      <c r="Z560" s="32"/>
      <c r="AB560" s="32"/>
      <c r="AC560" s="32"/>
      <c r="AD560" s="44"/>
      <c r="AE560" s="44"/>
      <c r="AF560" s="32"/>
      <c r="AG560" s="32"/>
      <c r="AH560" s="44"/>
      <c r="AI560" s="44"/>
      <c r="AJ560" s="195"/>
      <c r="AK560" s="195"/>
      <c r="AL560" s="32"/>
      <c r="AM560" s="32"/>
      <c r="AN560" s="44"/>
      <c r="AO560" s="44"/>
    </row>
    <row r="561" spans="1:41" x14ac:dyDescent="0.3">
      <c r="F561" s="34"/>
      <c r="H561" s="34"/>
      <c r="I561" s="34"/>
      <c r="J561" s="203"/>
      <c r="K561" s="203"/>
      <c r="L561" s="34"/>
      <c r="M561" s="34"/>
      <c r="N561" s="34"/>
      <c r="O561" s="34"/>
      <c r="P561" s="34"/>
      <c r="Q561" s="34"/>
      <c r="R561" s="34"/>
      <c r="V561" s="34"/>
      <c r="Z561" s="34"/>
      <c r="AA561" s="198"/>
      <c r="AB561" s="34"/>
      <c r="AC561" s="34"/>
      <c r="AD561" s="34"/>
      <c r="AE561" s="34"/>
      <c r="AF561" s="34"/>
      <c r="AG561" s="34"/>
      <c r="AJ561" s="34"/>
      <c r="AK561" s="34"/>
      <c r="AL561" s="34"/>
      <c r="AM561" s="34"/>
    </row>
    <row r="563" spans="1:41" x14ac:dyDescent="0.3">
      <c r="C563" s="22"/>
      <c r="T563" s="22"/>
    </row>
    <row r="564" spans="1:41" x14ac:dyDescent="0.3">
      <c r="A564" s="23"/>
    </row>
    <row r="565" spans="1:41" x14ac:dyDescent="0.3">
      <c r="J565" s="22"/>
      <c r="K565" s="22"/>
      <c r="AA565" s="22"/>
    </row>
    <row r="566" spans="1:41" x14ac:dyDescent="0.3">
      <c r="H566" s="23"/>
      <c r="I566" s="23"/>
      <c r="Z566" s="23"/>
    </row>
    <row r="567" spans="1:41" x14ac:dyDescent="0.3">
      <c r="J567" s="22"/>
      <c r="K567" s="22"/>
      <c r="AA567" s="22"/>
    </row>
    <row r="568" spans="1:41" x14ac:dyDescent="0.3">
      <c r="L568" s="23"/>
      <c r="M568" s="23"/>
      <c r="AB568" s="23"/>
      <c r="AC568" s="23"/>
    </row>
    <row r="569" spans="1:41" x14ac:dyDescent="0.3">
      <c r="A569" s="22"/>
      <c r="R569" s="23"/>
      <c r="AL569" s="23"/>
      <c r="AM569" s="23"/>
    </row>
    <row r="570" spans="1:41" x14ac:dyDescent="0.3">
      <c r="A570" s="22"/>
      <c r="R570" s="23"/>
      <c r="AL570" s="23"/>
      <c r="AM570" s="23"/>
    </row>
    <row r="571" spans="1:41" x14ac:dyDescent="0.3">
      <c r="A571" s="23"/>
      <c r="R571" s="23"/>
      <c r="AL571" s="23"/>
      <c r="AM571" s="23"/>
    </row>
    <row r="572" spans="1:41" x14ac:dyDescent="0.3">
      <c r="L572" s="23"/>
      <c r="M572" s="23"/>
      <c r="R572" s="22"/>
      <c r="AB572" s="23"/>
      <c r="AC572" s="23"/>
      <c r="AL572" s="22"/>
      <c r="AM572" s="22"/>
    </row>
    <row r="573" spans="1:4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1:41" x14ac:dyDescent="0.3">
      <c r="L574" s="30"/>
      <c r="M574" s="30"/>
      <c r="N574" s="30"/>
      <c r="O574" s="30"/>
      <c r="R574" s="30"/>
      <c r="AB574" s="30"/>
      <c r="AC574" s="30"/>
      <c r="AD574" s="30"/>
      <c r="AE574" s="30"/>
      <c r="AF574" s="30"/>
      <c r="AG574" s="30"/>
      <c r="AH574" s="30"/>
      <c r="AI574" s="30"/>
      <c r="AL574" s="30"/>
      <c r="AM574" s="30"/>
      <c r="AN574" s="30"/>
      <c r="AO574" s="30"/>
    </row>
    <row r="575" spans="1:41" x14ac:dyDescent="0.3">
      <c r="L575" s="30"/>
      <c r="M575" s="30"/>
      <c r="N575" s="30"/>
      <c r="O575" s="30"/>
      <c r="R575" s="30"/>
      <c r="AA575" s="30"/>
      <c r="AB575" s="30"/>
      <c r="AC575" s="30"/>
      <c r="AD575" s="30"/>
      <c r="AE575" s="30"/>
      <c r="AF575" s="30"/>
      <c r="AG575" s="30"/>
      <c r="AH575" s="30"/>
      <c r="AI575" s="30"/>
      <c r="AL575" s="30"/>
      <c r="AM575" s="30"/>
      <c r="AN575" s="30"/>
      <c r="AO575" s="30"/>
    </row>
    <row r="576" spans="1:41" x14ac:dyDescent="0.3">
      <c r="A576" s="30"/>
      <c r="C576" s="30"/>
      <c r="D576" s="30"/>
      <c r="E576" s="30"/>
      <c r="F576" s="30"/>
      <c r="J576" s="30"/>
      <c r="K576" s="30"/>
      <c r="L576" s="30"/>
      <c r="M576" s="30"/>
      <c r="N576" s="30"/>
      <c r="O576" s="30"/>
      <c r="P576" s="30"/>
      <c r="Q576" s="30"/>
      <c r="R576" s="30"/>
      <c r="T576" s="30"/>
      <c r="U576" s="30"/>
      <c r="V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</row>
    <row r="577" spans="1:41" x14ac:dyDescent="0.3">
      <c r="A577" s="30"/>
      <c r="C577" s="30"/>
      <c r="D577" s="30"/>
      <c r="E577" s="30"/>
      <c r="F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T577" s="30"/>
      <c r="U577" s="30"/>
      <c r="V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</row>
    <row r="578" spans="1:41" x14ac:dyDescent="0.3">
      <c r="C578" s="30"/>
      <c r="D578" s="30"/>
      <c r="E578" s="30"/>
      <c r="F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T578" s="30"/>
      <c r="U578" s="30"/>
      <c r="V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</row>
    <row r="579" spans="1:4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1:41" x14ac:dyDescent="0.3"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</row>
    <row r="581" spans="1:41" x14ac:dyDescent="0.3">
      <c r="A581" s="22"/>
      <c r="C581" s="23"/>
      <c r="D581" s="23"/>
      <c r="E581" s="23"/>
      <c r="T581" s="23"/>
      <c r="U581" s="23"/>
    </row>
    <row r="583" spans="1:41" x14ac:dyDescent="0.3">
      <c r="A583" s="22"/>
      <c r="C583" s="23"/>
      <c r="D583" s="23"/>
      <c r="E583" s="23"/>
      <c r="T583" s="23"/>
      <c r="U583" s="23"/>
    </row>
    <row r="584" spans="1:41" x14ac:dyDescent="0.3">
      <c r="A584" s="22"/>
      <c r="C584" s="23"/>
      <c r="T584" s="23"/>
    </row>
    <row r="585" spans="1:41" x14ac:dyDescent="0.3">
      <c r="A585" s="22"/>
      <c r="C585" s="23"/>
      <c r="T585" s="23"/>
    </row>
    <row r="586" spans="1:41" x14ac:dyDescent="0.3">
      <c r="A586" s="22"/>
      <c r="C586" s="23"/>
      <c r="F586" s="195"/>
      <c r="H586" s="195"/>
      <c r="I586" s="195"/>
      <c r="J586" s="203"/>
      <c r="K586" s="203"/>
      <c r="L586" s="32"/>
      <c r="M586" s="32"/>
      <c r="N586" s="33"/>
      <c r="O586" s="33"/>
      <c r="P586" s="32"/>
      <c r="Q586" s="32"/>
      <c r="R586" s="32"/>
      <c r="T586" s="23"/>
      <c r="V586" s="32"/>
      <c r="W586" s="32"/>
      <c r="X586" s="32"/>
      <c r="Y586" s="32"/>
      <c r="Z586" s="32"/>
      <c r="AA586" s="203"/>
      <c r="AB586" s="32"/>
      <c r="AC586" s="32"/>
      <c r="AD586" s="33"/>
      <c r="AE586" s="33"/>
      <c r="AF586" s="32"/>
      <c r="AG586" s="32"/>
      <c r="AH586" s="44"/>
      <c r="AI586" s="44"/>
      <c r="AJ586" s="32"/>
      <c r="AK586" s="32"/>
      <c r="AL586" s="32"/>
      <c r="AM586" s="32"/>
      <c r="AN586" s="33"/>
      <c r="AO586" s="33"/>
    </row>
    <row r="587" spans="1:41" x14ac:dyDescent="0.3">
      <c r="A587" s="22"/>
      <c r="C587" s="23"/>
      <c r="J587" s="62"/>
      <c r="K587" s="62"/>
      <c r="T587" s="23"/>
      <c r="V587" s="32"/>
      <c r="W587" s="32"/>
      <c r="X587" s="32"/>
      <c r="Y587" s="32"/>
      <c r="Z587" s="32"/>
      <c r="AA587" s="203"/>
    </row>
    <row r="588" spans="1:41" x14ac:dyDescent="0.3">
      <c r="A588" s="22"/>
      <c r="C588" s="23"/>
      <c r="F588" s="195"/>
      <c r="H588" s="195"/>
      <c r="I588" s="195"/>
      <c r="J588" s="203"/>
      <c r="K588" s="203"/>
      <c r="L588" s="32"/>
      <c r="M588" s="32"/>
      <c r="N588" s="33"/>
      <c r="O588" s="33"/>
      <c r="P588" s="32"/>
      <c r="Q588" s="32"/>
      <c r="R588" s="32"/>
      <c r="T588" s="23"/>
      <c r="V588" s="32"/>
      <c r="W588" s="32"/>
      <c r="X588" s="32"/>
      <c r="Y588" s="32"/>
      <c r="Z588" s="32"/>
      <c r="AA588" s="203"/>
      <c r="AB588" s="32"/>
      <c r="AC588" s="32"/>
      <c r="AD588" s="33"/>
      <c r="AE588" s="33"/>
      <c r="AF588" s="32"/>
      <c r="AG588" s="32"/>
      <c r="AH588" s="44"/>
      <c r="AI588" s="44"/>
      <c r="AJ588" s="32"/>
      <c r="AK588" s="32"/>
      <c r="AL588" s="32"/>
      <c r="AM588" s="32"/>
      <c r="AN588" s="33"/>
      <c r="AO588" s="33"/>
    </row>
    <row r="589" spans="1:41" x14ac:dyDescent="0.3">
      <c r="A589" s="22"/>
      <c r="C589" s="23"/>
      <c r="J589" s="62"/>
      <c r="K589" s="62"/>
      <c r="T589" s="23"/>
      <c r="V589" s="32"/>
      <c r="W589" s="32"/>
      <c r="X589" s="32"/>
      <c r="Y589" s="32"/>
      <c r="Z589" s="32"/>
      <c r="AA589" s="203"/>
    </row>
    <row r="590" spans="1:41" x14ac:dyDescent="0.3">
      <c r="A590" s="22"/>
      <c r="C590" s="23"/>
      <c r="F590" s="195"/>
      <c r="H590" s="195"/>
      <c r="I590" s="195"/>
      <c r="J590" s="203"/>
      <c r="K590" s="203"/>
      <c r="L590" s="32"/>
      <c r="M590" s="32"/>
      <c r="N590" s="33"/>
      <c r="O590" s="33"/>
      <c r="P590" s="32"/>
      <c r="Q590" s="32"/>
      <c r="R590" s="32"/>
      <c r="T590" s="23"/>
      <c r="V590" s="32"/>
      <c r="W590" s="32"/>
      <c r="X590" s="32"/>
      <c r="Y590" s="32"/>
      <c r="Z590" s="32"/>
      <c r="AA590" s="203"/>
      <c r="AB590" s="32"/>
      <c r="AC590" s="32"/>
      <c r="AD590" s="33"/>
      <c r="AE590" s="33"/>
      <c r="AF590" s="32"/>
      <c r="AG590" s="32"/>
      <c r="AH590" s="44"/>
      <c r="AI590" s="44"/>
      <c r="AJ590" s="32"/>
      <c r="AK590" s="32"/>
      <c r="AL590" s="32"/>
      <c r="AM590" s="32"/>
      <c r="AN590" s="33"/>
      <c r="AO590" s="33"/>
    </row>
    <row r="591" spans="1:41" x14ac:dyDescent="0.3">
      <c r="A591" s="22"/>
      <c r="C591" s="23"/>
      <c r="J591" s="62"/>
      <c r="K591" s="62"/>
      <c r="T591" s="23"/>
      <c r="V591" s="32"/>
      <c r="W591" s="32"/>
      <c r="X591" s="32"/>
      <c r="Y591" s="32"/>
      <c r="Z591" s="32"/>
      <c r="AA591" s="203"/>
    </row>
    <row r="592" spans="1:41" x14ac:dyDescent="0.3">
      <c r="A592" s="22"/>
      <c r="C592" s="23"/>
      <c r="F592" s="195"/>
      <c r="H592" s="195"/>
      <c r="I592" s="195"/>
      <c r="J592" s="203"/>
      <c r="K592" s="203"/>
      <c r="L592" s="32"/>
      <c r="M592" s="32"/>
      <c r="N592" s="33"/>
      <c r="O592" s="33"/>
      <c r="P592" s="32"/>
      <c r="Q592" s="32"/>
      <c r="R592" s="32"/>
      <c r="T592" s="23"/>
      <c r="V592" s="32"/>
      <c r="W592" s="32"/>
      <c r="X592" s="32"/>
      <c r="Y592" s="32"/>
      <c r="Z592" s="32"/>
      <c r="AA592" s="203"/>
      <c r="AB592" s="32"/>
      <c r="AC592" s="32"/>
      <c r="AD592" s="33"/>
      <c r="AE592" s="33"/>
      <c r="AF592" s="32"/>
      <c r="AG592" s="32"/>
      <c r="AH592" s="44"/>
      <c r="AI592" s="44"/>
      <c r="AJ592" s="32"/>
      <c r="AK592" s="32"/>
      <c r="AL592" s="32"/>
      <c r="AM592" s="32"/>
      <c r="AN592" s="33"/>
      <c r="AO592" s="33"/>
    </row>
    <row r="593" spans="1:41" x14ac:dyDescent="0.3">
      <c r="A593" s="22"/>
      <c r="C593" s="23"/>
      <c r="J593" s="62"/>
      <c r="K593" s="62"/>
      <c r="T593" s="23"/>
      <c r="V593" s="32"/>
      <c r="W593" s="32"/>
      <c r="X593" s="32"/>
      <c r="Y593" s="32"/>
      <c r="Z593" s="32"/>
      <c r="AA593" s="203"/>
    </row>
    <row r="594" spans="1:41" x14ac:dyDescent="0.3">
      <c r="A594" s="22"/>
      <c r="C594" s="23"/>
      <c r="F594" s="195"/>
      <c r="H594" s="195"/>
      <c r="I594" s="195"/>
      <c r="J594" s="203"/>
      <c r="K594" s="203"/>
      <c r="L594" s="32"/>
      <c r="M594" s="32"/>
      <c r="N594" s="33"/>
      <c r="O594" s="33"/>
      <c r="P594" s="32"/>
      <c r="Q594" s="32"/>
      <c r="R594" s="32"/>
      <c r="T594" s="23"/>
      <c r="V594" s="32"/>
      <c r="W594" s="32"/>
      <c r="X594" s="32"/>
      <c r="Y594" s="32"/>
      <c r="Z594" s="32"/>
      <c r="AA594" s="203"/>
      <c r="AB594" s="32"/>
      <c r="AC594" s="32"/>
      <c r="AD594" s="33"/>
      <c r="AE594" s="33"/>
      <c r="AF594" s="32"/>
      <c r="AG594" s="32"/>
      <c r="AH594" s="44"/>
      <c r="AI594" s="44"/>
      <c r="AJ594" s="32"/>
      <c r="AK594" s="32"/>
      <c r="AL594" s="32"/>
      <c r="AM594" s="32"/>
      <c r="AN594" s="33"/>
      <c r="AO594" s="33"/>
    </row>
    <row r="595" spans="1:41" x14ac:dyDescent="0.3">
      <c r="A595" s="22"/>
      <c r="C595" s="23"/>
      <c r="J595" s="62"/>
      <c r="K595" s="62"/>
      <c r="T595" s="23"/>
      <c r="V595" s="32"/>
      <c r="W595" s="32"/>
      <c r="X595" s="32"/>
      <c r="Y595" s="32"/>
      <c r="Z595" s="32"/>
      <c r="AA595" s="203"/>
    </row>
    <row r="596" spans="1:41" x14ac:dyDescent="0.3">
      <c r="A596" s="22"/>
      <c r="C596" s="23"/>
      <c r="F596" s="195"/>
      <c r="H596" s="195"/>
      <c r="I596" s="195"/>
      <c r="J596" s="203"/>
      <c r="K596" s="203"/>
      <c r="L596" s="32"/>
      <c r="M596" s="32"/>
      <c r="N596" s="33"/>
      <c r="O596" s="33"/>
      <c r="P596" s="32"/>
      <c r="Q596" s="32"/>
      <c r="R596" s="32"/>
      <c r="T596" s="23"/>
      <c r="V596" s="32"/>
      <c r="W596" s="32"/>
      <c r="X596" s="32"/>
      <c r="Y596" s="32"/>
      <c r="Z596" s="32"/>
      <c r="AA596" s="203"/>
      <c r="AB596" s="32"/>
      <c r="AC596" s="32"/>
      <c r="AD596" s="33"/>
      <c r="AE596" s="33"/>
      <c r="AF596" s="32"/>
      <c r="AG596" s="32"/>
      <c r="AH596" s="44"/>
      <c r="AI596" s="44"/>
      <c r="AJ596" s="32"/>
      <c r="AK596" s="32"/>
      <c r="AL596" s="32"/>
      <c r="AM596" s="32"/>
      <c r="AN596" s="33"/>
      <c r="AO596" s="33"/>
    </row>
    <row r="597" spans="1:41" x14ac:dyDescent="0.3">
      <c r="F597" s="34"/>
      <c r="H597" s="34"/>
      <c r="I597" s="34"/>
      <c r="J597" s="203"/>
      <c r="K597" s="203"/>
      <c r="L597" s="34"/>
      <c r="M597" s="34"/>
      <c r="N597" s="34"/>
      <c r="O597" s="34"/>
      <c r="P597" s="34"/>
      <c r="Q597" s="34"/>
      <c r="R597" s="34"/>
      <c r="V597" s="34"/>
      <c r="Z597" s="34"/>
      <c r="AA597" s="203"/>
      <c r="AB597" s="34"/>
      <c r="AC597" s="34"/>
      <c r="AD597" s="34"/>
      <c r="AE597" s="34"/>
      <c r="AF597" s="34"/>
      <c r="AG597" s="34"/>
      <c r="AJ597" s="34"/>
      <c r="AK597" s="34"/>
      <c r="AL597" s="34"/>
      <c r="AM597" s="34"/>
      <c r="AN597" s="33"/>
      <c r="AO597" s="33"/>
    </row>
    <row r="598" spans="1:41" x14ac:dyDescent="0.3">
      <c r="A598" s="22"/>
      <c r="C598" s="23"/>
      <c r="F598" s="32"/>
      <c r="H598" s="32"/>
      <c r="I598" s="32"/>
      <c r="J598" s="62"/>
      <c r="K598" s="62"/>
      <c r="L598" s="32"/>
      <c r="M598" s="32"/>
      <c r="N598" s="33"/>
      <c r="O598" s="33"/>
      <c r="P598" s="195"/>
      <c r="Q598" s="195"/>
      <c r="R598" s="32"/>
      <c r="T598" s="23"/>
      <c r="V598" s="32"/>
      <c r="W598" s="32"/>
      <c r="X598" s="32"/>
      <c r="Y598" s="32"/>
      <c r="Z598" s="32"/>
      <c r="AA598" s="203"/>
      <c r="AB598" s="32"/>
      <c r="AC598" s="32"/>
      <c r="AD598" s="33"/>
      <c r="AE598" s="33"/>
      <c r="AF598" s="32"/>
      <c r="AG598" s="32"/>
      <c r="AH598" s="44"/>
      <c r="AI598" s="44"/>
      <c r="AJ598" s="195"/>
      <c r="AK598" s="195"/>
      <c r="AL598" s="32"/>
      <c r="AM598" s="32"/>
      <c r="AN598" s="33"/>
      <c r="AO598" s="33"/>
    </row>
    <row r="599" spans="1:41" x14ac:dyDescent="0.3">
      <c r="F599" s="34"/>
      <c r="H599" s="34"/>
      <c r="I599" s="34"/>
      <c r="J599" s="203"/>
      <c r="K599" s="203"/>
      <c r="L599" s="34"/>
      <c r="M599" s="34"/>
      <c r="N599" s="34"/>
      <c r="O599" s="34"/>
      <c r="P599" s="34"/>
      <c r="Q599" s="34"/>
      <c r="R599" s="34"/>
      <c r="V599" s="34"/>
      <c r="Z599" s="34"/>
      <c r="AA599" s="203"/>
      <c r="AB599" s="34"/>
      <c r="AC599" s="34"/>
      <c r="AD599" s="34"/>
      <c r="AE599" s="34"/>
      <c r="AF599" s="34"/>
      <c r="AG599" s="34"/>
      <c r="AJ599" s="34"/>
      <c r="AK599" s="34"/>
      <c r="AL599" s="34"/>
      <c r="AM599" s="34"/>
    </row>
    <row r="600" spans="1:41" x14ac:dyDescent="0.3">
      <c r="A600" s="22"/>
      <c r="C600" s="23"/>
      <c r="D600" s="23"/>
      <c r="E600" s="23"/>
      <c r="J600" s="62"/>
      <c r="K600" s="62"/>
      <c r="T600" s="23"/>
      <c r="U600" s="23"/>
      <c r="V600" s="32"/>
      <c r="W600" s="32"/>
      <c r="X600" s="32"/>
      <c r="Y600" s="32"/>
      <c r="Z600" s="32"/>
      <c r="AA600" s="203"/>
    </row>
    <row r="601" spans="1:41" x14ac:dyDescent="0.3">
      <c r="A601" s="22"/>
      <c r="C601" s="23"/>
      <c r="J601" s="62"/>
      <c r="K601" s="62"/>
      <c r="T601" s="23"/>
      <c r="V601" s="32"/>
      <c r="W601" s="32"/>
      <c r="X601" s="32"/>
      <c r="Y601" s="32"/>
      <c r="Z601" s="32"/>
      <c r="AA601" s="203"/>
    </row>
    <row r="602" spans="1:41" x14ac:dyDescent="0.3">
      <c r="A602" s="22"/>
      <c r="C602" s="23"/>
      <c r="J602" s="62"/>
      <c r="K602" s="62"/>
      <c r="T602" s="23"/>
      <c r="V602" s="32"/>
      <c r="W602" s="32"/>
      <c r="X602" s="32"/>
      <c r="Y602" s="32"/>
      <c r="Z602" s="32"/>
      <c r="AA602" s="203"/>
    </row>
    <row r="603" spans="1:41" x14ac:dyDescent="0.3">
      <c r="A603" s="22"/>
      <c r="C603" s="23"/>
      <c r="F603" s="195"/>
      <c r="H603" s="195"/>
      <c r="I603" s="195"/>
      <c r="J603" s="203"/>
      <c r="K603" s="203"/>
      <c r="L603" s="32"/>
      <c r="M603" s="32"/>
      <c r="N603" s="33"/>
      <c r="O603" s="33"/>
      <c r="P603" s="32"/>
      <c r="Q603" s="32"/>
      <c r="R603" s="32"/>
      <c r="T603" s="23"/>
      <c r="V603" s="32"/>
      <c r="W603" s="32"/>
      <c r="X603" s="32"/>
      <c r="Y603" s="32"/>
      <c r="Z603" s="32"/>
      <c r="AA603" s="203"/>
      <c r="AB603" s="32"/>
      <c r="AC603" s="32"/>
      <c r="AD603" s="33"/>
      <c r="AE603" s="33"/>
      <c r="AF603" s="32"/>
      <c r="AG603" s="32"/>
      <c r="AH603" s="44"/>
      <c r="AI603" s="44"/>
      <c r="AJ603" s="32"/>
      <c r="AK603" s="32"/>
      <c r="AL603" s="32"/>
      <c r="AM603" s="32"/>
      <c r="AN603" s="33"/>
      <c r="AO603" s="33"/>
    </row>
    <row r="604" spans="1:41" x14ac:dyDescent="0.3">
      <c r="A604" s="22"/>
      <c r="C604" s="23"/>
      <c r="J604" s="62"/>
      <c r="K604" s="62"/>
      <c r="T604" s="23"/>
      <c r="V604" s="32"/>
      <c r="W604" s="32"/>
      <c r="X604" s="32"/>
      <c r="Y604" s="32"/>
      <c r="Z604" s="32"/>
      <c r="AA604" s="203"/>
    </row>
    <row r="605" spans="1:41" x14ac:dyDescent="0.3">
      <c r="A605" s="22"/>
      <c r="C605" s="23"/>
      <c r="F605" s="195"/>
      <c r="H605" s="195"/>
      <c r="I605" s="195"/>
      <c r="J605" s="203"/>
      <c r="K605" s="203"/>
      <c r="L605" s="32"/>
      <c r="M605" s="32"/>
      <c r="N605" s="33"/>
      <c r="O605" s="33"/>
      <c r="P605" s="32"/>
      <c r="Q605" s="32"/>
      <c r="R605" s="32"/>
      <c r="T605" s="23"/>
      <c r="V605" s="32"/>
      <c r="W605" s="32"/>
      <c r="X605" s="32"/>
      <c r="Y605" s="32"/>
      <c r="Z605" s="32"/>
      <c r="AA605" s="203"/>
      <c r="AB605" s="32"/>
      <c r="AC605" s="32"/>
      <c r="AD605" s="33"/>
      <c r="AE605" s="33"/>
      <c r="AF605" s="32"/>
      <c r="AG605" s="32"/>
      <c r="AH605" s="44"/>
      <c r="AI605" s="44"/>
      <c r="AJ605" s="32"/>
      <c r="AK605" s="32"/>
      <c r="AL605" s="32"/>
      <c r="AM605" s="32"/>
      <c r="AN605" s="33"/>
      <c r="AO605" s="33"/>
    </row>
    <row r="606" spans="1:41" x14ac:dyDescent="0.3">
      <c r="F606" s="34"/>
      <c r="H606" s="34"/>
      <c r="I606" s="34"/>
      <c r="J606" s="203"/>
      <c r="K606" s="203"/>
      <c r="L606" s="34"/>
      <c r="M606" s="34"/>
      <c r="N606" s="34"/>
      <c r="O606" s="34"/>
      <c r="P606" s="34"/>
      <c r="Q606" s="34"/>
      <c r="R606" s="34"/>
      <c r="V606" s="34"/>
      <c r="Z606" s="34"/>
      <c r="AA606" s="198"/>
      <c r="AB606" s="34"/>
      <c r="AC606" s="34"/>
      <c r="AD606" s="34"/>
      <c r="AE606" s="34"/>
      <c r="AF606" s="34"/>
      <c r="AG606" s="34"/>
      <c r="AJ606" s="34"/>
      <c r="AK606" s="34"/>
      <c r="AL606" s="34"/>
      <c r="AM606" s="34"/>
    </row>
    <row r="607" spans="1:41" x14ac:dyDescent="0.3">
      <c r="A607" s="22"/>
      <c r="C607" s="23"/>
      <c r="F607" s="32"/>
      <c r="H607" s="32"/>
      <c r="I607" s="32"/>
      <c r="L607" s="32"/>
      <c r="M607" s="32"/>
      <c r="N607" s="33"/>
      <c r="O607" s="33"/>
      <c r="P607" s="195"/>
      <c r="Q607" s="195"/>
      <c r="R607" s="32"/>
      <c r="T607" s="23"/>
      <c r="V607" s="32"/>
      <c r="W607" s="32"/>
      <c r="X607" s="32"/>
      <c r="Y607" s="32"/>
      <c r="Z607" s="32"/>
      <c r="AA607" s="206"/>
      <c r="AB607" s="32"/>
      <c r="AC607" s="32"/>
      <c r="AD607" s="33"/>
      <c r="AE607" s="33"/>
      <c r="AF607" s="32"/>
      <c r="AG607" s="32"/>
      <c r="AH607" s="44"/>
      <c r="AI607" s="44"/>
      <c r="AJ607" s="195"/>
      <c r="AK607" s="195"/>
      <c r="AL607" s="32"/>
      <c r="AM607" s="32"/>
      <c r="AN607" s="33"/>
      <c r="AO607" s="33"/>
    </row>
    <row r="608" spans="1:41" x14ac:dyDescent="0.3">
      <c r="F608" s="34"/>
      <c r="H608" s="34"/>
      <c r="I608" s="34"/>
      <c r="J608" s="198"/>
      <c r="K608" s="198"/>
      <c r="L608" s="34"/>
      <c r="M608" s="34"/>
      <c r="N608" s="34"/>
      <c r="O608" s="34"/>
      <c r="P608" s="34"/>
      <c r="Q608" s="34"/>
      <c r="R608" s="34"/>
      <c r="V608" s="34"/>
      <c r="Z608" s="34"/>
      <c r="AA608" s="198"/>
      <c r="AB608" s="34"/>
      <c r="AC608" s="34"/>
      <c r="AD608" s="34"/>
      <c r="AE608" s="34"/>
      <c r="AF608" s="34"/>
      <c r="AG608" s="34"/>
      <c r="AJ608" s="34"/>
      <c r="AK608" s="34"/>
      <c r="AL608" s="34"/>
      <c r="AM608" s="34"/>
    </row>
    <row r="609" spans="1:41" x14ac:dyDescent="0.3">
      <c r="A609" s="22"/>
      <c r="C609" s="23"/>
      <c r="D609" s="23"/>
      <c r="E609" s="23"/>
      <c r="T609" s="23"/>
      <c r="U609" s="23"/>
      <c r="V609" s="32"/>
      <c r="W609" s="32"/>
      <c r="X609" s="32"/>
      <c r="Y609" s="32"/>
      <c r="Z609" s="32"/>
      <c r="AA609" s="206"/>
    </row>
    <row r="610" spans="1:41" x14ac:dyDescent="0.3">
      <c r="A610" s="22"/>
      <c r="C610" s="23"/>
      <c r="T610" s="23"/>
      <c r="V610" s="32"/>
      <c r="W610" s="32"/>
      <c r="X610" s="32"/>
      <c r="Y610" s="32"/>
      <c r="Z610" s="32"/>
      <c r="AA610" s="206"/>
    </row>
    <row r="611" spans="1:41" x14ac:dyDescent="0.3">
      <c r="A611" s="22"/>
      <c r="C611" s="23"/>
      <c r="F611" s="195"/>
      <c r="H611" s="195"/>
      <c r="I611" s="195"/>
      <c r="J611" s="206"/>
      <c r="K611" s="206"/>
      <c r="L611" s="32"/>
      <c r="M611" s="32"/>
      <c r="N611" s="33"/>
      <c r="O611" s="33"/>
      <c r="P611" s="32"/>
      <c r="Q611" s="32"/>
      <c r="R611" s="32"/>
      <c r="T611" s="23"/>
      <c r="V611" s="32"/>
      <c r="W611" s="32"/>
      <c r="X611" s="32"/>
      <c r="Y611" s="32"/>
      <c r="Z611" s="32"/>
      <c r="AA611" s="206"/>
      <c r="AB611" s="32"/>
      <c r="AC611" s="32"/>
      <c r="AD611" s="33"/>
      <c r="AE611" s="33"/>
      <c r="AF611" s="32"/>
      <c r="AG611" s="32"/>
      <c r="AH611" s="44"/>
      <c r="AI611" s="44"/>
      <c r="AJ611" s="32"/>
      <c r="AK611" s="32"/>
      <c r="AL611" s="32"/>
      <c r="AM611" s="32"/>
      <c r="AN611" s="33"/>
      <c r="AO611" s="33"/>
    </row>
    <row r="612" spans="1:41" x14ac:dyDescent="0.3">
      <c r="A612" s="22"/>
      <c r="C612" s="23"/>
      <c r="T612" s="23"/>
      <c r="V612" s="32"/>
      <c r="W612" s="32"/>
      <c r="X612" s="32"/>
      <c r="Y612" s="32"/>
      <c r="Z612" s="32"/>
      <c r="AA612" s="206"/>
    </row>
    <row r="613" spans="1:41" x14ac:dyDescent="0.3">
      <c r="A613" s="22"/>
      <c r="C613" s="23"/>
      <c r="F613" s="195"/>
      <c r="H613" s="195"/>
      <c r="I613" s="195"/>
      <c r="J613" s="206"/>
      <c r="K613" s="206"/>
      <c r="L613" s="32"/>
      <c r="M613" s="32"/>
      <c r="N613" s="33"/>
      <c r="O613" s="33"/>
      <c r="P613" s="32"/>
      <c r="Q613" s="32"/>
      <c r="R613" s="32"/>
      <c r="T613" s="23"/>
      <c r="V613" s="32"/>
      <c r="W613" s="32"/>
      <c r="X613" s="32"/>
      <c r="Y613" s="32"/>
      <c r="Z613" s="32"/>
      <c r="AA613" s="206"/>
      <c r="AB613" s="32"/>
      <c r="AC613" s="32"/>
      <c r="AD613" s="33"/>
      <c r="AE613" s="33"/>
      <c r="AF613" s="32"/>
      <c r="AG613" s="32"/>
      <c r="AH613" s="44"/>
      <c r="AI613" s="44"/>
      <c r="AJ613" s="32"/>
      <c r="AK613" s="32"/>
      <c r="AL613" s="32"/>
      <c r="AM613" s="32"/>
      <c r="AN613" s="33"/>
      <c r="AO613" s="33"/>
    </row>
    <row r="614" spans="1:41" x14ac:dyDescent="0.3">
      <c r="A614" s="22"/>
      <c r="C614" s="23"/>
      <c r="T614" s="23"/>
      <c r="V614" s="32"/>
      <c r="W614" s="32"/>
      <c r="X614" s="32"/>
      <c r="Y614" s="32"/>
      <c r="Z614" s="32"/>
      <c r="AA614" s="206"/>
    </row>
    <row r="615" spans="1:41" x14ac:dyDescent="0.3">
      <c r="A615" s="22"/>
      <c r="C615" s="23"/>
      <c r="F615" s="195"/>
      <c r="H615" s="195"/>
      <c r="I615" s="195"/>
      <c r="J615" s="206"/>
      <c r="K615" s="206"/>
      <c r="L615" s="32"/>
      <c r="M615" s="32"/>
      <c r="N615" s="33"/>
      <c r="O615" s="33"/>
      <c r="P615" s="32"/>
      <c r="Q615" s="32"/>
      <c r="R615" s="32"/>
      <c r="T615" s="23"/>
      <c r="V615" s="32"/>
      <c r="W615" s="32"/>
      <c r="X615" s="32"/>
      <c r="Y615" s="32"/>
      <c r="Z615" s="32"/>
      <c r="AA615" s="206"/>
      <c r="AB615" s="32"/>
      <c r="AC615" s="32"/>
      <c r="AD615" s="33"/>
      <c r="AE615" s="33"/>
      <c r="AF615" s="32"/>
      <c r="AG615" s="32"/>
      <c r="AH615" s="44"/>
      <c r="AI615" s="44"/>
      <c r="AJ615" s="32"/>
      <c r="AK615" s="32"/>
      <c r="AL615" s="32"/>
      <c r="AM615" s="32"/>
      <c r="AN615" s="33"/>
      <c r="AO615" s="33"/>
    </row>
    <row r="616" spans="1:41" x14ac:dyDescent="0.3">
      <c r="A616" s="22"/>
      <c r="C616" s="23"/>
      <c r="T616" s="23"/>
      <c r="V616" s="32"/>
      <c r="W616" s="32"/>
      <c r="X616" s="32"/>
      <c r="Y616" s="32"/>
      <c r="Z616" s="32"/>
      <c r="AA616" s="206"/>
    </row>
    <row r="617" spans="1:41" x14ac:dyDescent="0.3">
      <c r="A617" s="22"/>
      <c r="C617" s="23"/>
      <c r="F617" s="195"/>
      <c r="H617" s="195"/>
      <c r="I617" s="195"/>
      <c r="J617" s="206"/>
      <c r="K617" s="206"/>
      <c r="L617" s="32"/>
      <c r="M617" s="32"/>
      <c r="N617" s="33"/>
      <c r="O617" s="33"/>
      <c r="P617" s="32"/>
      <c r="Q617" s="32"/>
      <c r="R617" s="32"/>
      <c r="T617" s="23"/>
      <c r="V617" s="32"/>
      <c r="W617" s="32"/>
      <c r="X617" s="32"/>
      <c r="Y617" s="32"/>
      <c r="Z617" s="32"/>
      <c r="AA617" s="206"/>
      <c r="AB617" s="32"/>
      <c r="AC617" s="32"/>
      <c r="AD617" s="33"/>
      <c r="AE617" s="33"/>
      <c r="AF617" s="32"/>
      <c r="AG617" s="32"/>
      <c r="AH617" s="44"/>
      <c r="AI617" s="44"/>
      <c r="AJ617" s="32"/>
      <c r="AK617" s="32"/>
      <c r="AL617" s="32"/>
      <c r="AM617" s="32"/>
      <c r="AN617" s="33"/>
      <c r="AO617" s="33"/>
    </row>
    <row r="618" spans="1:41" x14ac:dyDescent="0.3">
      <c r="F618" s="34"/>
      <c r="H618" s="34"/>
      <c r="I618" s="34"/>
      <c r="J618" s="198"/>
      <c r="K618" s="198"/>
      <c r="L618" s="34"/>
      <c r="M618" s="34"/>
      <c r="N618" s="34"/>
      <c r="O618" s="34"/>
      <c r="P618" s="34"/>
      <c r="Q618" s="34"/>
      <c r="R618" s="34"/>
      <c r="V618" s="34"/>
      <c r="Z618" s="34"/>
      <c r="AA618" s="198"/>
      <c r="AB618" s="34"/>
      <c r="AC618" s="34"/>
      <c r="AD618" s="34"/>
      <c r="AE618" s="34"/>
      <c r="AF618" s="34"/>
      <c r="AG618" s="34"/>
      <c r="AJ618" s="34"/>
      <c r="AK618" s="34"/>
      <c r="AL618" s="34"/>
      <c r="AM618" s="34"/>
    </row>
    <row r="619" spans="1:41" x14ac:dyDescent="0.3">
      <c r="A619" s="22"/>
      <c r="C619" s="23"/>
      <c r="F619" s="32"/>
      <c r="H619" s="32"/>
      <c r="I619" s="32"/>
      <c r="L619" s="32"/>
      <c r="M619" s="32"/>
      <c r="N619" s="33"/>
      <c r="O619" s="33"/>
      <c r="P619" s="195"/>
      <c r="Q619" s="195"/>
      <c r="R619" s="32"/>
      <c r="T619" s="23"/>
      <c r="V619" s="32"/>
      <c r="W619" s="32"/>
      <c r="X619" s="32"/>
      <c r="Y619" s="32"/>
      <c r="Z619" s="32"/>
      <c r="AA619" s="206"/>
      <c r="AB619" s="32"/>
      <c r="AC619" s="32"/>
      <c r="AD619" s="33"/>
      <c r="AE619" s="33"/>
      <c r="AF619" s="32"/>
      <c r="AG619" s="32"/>
      <c r="AH619" s="44"/>
      <c r="AI619" s="44"/>
      <c r="AJ619" s="195"/>
      <c r="AK619" s="195"/>
      <c r="AL619" s="32"/>
      <c r="AM619" s="32"/>
      <c r="AN619" s="33"/>
      <c r="AO619" s="33"/>
    </row>
    <row r="620" spans="1:41" x14ac:dyDescent="0.3">
      <c r="F620" s="34"/>
      <c r="H620" s="34"/>
      <c r="I620" s="34"/>
      <c r="J620" s="198"/>
      <c r="K620" s="198"/>
      <c r="L620" s="34"/>
      <c r="M620" s="34"/>
      <c r="N620" s="34"/>
      <c r="O620" s="34"/>
      <c r="P620" s="34"/>
      <c r="Q620" s="34"/>
      <c r="R620" s="34"/>
      <c r="V620" s="34"/>
      <c r="Z620" s="34"/>
      <c r="AA620" s="198"/>
      <c r="AB620" s="34"/>
      <c r="AC620" s="34"/>
      <c r="AD620" s="34"/>
      <c r="AE620" s="34"/>
      <c r="AF620" s="34"/>
      <c r="AG620" s="34"/>
      <c r="AJ620" s="34"/>
      <c r="AK620" s="34"/>
      <c r="AL620" s="34"/>
      <c r="AM620" s="34"/>
    </row>
    <row r="621" spans="1:41" x14ac:dyDescent="0.3">
      <c r="A621" s="22"/>
      <c r="C621" s="23"/>
      <c r="F621" s="32"/>
      <c r="H621" s="32"/>
      <c r="I621" s="32"/>
      <c r="L621" s="32"/>
      <c r="M621" s="32"/>
      <c r="N621" s="33"/>
      <c r="O621" s="33"/>
      <c r="P621" s="32"/>
      <c r="Q621" s="32"/>
      <c r="R621" s="32"/>
      <c r="T621" s="23"/>
      <c r="V621" s="32"/>
      <c r="W621" s="32"/>
      <c r="X621" s="32"/>
      <c r="Y621" s="32"/>
      <c r="Z621" s="32"/>
      <c r="AB621" s="32"/>
      <c r="AC621" s="32"/>
      <c r="AD621" s="33"/>
      <c r="AE621" s="33"/>
      <c r="AF621" s="32"/>
      <c r="AG621" s="32"/>
      <c r="AH621" s="44"/>
      <c r="AI621" s="44"/>
      <c r="AJ621" s="32"/>
      <c r="AK621" s="32"/>
      <c r="AL621" s="32"/>
      <c r="AM621" s="32"/>
      <c r="AN621" s="44"/>
      <c r="AO621" s="44"/>
    </row>
    <row r="622" spans="1:41" x14ac:dyDescent="0.3">
      <c r="F622" s="34"/>
      <c r="H622" s="34"/>
      <c r="I622" s="34"/>
      <c r="J622" s="198"/>
      <c r="K622" s="198"/>
      <c r="L622" s="34"/>
      <c r="M622" s="34"/>
      <c r="N622" s="34"/>
      <c r="O622" s="34"/>
      <c r="P622" s="34"/>
      <c r="Q622" s="34"/>
      <c r="R622" s="34"/>
      <c r="V622" s="34"/>
      <c r="Z622" s="34"/>
      <c r="AA622" s="198"/>
      <c r="AB622" s="34"/>
      <c r="AC622" s="34"/>
      <c r="AD622" s="34"/>
      <c r="AE622" s="34"/>
      <c r="AF622" s="34"/>
      <c r="AG622" s="34"/>
      <c r="AJ622" s="34"/>
      <c r="AK622" s="34"/>
      <c r="AL622" s="34"/>
      <c r="AM622" s="34"/>
    </row>
    <row r="624" spans="1:41" x14ac:dyDescent="0.3">
      <c r="C624" s="22"/>
      <c r="T624" s="22"/>
    </row>
    <row r="625" spans="1:41" x14ac:dyDescent="0.3">
      <c r="A625" s="23"/>
    </row>
    <row r="626" spans="1:41" x14ac:dyDescent="0.3">
      <c r="J626" s="22"/>
      <c r="K626" s="22"/>
      <c r="AA626" s="22"/>
    </row>
    <row r="627" spans="1:41" x14ac:dyDescent="0.3">
      <c r="H627" s="23"/>
      <c r="I627" s="23"/>
      <c r="Z627" s="23"/>
    </row>
    <row r="628" spans="1:41" x14ac:dyDescent="0.3">
      <c r="J628" s="22"/>
      <c r="K628" s="22"/>
      <c r="AA628" s="22"/>
    </row>
    <row r="629" spans="1:41" x14ac:dyDescent="0.3">
      <c r="L629" s="23"/>
      <c r="M629" s="23"/>
      <c r="AB629" s="23"/>
      <c r="AC629" s="23"/>
    </row>
    <row r="630" spans="1:41" x14ac:dyDescent="0.3">
      <c r="A630" s="22"/>
      <c r="R630" s="23"/>
      <c r="AL630" s="23"/>
      <c r="AM630" s="23"/>
    </row>
    <row r="631" spans="1:41" x14ac:dyDescent="0.3">
      <c r="A631" s="22"/>
      <c r="R631" s="23"/>
      <c r="AL631" s="23"/>
      <c r="AM631" s="23"/>
    </row>
    <row r="632" spans="1:41" x14ac:dyDescent="0.3">
      <c r="A632" s="23"/>
      <c r="R632" s="23"/>
      <c r="AL632" s="23"/>
      <c r="AM632" s="23"/>
    </row>
    <row r="633" spans="1:41" x14ac:dyDescent="0.3">
      <c r="L633" s="23"/>
      <c r="M633" s="23"/>
      <c r="R633" s="22"/>
      <c r="AB633" s="23"/>
      <c r="AC633" s="23"/>
      <c r="AL633" s="22"/>
      <c r="AM633" s="22"/>
    </row>
    <row r="634" spans="1:4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1:41" x14ac:dyDescent="0.3">
      <c r="L635" s="30"/>
      <c r="M635" s="30"/>
      <c r="N635" s="30"/>
      <c r="O635" s="30"/>
      <c r="R635" s="30"/>
      <c r="AB635" s="30"/>
      <c r="AC635" s="30"/>
      <c r="AD635" s="30"/>
      <c r="AE635" s="30"/>
      <c r="AF635" s="30"/>
      <c r="AG635" s="30"/>
      <c r="AH635" s="30"/>
      <c r="AI635" s="30"/>
      <c r="AL635" s="30"/>
      <c r="AM635" s="30"/>
      <c r="AN635" s="30"/>
      <c r="AO635" s="30"/>
    </row>
    <row r="636" spans="1:41" x14ac:dyDescent="0.3">
      <c r="L636" s="30"/>
      <c r="M636" s="30"/>
      <c r="N636" s="30"/>
      <c r="O636" s="30"/>
      <c r="R636" s="30"/>
      <c r="AA636" s="30"/>
      <c r="AB636" s="30"/>
      <c r="AC636" s="30"/>
      <c r="AD636" s="30"/>
      <c r="AE636" s="30"/>
      <c r="AF636" s="30"/>
      <c r="AG636" s="30"/>
      <c r="AH636" s="30"/>
      <c r="AI636" s="30"/>
      <c r="AL636" s="30"/>
      <c r="AM636" s="30"/>
      <c r="AN636" s="30"/>
      <c r="AO636" s="30"/>
    </row>
    <row r="637" spans="1:41" x14ac:dyDescent="0.3">
      <c r="A637" s="30"/>
      <c r="C637" s="30"/>
      <c r="D637" s="30"/>
      <c r="E637" s="30"/>
      <c r="F637" s="30"/>
      <c r="J637" s="30"/>
      <c r="K637" s="30"/>
      <c r="L637" s="30"/>
      <c r="M637" s="30"/>
      <c r="N637" s="30"/>
      <c r="O637" s="30"/>
      <c r="P637" s="30"/>
      <c r="Q637" s="30"/>
      <c r="R637" s="30"/>
      <c r="T637" s="30"/>
      <c r="U637" s="30"/>
      <c r="V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</row>
    <row r="638" spans="1:41" x14ac:dyDescent="0.3">
      <c r="A638" s="30"/>
      <c r="C638" s="30"/>
      <c r="D638" s="30"/>
      <c r="E638" s="30"/>
      <c r="F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T638" s="30"/>
      <c r="U638" s="30"/>
      <c r="V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</row>
    <row r="639" spans="1:41" x14ac:dyDescent="0.3">
      <c r="C639" s="30"/>
      <c r="D639" s="30"/>
      <c r="E639" s="30"/>
      <c r="F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T639" s="30"/>
      <c r="U639" s="30"/>
      <c r="V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</row>
    <row r="640" spans="1:4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1:41" x14ac:dyDescent="0.3"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</row>
    <row r="642" spans="1:41" x14ac:dyDescent="0.3">
      <c r="A642" s="22"/>
      <c r="C642" s="23"/>
      <c r="D642" s="23"/>
      <c r="E642" s="23"/>
      <c r="F642" s="32"/>
      <c r="H642" s="32"/>
      <c r="I642" s="32"/>
      <c r="J642" s="48"/>
      <c r="K642" s="48"/>
      <c r="L642" s="32"/>
      <c r="M642" s="32"/>
      <c r="N642" s="48"/>
      <c r="O642" s="48"/>
      <c r="P642" s="32"/>
      <c r="Q642" s="32"/>
      <c r="R642" s="32"/>
      <c r="T642" s="23"/>
      <c r="U642" s="23"/>
      <c r="V642" s="32"/>
      <c r="Z642" s="32"/>
      <c r="AA642" s="48"/>
      <c r="AB642" s="32"/>
      <c r="AC642" s="32"/>
      <c r="AD642" s="48"/>
      <c r="AE642" s="48"/>
      <c r="AF642" s="32"/>
      <c r="AG642" s="32"/>
      <c r="AH642" s="44"/>
      <c r="AI642" s="44"/>
      <c r="AJ642" s="32"/>
      <c r="AK642" s="32"/>
      <c r="AL642" s="32"/>
      <c r="AM642" s="32"/>
      <c r="AN642" s="33"/>
      <c r="AO642" s="33"/>
    </row>
    <row r="643" spans="1:41" x14ac:dyDescent="0.3">
      <c r="F643" s="34"/>
      <c r="H643" s="34"/>
      <c r="I643" s="34"/>
      <c r="J643" s="198"/>
      <c r="K643" s="198"/>
      <c r="L643" s="34"/>
      <c r="M643" s="34"/>
      <c r="N643" s="34"/>
      <c r="O643" s="34"/>
      <c r="P643" s="34"/>
      <c r="Q643" s="34"/>
      <c r="R643" s="34"/>
      <c r="V643" s="34"/>
      <c r="Z643" s="34"/>
      <c r="AA643" s="198"/>
      <c r="AB643" s="34"/>
      <c r="AC643" s="34"/>
      <c r="AD643" s="34"/>
      <c r="AE643" s="34"/>
      <c r="AF643" s="34"/>
      <c r="AG643" s="34"/>
      <c r="AJ643" s="34"/>
      <c r="AK643" s="34"/>
      <c r="AL643" s="34"/>
      <c r="AM643" s="34"/>
      <c r="AN643" s="33"/>
      <c r="AO643" s="33"/>
    </row>
    <row r="644" spans="1:41" x14ac:dyDescent="0.3">
      <c r="A644" s="22"/>
      <c r="C644" s="23"/>
      <c r="F644" s="32"/>
      <c r="H644" s="32"/>
      <c r="I644" s="32"/>
      <c r="J644" s="48"/>
      <c r="K644" s="48"/>
      <c r="L644" s="32"/>
      <c r="M644" s="32"/>
      <c r="N644" s="48"/>
      <c r="O644" s="48"/>
      <c r="P644" s="32"/>
      <c r="Q644" s="32"/>
      <c r="R644" s="32"/>
      <c r="T644" s="23"/>
      <c r="V644" s="32"/>
      <c r="Z644" s="32"/>
      <c r="AA644" s="48"/>
      <c r="AB644" s="32"/>
      <c r="AC644" s="32"/>
      <c r="AD644" s="48"/>
      <c r="AE644" s="48"/>
      <c r="AF644" s="32"/>
      <c r="AG644" s="32"/>
      <c r="AH644" s="44"/>
      <c r="AI644" s="44"/>
      <c r="AJ644" s="32"/>
      <c r="AK644" s="32"/>
      <c r="AL644" s="32"/>
      <c r="AM644" s="32"/>
      <c r="AN644" s="33"/>
      <c r="AO644" s="33"/>
    </row>
    <row r="645" spans="1:41" x14ac:dyDescent="0.3">
      <c r="F645" s="32"/>
      <c r="H645" s="32"/>
      <c r="I645" s="32"/>
      <c r="J645" s="48"/>
      <c r="K645" s="48"/>
      <c r="L645" s="32"/>
      <c r="M645" s="32"/>
      <c r="N645" s="48"/>
      <c r="O645" s="48"/>
      <c r="P645" s="32"/>
      <c r="Q645" s="32"/>
      <c r="R645" s="32"/>
      <c r="V645" s="32"/>
      <c r="Z645" s="32"/>
      <c r="AA645" s="48"/>
      <c r="AB645" s="32"/>
      <c r="AC645" s="32"/>
      <c r="AD645" s="48"/>
      <c r="AE645" s="48"/>
      <c r="AH645" s="44"/>
      <c r="AI645" s="44"/>
      <c r="AJ645" s="32"/>
      <c r="AK645" s="32"/>
      <c r="AL645" s="32"/>
      <c r="AM645" s="32"/>
      <c r="AN645" s="33"/>
      <c r="AO645" s="33"/>
    </row>
    <row r="646" spans="1:41" x14ac:dyDescent="0.3">
      <c r="A646" s="22"/>
      <c r="C646" s="23"/>
      <c r="D646" s="23"/>
      <c r="E646" s="23"/>
      <c r="F646" s="32"/>
      <c r="H646" s="32"/>
      <c r="I646" s="32"/>
      <c r="J646" s="48"/>
      <c r="K646" s="48"/>
      <c r="L646" s="32"/>
      <c r="M646" s="32"/>
      <c r="N646" s="48"/>
      <c r="O646" s="48"/>
      <c r="P646" s="32"/>
      <c r="Q646" s="32"/>
      <c r="R646" s="32"/>
      <c r="T646" s="23"/>
      <c r="U646" s="23"/>
      <c r="V646" s="32"/>
      <c r="Z646" s="32"/>
      <c r="AA646" s="48"/>
      <c r="AB646" s="32"/>
      <c r="AC646" s="32"/>
      <c r="AD646" s="48"/>
      <c r="AE646" s="48"/>
      <c r="AF646" s="32"/>
      <c r="AG646" s="32"/>
      <c r="AH646" s="44"/>
      <c r="AI646" s="44"/>
      <c r="AJ646" s="32"/>
      <c r="AK646" s="32"/>
      <c r="AL646" s="32"/>
      <c r="AM646" s="32"/>
      <c r="AN646" s="33"/>
      <c r="AO646" s="33"/>
    </row>
    <row r="647" spans="1:41" x14ac:dyDescent="0.3">
      <c r="A647" s="22"/>
      <c r="C647" s="23"/>
      <c r="D647" s="23"/>
      <c r="E647" s="23"/>
      <c r="F647" s="32"/>
      <c r="H647" s="32"/>
      <c r="I647" s="32"/>
      <c r="J647" s="48"/>
      <c r="K647" s="48"/>
      <c r="L647" s="32"/>
      <c r="M647" s="32"/>
      <c r="N647" s="48"/>
      <c r="O647" s="48"/>
      <c r="P647" s="32"/>
      <c r="Q647" s="32"/>
      <c r="R647" s="32"/>
      <c r="T647" s="23"/>
      <c r="U647" s="23"/>
      <c r="V647" s="32"/>
      <c r="Z647" s="32"/>
      <c r="AA647" s="48"/>
      <c r="AB647" s="32"/>
      <c r="AC647" s="32"/>
      <c r="AD647" s="48"/>
      <c r="AE647" s="48"/>
      <c r="AF647" s="32"/>
      <c r="AG647" s="32"/>
      <c r="AH647" s="44"/>
      <c r="AI647" s="44"/>
      <c r="AJ647" s="32"/>
      <c r="AK647" s="32"/>
      <c r="AL647" s="32"/>
      <c r="AM647" s="32"/>
      <c r="AN647" s="33"/>
      <c r="AO647" s="33"/>
    </row>
    <row r="648" spans="1:41" x14ac:dyDescent="0.3">
      <c r="A648" s="22"/>
      <c r="C648" s="23"/>
      <c r="D648" s="23"/>
      <c r="E648" s="23"/>
      <c r="F648" s="32"/>
      <c r="H648" s="32"/>
      <c r="I648" s="32"/>
      <c r="J648" s="48"/>
      <c r="K648" s="48"/>
      <c r="L648" s="32"/>
      <c r="M648" s="32"/>
      <c r="N648" s="48"/>
      <c r="O648" s="48"/>
      <c r="P648" s="32"/>
      <c r="Q648" s="32"/>
      <c r="R648" s="32"/>
      <c r="T648" s="23"/>
      <c r="U648" s="23"/>
      <c r="V648" s="32"/>
      <c r="Z648" s="32"/>
      <c r="AA648" s="48"/>
      <c r="AB648" s="32"/>
      <c r="AC648" s="32"/>
      <c r="AD648" s="48"/>
      <c r="AE648" s="48"/>
      <c r="AF648" s="32"/>
      <c r="AG648" s="32"/>
      <c r="AH648" s="44"/>
      <c r="AI648" s="44"/>
      <c r="AJ648" s="32"/>
      <c r="AK648" s="32"/>
      <c r="AL648" s="32"/>
      <c r="AM648" s="32"/>
      <c r="AN648" s="33"/>
      <c r="AO648" s="33"/>
    </row>
    <row r="649" spans="1:41" x14ac:dyDescent="0.3">
      <c r="A649" s="22"/>
      <c r="C649" s="23"/>
      <c r="D649" s="23"/>
      <c r="E649" s="23"/>
      <c r="F649" s="32"/>
      <c r="H649" s="32"/>
      <c r="I649" s="32"/>
      <c r="J649" s="48"/>
      <c r="K649" s="48"/>
      <c r="L649" s="32"/>
      <c r="M649" s="32"/>
      <c r="N649" s="48"/>
      <c r="O649" s="48"/>
      <c r="P649" s="32"/>
      <c r="Q649" s="32"/>
      <c r="R649" s="32"/>
      <c r="T649" s="23"/>
      <c r="U649" s="23"/>
      <c r="V649" s="32"/>
      <c r="Z649" s="32"/>
      <c r="AA649" s="48"/>
      <c r="AB649" s="32"/>
      <c r="AC649" s="32"/>
      <c r="AD649" s="48"/>
      <c r="AE649" s="48"/>
      <c r="AF649" s="32"/>
      <c r="AG649" s="32"/>
      <c r="AH649" s="44"/>
      <c r="AI649" s="44"/>
      <c r="AJ649" s="32"/>
      <c r="AK649" s="32"/>
      <c r="AL649" s="32"/>
      <c r="AM649" s="32"/>
      <c r="AN649" s="33"/>
      <c r="AO649" s="33"/>
    </row>
    <row r="650" spans="1:41" x14ac:dyDescent="0.3">
      <c r="A650" s="22"/>
      <c r="C650" s="23"/>
      <c r="D650" s="23"/>
      <c r="E650" s="23"/>
      <c r="F650" s="32"/>
      <c r="H650" s="32"/>
      <c r="I650" s="32"/>
      <c r="J650" s="48"/>
      <c r="K650" s="48"/>
      <c r="L650" s="32"/>
      <c r="M650" s="32"/>
      <c r="N650" s="48"/>
      <c r="O650" s="48"/>
      <c r="P650" s="32"/>
      <c r="Q650" s="32"/>
      <c r="R650" s="32"/>
      <c r="T650" s="23"/>
      <c r="U650" s="23"/>
      <c r="V650" s="32"/>
      <c r="Z650" s="32"/>
      <c r="AA650" s="48"/>
      <c r="AB650" s="32"/>
      <c r="AC650" s="32"/>
      <c r="AD650" s="48"/>
      <c r="AE650" s="48"/>
      <c r="AF650" s="32"/>
      <c r="AG650" s="32"/>
      <c r="AH650" s="44"/>
      <c r="AI650" s="44"/>
      <c r="AJ650" s="32"/>
      <c r="AK650" s="32"/>
      <c r="AL650" s="32"/>
      <c r="AM650" s="32"/>
      <c r="AN650" s="33"/>
      <c r="AO650" s="33"/>
    </row>
    <row r="651" spans="1:41" x14ac:dyDescent="0.3">
      <c r="A651" s="22"/>
      <c r="C651" s="23"/>
      <c r="D651" s="23"/>
      <c r="E651" s="23"/>
      <c r="F651" s="32"/>
      <c r="H651" s="32"/>
      <c r="I651" s="32"/>
      <c r="J651" s="48"/>
      <c r="K651" s="48"/>
      <c r="L651" s="32"/>
      <c r="M651" s="32"/>
      <c r="N651" s="48"/>
      <c r="O651" s="48"/>
      <c r="P651" s="32"/>
      <c r="Q651" s="32"/>
      <c r="R651" s="32"/>
      <c r="T651" s="23"/>
      <c r="U651" s="23"/>
      <c r="V651" s="32"/>
      <c r="Z651" s="32"/>
      <c r="AA651" s="48"/>
      <c r="AB651" s="32"/>
      <c r="AC651" s="32"/>
      <c r="AD651" s="48"/>
      <c r="AE651" s="48"/>
      <c r="AF651" s="32"/>
      <c r="AG651" s="32"/>
      <c r="AH651" s="44"/>
      <c r="AI651" s="44"/>
      <c r="AJ651" s="32"/>
      <c r="AK651" s="32"/>
      <c r="AL651" s="32"/>
      <c r="AM651" s="32"/>
      <c r="AN651" s="33"/>
      <c r="AO651" s="33"/>
    </row>
    <row r="652" spans="1:41" x14ac:dyDescent="0.3">
      <c r="F652" s="34"/>
      <c r="H652" s="34"/>
      <c r="I652" s="34"/>
      <c r="J652" s="198"/>
      <c r="K652" s="198"/>
      <c r="L652" s="34"/>
      <c r="M652" s="34"/>
      <c r="N652" s="34"/>
      <c r="O652" s="34"/>
      <c r="P652" s="34"/>
      <c r="Q652" s="34"/>
      <c r="R652" s="34"/>
      <c r="V652" s="34"/>
      <c r="Z652" s="34"/>
      <c r="AA652" s="198"/>
      <c r="AB652" s="34"/>
      <c r="AC652" s="34"/>
      <c r="AD652" s="34"/>
      <c r="AE652" s="34"/>
      <c r="AF652" s="34"/>
      <c r="AG652" s="34"/>
      <c r="AJ652" s="34"/>
      <c r="AK652" s="34"/>
      <c r="AL652" s="34"/>
      <c r="AM652" s="34"/>
      <c r="AN652" s="33"/>
      <c r="AO652" s="33"/>
    </row>
    <row r="653" spans="1:41" x14ac:dyDescent="0.3">
      <c r="A653" s="22"/>
      <c r="C653" s="23"/>
      <c r="F653" s="32"/>
      <c r="H653" s="32"/>
      <c r="I653" s="32"/>
      <c r="J653" s="48"/>
      <c r="K653" s="48"/>
      <c r="L653" s="32"/>
      <c r="M653" s="32"/>
      <c r="N653" s="48"/>
      <c r="O653" s="48"/>
      <c r="P653" s="32"/>
      <c r="Q653" s="32"/>
      <c r="R653" s="32"/>
      <c r="T653" s="23"/>
      <c r="V653" s="32"/>
      <c r="Z653" s="32"/>
      <c r="AA653" s="48"/>
      <c r="AB653" s="32"/>
      <c r="AC653" s="32"/>
      <c r="AD653" s="48"/>
      <c r="AE653" s="48"/>
      <c r="AF653" s="32"/>
      <c r="AG653" s="32"/>
      <c r="AH653" s="44"/>
      <c r="AI653" s="44"/>
      <c r="AJ653" s="32"/>
      <c r="AK653" s="32"/>
      <c r="AL653" s="32"/>
      <c r="AM653" s="32"/>
      <c r="AN653" s="33"/>
      <c r="AO653" s="33"/>
    </row>
    <row r="654" spans="1:41" x14ac:dyDescent="0.3">
      <c r="F654" s="32"/>
      <c r="H654" s="32"/>
      <c r="I654" s="32"/>
      <c r="J654" s="48"/>
      <c r="K654" s="48"/>
      <c r="L654" s="32"/>
      <c r="M654" s="32"/>
      <c r="N654" s="48"/>
      <c r="O654" s="48"/>
      <c r="P654" s="32"/>
      <c r="Q654" s="32"/>
      <c r="R654" s="32"/>
      <c r="V654" s="32"/>
      <c r="Z654" s="32"/>
      <c r="AA654" s="48"/>
      <c r="AB654" s="32"/>
      <c r="AC654" s="32"/>
      <c r="AD654" s="48"/>
      <c r="AE654" s="48"/>
      <c r="AH654" s="44"/>
      <c r="AI654" s="44"/>
      <c r="AJ654" s="32"/>
      <c r="AK654" s="32"/>
      <c r="AL654" s="32"/>
      <c r="AM654" s="32"/>
      <c r="AN654" s="33"/>
      <c r="AO654" s="33"/>
    </row>
    <row r="655" spans="1:41" x14ac:dyDescent="0.3">
      <c r="A655" s="22"/>
      <c r="C655" s="23"/>
      <c r="D655" s="23"/>
      <c r="E655" s="23"/>
      <c r="F655" s="32"/>
      <c r="H655" s="32"/>
      <c r="I655" s="32"/>
      <c r="J655" s="48"/>
      <c r="K655" s="48"/>
      <c r="L655" s="32"/>
      <c r="M655" s="32"/>
      <c r="N655" s="48"/>
      <c r="O655" s="48"/>
      <c r="P655" s="32"/>
      <c r="Q655" s="32"/>
      <c r="R655" s="32"/>
      <c r="T655" s="23"/>
      <c r="U655" s="23"/>
      <c r="V655" s="32"/>
      <c r="Z655" s="32"/>
      <c r="AA655" s="48"/>
      <c r="AB655" s="32"/>
      <c r="AC655" s="32"/>
      <c r="AD655" s="48"/>
      <c r="AE655" s="48"/>
      <c r="AF655" s="32"/>
      <c r="AG655" s="32"/>
      <c r="AH655" s="44"/>
      <c r="AI655" s="44"/>
      <c r="AJ655" s="32"/>
      <c r="AK655" s="32"/>
      <c r="AL655" s="32"/>
      <c r="AM655" s="32"/>
      <c r="AN655" s="33"/>
      <c r="AO655" s="33"/>
    </row>
    <row r="656" spans="1:41" x14ac:dyDescent="0.3">
      <c r="F656" s="34"/>
      <c r="H656" s="34"/>
      <c r="I656" s="34"/>
      <c r="J656" s="198"/>
      <c r="K656" s="198"/>
      <c r="L656" s="34"/>
      <c r="M656" s="34"/>
      <c r="N656" s="34"/>
      <c r="O656" s="34"/>
      <c r="P656" s="34"/>
      <c r="Q656" s="34"/>
      <c r="R656" s="34"/>
      <c r="V656" s="34"/>
      <c r="Z656" s="34"/>
      <c r="AA656" s="198"/>
      <c r="AB656" s="34"/>
      <c r="AC656" s="34"/>
      <c r="AD656" s="34"/>
      <c r="AE656" s="34"/>
      <c r="AF656" s="34"/>
      <c r="AG656" s="34"/>
      <c r="AJ656" s="34"/>
      <c r="AK656" s="34"/>
      <c r="AL656" s="34"/>
      <c r="AM656" s="34"/>
      <c r="AN656" s="33"/>
      <c r="AO656" s="33"/>
    </row>
    <row r="657" spans="1:41" x14ac:dyDescent="0.3">
      <c r="A657" s="22"/>
      <c r="C657" s="23"/>
      <c r="F657" s="32"/>
      <c r="H657" s="32"/>
      <c r="I657" s="32"/>
      <c r="J657" s="48"/>
      <c r="K657" s="48"/>
      <c r="L657" s="32"/>
      <c r="M657" s="32"/>
      <c r="N657" s="48"/>
      <c r="O657" s="48"/>
      <c r="P657" s="32"/>
      <c r="Q657" s="32"/>
      <c r="R657" s="32"/>
      <c r="T657" s="23"/>
      <c r="V657" s="32"/>
      <c r="Z657" s="32"/>
      <c r="AA657" s="48"/>
      <c r="AB657" s="32"/>
      <c r="AC657" s="32"/>
      <c r="AD657" s="48"/>
      <c r="AE657" s="48"/>
      <c r="AF657" s="32"/>
      <c r="AG657" s="32"/>
      <c r="AH657" s="44"/>
      <c r="AI657" s="44"/>
      <c r="AJ657" s="32"/>
      <c r="AK657" s="32"/>
      <c r="AL657" s="32"/>
      <c r="AM657" s="32"/>
      <c r="AN657" s="33"/>
      <c r="AO657" s="33"/>
    </row>
    <row r="658" spans="1:41" x14ac:dyDescent="0.3">
      <c r="F658" s="32"/>
      <c r="H658" s="32"/>
      <c r="I658" s="32"/>
      <c r="J658" s="48"/>
      <c r="K658" s="48"/>
      <c r="L658" s="32"/>
      <c r="M658" s="32"/>
      <c r="N658" s="48"/>
      <c r="O658" s="48"/>
      <c r="P658" s="32"/>
      <c r="Q658" s="32"/>
      <c r="R658" s="32"/>
      <c r="V658" s="32"/>
      <c r="Z658" s="32"/>
      <c r="AA658" s="48"/>
      <c r="AB658" s="32"/>
      <c r="AC658" s="32"/>
      <c r="AD658" s="48"/>
      <c r="AE658" s="48"/>
      <c r="AH658" s="44"/>
      <c r="AI658" s="44"/>
      <c r="AJ658" s="32"/>
      <c r="AK658" s="32"/>
      <c r="AL658" s="32"/>
      <c r="AM658" s="32"/>
      <c r="AN658" s="33"/>
      <c r="AO658" s="33"/>
    </row>
    <row r="659" spans="1:41" x14ac:dyDescent="0.3">
      <c r="A659" s="22"/>
      <c r="C659" s="23"/>
      <c r="D659" s="23"/>
      <c r="E659" s="23"/>
      <c r="F659" s="32"/>
      <c r="H659" s="32"/>
      <c r="I659" s="32"/>
      <c r="J659" s="48"/>
      <c r="K659" s="48"/>
      <c r="L659" s="32"/>
      <c r="M659" s="32"/>
      <c r="N659" s="48"/>
      <c r="O659" s="48"/>
      <c r="P659" s="32"/>
      <c r="Q659" s="32"/>
      <c r="R659" s="32"/>
      <c r="T659" s="23"/>
      <c r="U659" s="23"/>
      <c r="V659" s="32"/>
      <c r="Z659" s="32"/>
      <c r="AA659" s="48"/>
      <c r="AB659" s="32"/>
      <c r="AC659" s="32"/>
      <c r="AD659" s="48"/>
      <c r="AE659" s="48"/>
      <c r="AF659" s="32"/>
      <c r="AG659" s="32"/>
      <c r="AH659" s="44"/>
      <c r="AI659" s="44"/>
      <c r="AJ659" s="32"/>
      <c r="AK659" s="32"/>
      <c r="AL659" s="32"/>
      <c r="AM659" s="32"/>
      <c r="AN659" s="33"/>
      <c r="AO659" s="33"/>
    </row>
    <row r="660" spans="1:41" x14ac:dyDescent="0.3">
      <c r="A660" s="22"/>
      <c r="C660" s="23"/>
      <c r="D660" s="23"/>
      <c r="E660" s="23"/>
      <c r="F660" s="32"/>
      <c r="G660" s="32"/>
      <c r="H660" s="32"/>
      <c r="I660" s="32"/>
      <c r="J660" s="48"/>
      <c r="K660" s="48"/>
      <c r="L660" s="32"/>
      <c r="M660" s="32"/>
      <c r="N660" s="48"/>
      <c r="O660" s="48"/>
      <c r="P660" s="32"/>
      <c r="Q660" s="32"/>
      <c r="R660" s="32"/>
      <c r="T660" s="23"/>
      <c r="U660" s="23"/>
      <c r="V660" s="32"/>
      <c r="W660" s="32"/>
      <c r="X660" s="32"/>
      <c r="Y660" s="32"/>
      <c r="Z660" s="32"/>
      <c r="AA660" s="48"/>
      <c r="AB660" s="32"/>
      <c r="AC660" s="32"/>
      <c r="AD660" s="48"/>
      <c r="AE660" s="48"/>
      <c r="AF660" s="32"/>
      <c r="AG660" s="32"/>
      <c r="AH660" s="44"/>
      <c r="AI660" s="44"/>
      <c r="AJ660" s="32"/>
      <c r="AK660" s="32"/>
      <c r="AL660" s="32"/>
      <c r="AM660" s="32"/>
      <c r="AN660" s="33"/>
      <c r="AO660" s="33"/>
    </row>
    <row r="661" spans="1:41" x14ac:dyDescent="0.3">
      <c r="A661" s="22"/>
      <c r="C661" s="23"/>
      <c r="D661" s="23"/>
      <c r="E661" s="23"/>
      <c r="F661" s="32"/>
      <c r="G661" s="32"/>
      <c r="H661" s="32"/>
      <c r="I661" s="32"/>
      <c r="J661" s="48"/>
      <c r="K661" s="48"/>
      <c r="L661" s="32"/>
      <c r="M661" s="32"/>
      <c r="N661" s="48"/>
      <c r="O661" s="48"/>
      <c r="P661" s="32"/>
      <c r="Q661" s="32"/>
      <c r="R661" s="32"/>
      <c r="T661" s="23"/>
      <c r="U661" s="23"/>
      <c r="V661" s="32"/>
      <c r="W661" s="32"/>
      <c r="X661" s="32"/>
      <c r="Y661" s="32"/>
      <c r="Z661" s="32"/>
      <c r="AA661" s="48"/>
      <c r="AB661" s="32"/>
      <c r="AC661" s="32"/>
      <c r="AD661" s="48"/>
      <c r="AE661" s="48"/>
      <c r="AF661" s="32"/>
      <c r="AG661" s="32"/>
      <c r="AH661" s="44"/>
      <c r="AI661" s="44"/>
      <c r="AJ661" s="32"/>
      <c r="AK661" s="32"/>
      <c r="AL661" s="32"/>
      <c r="AM661" s="32"/>
      <c r="AN661" s="33"/>
      <c r="AO661" s="33"/>
    </row>
    <row r="662" spans="1:41" x14ac:dyDescent="0.3">
      <c r="A662" s="22"/>
      <c r="C662" s="23"/>
      <c r="D662" s="23"/>
      <c r="E662" s="23"/>
      <c r="F662" s="32"/>
      <c r="H662" s="32"/>
      <c r="I662" s="32"/>
      <c r="J662" s="48"/>
      <c r="K662" s="48"/>
      <c r="L662" s="32"/>
      <c r="M662" s="32"/>
      <c r="N662" s="48"/>
      <c r="O662" s="48"/>
      <c r="P662" s="32"/>
      <c r="Q662" s="32"/>
      <c r="R662" s="32"/>
      <c r="T662" s="23"/>
      <c r="U662" s="23"/>
      <c r="V662" s="32"/>
      <c r="Z662" s="32"/>
      <c r="AA662" s="48"/>
      <c r="AB662" s="32"/>
      <c r="AC662" s="32"/>
      <c r="AD662" s="48"/>
      <c r="AE662" s="48"/>
      <c r="AF662" s="32"/>
      <c r="AG662" s="32"/>
      <c r="AH662" s="44"/>
      <c r="AI662" s="44"/>
      <c r="AJ662" s="32"/>
      <c r="AK662" s="32"/>
      <c r="AL662" s="32"/>
      <c r="AM662" s="32"/>
      <c r="AN662" s="33"/>
      <c r="AO662" s="33"/>
    </row>
    <row r="663" spans="1:41" x14ac:dyDescent="0.3">
      <c r="A663" s="22"/>
      <c r="C663" s="23"/>
      <c r="D663" s="23"/>
      <c r="E663" s="23"/>
      <c r="F663" s="32"/>
      <c r="H663" s="32"/>
      <c r="I663" s="32"/>
      <c r="J663" s="48"/>
      <c r="K663" s="48"/>
      <c r="L663" s="32"/>
      <c r="M663" s="32"/>
      <c r="N663" s="48"/>
      <c r="O663" s="48"/>
      <c r="P663" s="32"/>
      <c r="Q663" s="32"/>
      <c r="R663" s="32"/>
      <c r="T663" s="23"/>
      <c r="U663" s="23"/>
      <c r="V663" s="32"/>
      <c r="Z663" s="32"/>
      <c r="AA663" s="48"/>
      <c r="AB663" s="32"/>
      <c r="AC663" s="32"/>
      <c r="AD663" s="48"/>
      <c r="AE663" s="48"/>
      <c r="AF663" s="32"/>
      <c r="AG663" s="32"/>
      <c r="AH663" s="44"/>
      <c r="AI663" s="44"/>
      <c r="AJ663" s="32"/>
      <c r="AK663" s="32"/>
      <c r="AL663" s="32"/>
      <c r="AM663" s="32"/>
      <c r="AN663" s="33"/>
      <c r="AO663" s="33"/>
    </row>
    <row r="664" spans="1:41" x14ac:dyDescent="0.3">
      <c r="A664" s="22"/>
      <c r="C664" s="23"/>
      <c r="D664" s="23"/>
      <c r="E664" s="23"/>
      <c r="F664" s="32"/>
      <c r="H664" s="32"/>
      <c r="I664" s="32"/>
      <c r="J664" s="48"/>
      <c r="K664" s="48"/>
      <c r="L664" s="32"/>
      <c r="M664" s="32"/>
      <c r="N664" s="48"/>
      <c r="O664" s="48"/>
      <c r="P664" s="32"/>
      <c r="Q664" s="32"/>
      <c r="R664" s="32"/>
      <c r="T664" s="23"/>
      <c r="U664" s="23"/>
      <c r="V664" s="32"/>
      <c r="Z664" s="32"/>
      <c r="AA664" s="48"/>
      <c r="AB664" s="32"/>
      <c r="AC664" s="32"/>
      <c r="AD664" s="48"/>
      <c r="AE664" s="48"/>
      <c r="AF664" s="32"/>
      <c r="AG664" s="32"/>
      <c r="AH664" s="44"/>
      <c r="AI664" s="44"/>
      <c r="AJ664" s="32"/>
      <c r="AK664" s="32"/>
      <c r="AL664" s="32"/>
      <c r="AM664" s="32"/>
      <c r="AN664" s="33"/>
      <c r="AO664" s="33"/>
    </row>
    <row r="665" spans="1:41" x14ac:dyDescent="0.3">
      <c r="A665" s="22"/>
      <c r="C665" s="23"/>
      <c r="D665" s="23"/>
      <c r="E665" s="23"/>
      <c r="F665" s="32"/>
      <c r="H665" s="32"/>
      <c r="I665" s="32"/>
      <c r="J665" s="48"/>
      <c r="K665" s="48"/>
      <c r="L665" s="32"/>
      <c r="M665" s="32"/>
      <c r="N665" s="48"/>
      <c r="O665" s="48"/>
      <c r="P665" s="32"/>
      <c r="Q665" s="32"/>
      <c r="R665" s="32"/>
      <c r="T665" s="23"/>
      <c r="U665" s="23"/>
      <c r="V665" s="32"/>
      <c r="Z665" s="32"/>
      <c r="AA665" s="48"/>
      <c r="AB665" s="32"/>
      <c r="AC665" s="32"/>
      <c r="AD665" s="48"/>
      <c r="AE665" s="48"/>
      <c r="AF665" s="32"/>
      <c r="AG665" s="32"/>
      <c r="AH665" s="44"/>
      <c r="AI665" s="44"/>
      <c r="AJ665" s="32"/>
      <c r="AK665" s="32"/>
      <c r="AL665" s="32"/>
      <c r="AM665" s="32"/>
      <c r="AN665" s="33"/>
      <c r="AO665" s="33"/>
    </row>
    <row r="666" spans="1:41" x14ac:dyDescent="0.3">
      <c r="F666" s="34"/>
      <c r="H666" s="34"/>
      <c r="I666" s="34"/>
      <c r="J666" s="198"/>
      <c r="K666" s="198"/>
      <c r="L666" s="34"/>
      <c r="M666" s="34"/>
      <c r="N666" s="34"/>
      <c r="O666" s="34"/>
      <c r="P666" s="34"/>
      <c r="Q666" s="34"/>
      <c r="R666" s="34"/>
      <c r="V666" s="34"/>
      <c r="Z666" s="34"/>
      <c r="AA666" s="198"/>
      <c r="AB666" s="34"/>
      <c r="AC666" s="34"/>
      <c r="AD666" s="34"/>
      <c r="AE666" s="34"/>
      <c r="AF666" s="34"/>
      <c r="AG666" s="34"/>
      <c r="AJ666" s="34"/>
      <c r="AK666" s="34"/>
      <c r="AL666" s="34"/>
      <c r="AM666" s="34"/>
      <c r="AN666" s="33"/>
      <c r="AO666" s="33"/>
    </row>
    <row r="667" spans="1:41" x14ac:dyDescent="0.3">
      <c r="A667" s="22"/>
      <c r="C667" s="23"/>
      <c r="F667" s="32"/>
      <c r="H667" s="32"/>
      <c r="I667" s="32"/>
      <c r="J667" s="48"/>
      <c r="K667" s="48"/>
      <c r="L667" s="32"/>
      <c r="M667" s="32"/>
      <c r="N667" s="48"/>
      <c r="O667" s="48"/>
      <c r="P667" s="32"/>
      <c r="Q667" s="32"/>
      <c r="R667" s="32"/>
      <c r="T667" s="23"/>
      <c r="V667" s="32"/>
      <c r="Z667" s="32"/>
      <c r="AA667" s="48"/>
      <c r="AB667" s="32"/>
      <c r="AC667" s="32"/>
      <c r="AD667" s="48"/>
      <c r="AE667" s="48"/>
      <c r="AF667" s="32"/>
      <c r="AG667" s="32"/>
      <c r="AH667" s="44"/>
      <c r="AI667" s="44"/>
      <c r="AJ667" s="32"/>
      <c r="AK667" s="32"/>
      <c r="AL667" s="32"/>
      <c r="AM667" s="32"/>
      <c r="AN667" s="33"/>
      <c r="AO667" s="33"/>
    </row>
    <row r="668" spans="1:41" x14ac:dyDescent="0.3">
      <c r="V668" s="32"/>
      <c r="Z668" s="32"/>
      <c r="AA668" s="198"/>
      <c r="AB668" s="32"/>
      <c r="AC668" s="32"/>
      <c r="AD668" s="32"/>
      <c r="AE668" s="32"/>
      <c r="AF668" s="32"/>
      <c r="AG668" s="32"/>
      <c r="AJ668" s="32"/>
      <c r="AK668" s="32"/>
      <c r="AL668" s="32"/>
      <c r="AM668" s="32"/>
      <c r="AN668" s="33"/>
      <c r="AO668" s="33"/>
    </row>
    <row r="669" spans="1:41" x14ac:dyDescent="0.3">
      <c r="A669" s="22"/>
      <c r="C669" s="23"/>
      <c r="D669" s="23"/>
      <c r="E669" s="23"/>
      <c r="L669" s="32"/>
      <c r="M669" s="32"/>
      <c r="N669" s="48"/>
      <c r="O669" s="48"/>
      <c r="P669" s="22"/>
      <c r="Q669" s="22"/>
      <c r="R669" s="32"/>
      <c r="T669" s="23"/>
      <c r="U669" s="23"/>
      <c r="AB669" s="32"/>
      <c r="AC669" s="32"/>
      <c r="AD669" s="48"/>
      <c r="AE669" s="48"/>
      <c r="AF669" s="32"/>
      <c r="AG669" s="32"/>
      <c r="AH669" s="44"/>
      <c r="AI669" s="44"/>
      <c r="AJ669" s="22"/>
      <c r="AK669" s="22"/>
      <c r="AL669" s="32"/>
      <c r="AM669" s="32"/>
      <c r="AN669" s="33"/>
      <c r="AO669" s="33"/>
    </row>
    <row r="670" spans="1:41" x14ac:dyDescent="0.3">
      <c r="A670" s="22"/>
      <c r="D670" s="23"/>
      <c r="E670" s="23"/>
      <c r="F670" s="195"/>
      <c r="H670" s="195"/>
      <c r="I670" s="195"/>
      <c r="J670" s="48"/>
      <c r="K670" s="48"/>
      <c r="L670" s="32"/>
      <c r="M670" s="32"/>
      <c r="N670" s="48"/>
      <c r="O670" s="48"/>
      <c r="P670" s="195"/>
      <c r="Q670" s="195"/>
      <c r="R670" s="32"/>
      <c r="U670" s="23"/>
      <c r="V670" s="32"/>
      <c r="Z670" s="32"/>
      <c r="AA670" s="48"/>
      <c r="AB670" s="32"/>
      <c r="AC670" s="32"/>
      <c r="AD670" s="48"/>
      <c r="AE670" s="48"/>
      <c r="AF670" s="32"/>
      <c r="AG670" s="32"/>
      <c r="AH670" s="44"/>
      <c r="AI670" s="44"/>
      <c r="AJ670" s="32"/>
      <c r="AK670" s="32"/>
      <c r="AL670" s="32"/>
      <c r="AM670" s="32"/>
      <c r="AN670" s="33"/>
      <c r="AO670" s="33"/>
    </row>
    <row r="671" spans="1:41" x14ac:dyDescent="0.3">
      <c r="F671" s="34"/>
      <c r="H671" s="34"/>
      <c r="I671" s="34"/>
      <c r="J671" s="198"/>
      <c r="K671" s="198"/>
      <c r="L671" s="34"/>
      <c r="M671" s="34"/>
      <c r="N671" s="34"/>
      <c r="O671" s="34"/>
      <c r="P671" s="34"/>
      <c r="Q671" s="34"/>
      <c r="R671" s="34"/>
      <c r="V671" s="34"/>
      <c r="Z671" s="34"/>
      <c r="AA671" s="198"/>
      <c r="AB671" s="34"/>
      <c r="AC671" s="34"/>
      <c r="AD671" s="34"/>
      <c r="AE671" s="34"/>
      <c r="AF671" s="34"/>
      <c r="AG671" s="34"/>
      <c r="AJ671" s="34"/>
      <c r="AK671" s="34"/>
      <c r="AL671" s="34"/>
      <c r="AM671" s="34"/>
      <c r="AN671" s="33"/>
      <c r="AO671" s="33"/>
    </row>
    <row r="672" spans="1:41" x14ac:dyDescent="0.3">
      <c r="A672" s="22"/>
      <c r="C672" s="23"/>
      <c r="F672" s="32"/>
      <c r="H672" s="32"/>
      <c r="I672" s="32"/>
      <c r="J672" s="48"/>
      <c r="K672" s="48"/>
      <c r="L672" s="32"/>
      <c r="M672" s="32"/>
      <c r="N672" s="48"/>
      <c r="O672" s="48"/>
      <c r="P672" s="32"/>
      <c r="Q672" s="32"/>
      <c r="R672" s="32"/>
      <c r="T672" s="23"/>
      <c r="V672" s="32"/>
      <c r="Z672" s="32"/>
      <c r="AA672" s="48"/>
      <c r="AB672" s="32"/>
      <c r="AC672" s="32"/>
      <c r="AD672" s="48"/>
      <c r="AE672" s="48"/>
      <c r="AF672" s="32"/>
      <c r="AG672" s="32"/>
      <c r="AH672" s="44"/>
      <c r="AI672" s="44"/>
      <c r="AJ672" s="32"/>
      <c r="AK672" s="32"/>
      <c r="AL672" s="32"/>
      <c r="AM672" s="32"/>
      <c r="AN672" s="33"/>
      <c r="AO672" s="33"/>
    </row>
    <row r="673" spans="1:41" x14ac:dyDescent="0.3">
      <c r="F673" s="32"/>
      <c r="H673" s="32"/>
      <c r="I673" s="32"/>
      <c r="J673" s="48"/>
      <c r="K673" s="48"/>
      <c r="L673" s="32"/>
      <c r="M673" s="32"/>
      <c r="N673" s="48"/>
      <c r="O673" s="48"/>
      <c r="P673" s="32"/>
      <c r="Q673" s="32"/>
      <c r="R673" s="32"/>
      <c r="V673" s="32"/>
      <c r="Z673" s="32"/>
      <c r="AA673" s="48"/>
      <c r="AB673" s="32"/>
      <c r="AC673" s="32"/>
      <c r="AD673" s="48"/>
      <c r="AE673" s="48"/>
      <c r="AH673" s="44"/>
      <c r="AI673" s="44"/>
      <c r="AJ673" s="32"/>
      <c r="AK673" s="32"/>
      <c r="AL673" s="32"/>
      <c r="AM673" s="32"/>
      <c r="AN673" s="33"/>
      <c r="AO673" s="33"/>
    </row>
    <row r="674" spans="1:41" x14ac:dyDescent="0.3">
      <c r="A674" s="22"/>
      <c r="D674" s="23"/>
      <c r="E674" s="23"/>
      <c r="F674" s="32"/>
      <c r="H674" s="32"/>
      <c r="I674" s="32"/>
      <c r="J674" s="48"/>
      <c r="K674" s="48"/>
      <c r="L674" s="195"/>
      <c r="M674" s="195"/>
      <c r="N674" s="48"/>
      <c r="O674" s="48"/>
      <c r="P674" s="32"/>
      <c r="Q674" s="32"/>
      <c r="R674" s="32"/>
      <c r="U674" s="23"/>
      <c r="V674" s="32"/>
      <c r="Z674" s="32"/>
      <c r="AA674" s="48"/>
      <c r="AB674" s="195"/>
      <c r="AC674" s="195"/>
      <c r="AD674" s="48"/>
      <c r="AE674" s="48"/>
      <c r="AF674" s="32"/>
      <c r="AG674" s="32"/>
      <c r="AH674" s="44"/>
      <c r="AI674" s="44"/>
      <c r="AJ674" s="32"/>
      <c r="AK674" s="32"/>
      <c r="AL674" s="32"/>
      <c r="AM674" s="32"/>
      <c r="AN674" s="33"/>
      <c r="AO674" s="33"/>
    </row>
    <row r="675" spans="1:41" x14ac:dyDescent="0.3">
      <c r="A675" s="22"/>
      <c r="D675" s="23"/>
      <c r="E675" s="23"/>
      <c r="F675" s="32"/>
      <c r="H675" s="32"/>
      <c r="I675" s="32"/>
      <c r="J675" s="48"/>
      <c r="K675" s="48"/>
      <c r="L675" s="195"/>
      <c r="M675" s="195"/>
      <c r="N675" s="48"/>
      <c r="O675" s="48"/>
      <c r="P675" s="32"/>
      <c r="Q675" s="32"/>
      <c r="R675" s="32"/>
      <c r="U675" s="23"/>
      <c r="V675" s="32"/>
      <c r="Z675" s="32"/>
      <c r="AA675" s="48"/>
      <c r="AB675" s="195"/>
      <c r="AC675" s="195"/>
      <c r="AD675" s="48"/>
      <c r="AE675" s="48"/>
      <c r="AF675" s="32"/>
      <c r="AG675" s="32"/>
      <c r="AH675" s="44"/>
      <c r="AI675" s="44"/>
      <c r="AJ675" s="32"/>
      <c r="AK675" s="32"/>
      <c r="AL675" s="32"/>
      <c r="AM675" s="32"/>
      <c r="AN675" s="33"/>
      <c r="AO675" s="33"/>
    </row>
    <row r="676" spans="1:41" x14ac:dyDescent="0.3">
      <c r="A676" s="22"/>
      <c r="D676" s="23"/>
      <c r="E676" s="23"/>
      <c r="F676" s="32"/>
      <c r="H676" s="32"/>
      <c r="I676" s="32"/>
      <c r="J676" s="48"/>
      <c r="K676" s="48"/>
      <c r="L676" s="195"/>
      <c r="M676" s="195"/>
      <c r="N676" s="48"/>
      <c r="O676" s="48"/>
      <c r="P676" s="32"/>
      <c r="Q676" s="32"/>
      <c r="R676" s="32"/>
      <c r="U676" s="23"/>
      <c r="V676" s="32"/>
      <c r="Z676" s="32"/>
      <c r="AA676" s="48"/>
      <c r="AB676" s="195"/>
      <c r="AC676" s="195"/>
      <c r="AD676" s="48"/>
      <c r="AE676" s="48"/>
      <c r="AF676" s="32"/>
      <c r="AG676" s="32"/>
      <c r="AH676" s="44"/>
      <c r="AI676" s="44"/>
      <c r="AJ676" s="32"/>
      <c r="AK676" s="32"/>
      <c r="AL676" s="32"/>
      <c r="AM676" s="32"/>
      <c r="AN676" s="33"/>
      <c r="AO676" s="33"/>
    </row>
    <row r="677" spans="1:41" x14ac:dyDescent="0.3">
      <c r="F677" s="34"/>
      <c r="H677" s="34"/>
      <c r="I677" s="34"/>
      <c r="J677" s="198"/>
      <c r="K677" s="198"/>
      <c r="L677" s="34"/>
      <c r="M677" s="34"/>
      <c r="N677" s="34"/>
      <c r="O677" s="34"/>
      <c r="P677" s="34"/>
      <c r="Q677" s="34"/>
      <c r="R677" s="34"/>
      <c r="V677" s="34"/>
      <c r="Z677" s="34"/>
      <c r="AA677" s="198"/>
      <c r="AB677" s="34"/>
      <c r="AC677" s="34"/>
      <c r="AD677" s="34"/>
      <c r="AE677" s="34"/>
      <c r="AF677" s="34"/>
      <c r="AG677" s="34"/>
      <c r="AJ677" s="34"/>
      <c r="AK677" s="34"/>
      <c r="AL677" s="34"/>
      <c r="AM677" s="34"/>
      <c r="AN677" s="33"/>
      <c r="AO677" s="33"/>
    </row>
    <row r="678" spans="1:41" x14ac:dyDescent="0.3">
      <c r="A678" s="22"/>
      <c r="C678" s="23"/>
      <c r="F678" s="32"/>
      <c r="H678" s="32"/>
      <c r="I678" s="32"/>
      <c r="J678" s="48"/>
      <c r="K678" s="48"/>
      <c r="L678" s="32"/>
      <c r="M678" s="32"/>
      <c r="N678" s="48"/>
      <c r="O678" s="48"/>
      <c r="P678" s="32"/>
      <c r="Q678" s="32"/>
      <c r="R678" s="32"/>
      <c r="T678" s="23"/>
      <c r="V678" s="32"/>
      <c r="Z678" s="32"/>
      <c r="AA678" s="48"/>
      <c r="AB678" s="32"/>
      <c r="AC678" s="32"/>
      <c r="AD678" s="48"/>
      <c r="AE678" s="48"/>
      <c r="AF678" s="32"/>
      <c r="AG678" s="32"/>
      <c r="AH678" s="44"/>
      <c r="AI678" s="44"/>
      <c r="AJ678" s="32"/>
      <c r="AK678" s="32"/>
      <c r="AL678" s="32"/>
      <c r="AM678" s="32"/>
      <c r="AN678" s="33"/>
      <c r="AO678" s="33"/>
    </row>
    <row r="679" spans="1:41" x14ac:dyDescent="0.3">
      <c r="F679" s="32"/>
      <c r="H679" s="32"/>
      <c r="I679" s="32"/>
      <c r="J679" s="48"/>
      <c r="K679" s="48"/>
      <c r="L679" s="32"/>
      <c r="M679" s="32"/>
      <c r="N679" s="48"/>
      <c r="O679" s="48"/>
      <c r="P679" s="32"/>
      <c r="Q679" s="32"/>
      <c r="R679" s="32"/>
      <c r="V679" s="32"/>
      <c r="Z679" s="32"/>
      <c r="AA679" s="48"/>
      <c r="AB679" s="32"/>
      <c r="AC679" s="32"/>
      <c r="AD679" s="48"/>
      <c r="AE679" s="48"/>
      <c r="AH679" s="44"/>
      <c r="AI679" s="44"/>
      <c r="AJ679" s="32"/>
      <c r="AK679" s="32"/>
      <c r="AL679" s="32"/>
      <c r="AM679" s="32"/>
      <c r="AN679" s="33"/>
      <c r="AO679" s="33"/>
    </row>
    <row r="680" spans="1:41" x14ac:dyDescent="0.3">
      <c r="A680" s="22"/>
      <c r="C680" s="23"/>
      <c r="F680" s="32"/>
      <c r="H680" s="32"/>
      <c r="I680" s="32"/>
      <c r="J680" s="48"/>
      <c r="K680" s="48"/>
      <c r="L680" s="32"/>
      <c r="M680" s="32"/>
      <c r="N680" s="48"/>
      <c r="O680" s="48"/>
      <c r="P680" s="32"/>
      <c r="Q680" s="32"/>
      <c r="R680" s="32"/>
      <c r="T680" s="23"/>
      <c r="V680" s="32"/>
      <c r="Z680" s="32"/>
      <c r="AA680" s="48"/>
      <c r="AB680" s="32"/>
      <c r="AC680" s="32"/>
      <c r="AD680" s="48"/>
      <c r="AE680" s="48"/>
      <c r="AF680" s="32"/>
      <c r="AG680" s="32"/>
      <c r="AH680" s="44"/>
      <c r="AI680" s="44"/>
      <c r="AJ680" s="32"/>
      <c r="AK680" s="32"/>
      <c r="AL680" s="32"/>
      <c r="AM680" s="32"/>
      <c r="AN680" s="33"/>
      <c r="AO680" s="33"/>
    </row>
    <row r="681" spans="1:41" x14ac:dyDescent="0.3">
      <c r="F681" s="34"/>
      <c r="H681" s="34"/>
      <c r="I681" s="34"/>
      <c r="J681" s="198"/>
      <c r="K681" s="198"/>
      <c r="L681" s="34"/>
      <c r="M681" s="34"/>
      <c r="N681" s="34"/>
      <c r="O681" s="34"/>
      <c r="P681" s="34"/>
      <c r="Q681" s="34"/>
      <c r="R681" s="34"/>
      <c r="V681" s="34"/>
      <c r="Z681" s="34"/>
      <c r="AA681" s="198"/>
      <c r="AB681" s="34"/>
      <c r="AC681" s="34"/>
      <c r="AD681" s="34"/>
      <c r="AE681" s="34"/>
      <c r="AF681" s="34"/>
      <c r="AG681" s="34"/>
      <c r="AJ681" s="34"/>
      <c r="AK681" s="34"/>
      <c r="AL681" s="34"/>
      <c r="AM681" s="34"/>
    </row>
    <row r="683" spans="1:41" x14ac:dyDescent="0.3">
      <c r="C683" s="23"/>
      <c r="L683" s="32"/>
      <c r="M683" s="32"/>
      <c r="P683" s="32"/>
      <c r="Q683" s="32"/>
      <c r="R683" s="32"/>
      <c r="T683" s="23"/>
    </row>
    <row r="684" spans="1:41" x14ac:dyDescent="0.3">
      <c r="A684" s="23"/>
      <c r="L684" s="32"/>
      <c r="M684" s="32"/>
      <c r="P684" s="32"/>
      <c r="Q684" s="32"/>
      <c r="R684" s="32"/>
    </row>
    <row r="685" spans="1:41" x14ac:dyDescent="0.3">
      <c r="L685" s="32"/>
      <c r="M685" s="32"/>
      <c r="P685" s="32"/>
      <c r="Q685" s="32"/>
      <c r="R685" s="32"/>
    </row>
    <row r="686" spans="1:41" x14ac:dyDescent="0.3">
      <c r="L686" s="32"/>
      <c r="M686" s="32"/>
      <c r="P686" s="32"/>
      <c r="Q686" s="32"/>
      <c r="R686" s="32"/>
    </row>
    <row r="687" spans="1:41" x14ac:dyDescent="0.3">
      <c r="L687" s="32"/>
      <c r="M687" s="32"/>
      <c r="P687" s="32"/>
      <c r="Q687" s="32"/>
      <c r="R687" s="32"/>
    </row>
    <row r="688" spans="1:41" x14ac:dyDescent="0.3">
      <c r="L688" s="32"/>
      <c r="M688" s="32"/>
      <c r="P688" s="32"/>
      <c r="Q688" s="32"/>
      <c r="R688" s="32"/>
    </row>
    <row r="689" spans="12:18" x14ac:dyDescent="0.3">
      <c r="L689" s="32"/>
      <c r="M689" s="32"/>
      <c r="P689" s="32"/>
      <c r="Q689" s="32"/>
      <c r="R689" s="32"/>
    </row>
    <row r="722" spans="48:48" x14ac:dyDescent="0.3">
      <c r="AV722" s="32"/>
    </row>
    <row r="723" spans="48:48" x14ac:dyDescent="0.3">
      <c r="AV723" s="32"/>
    </row>
    <row r="724" spans="48:48" x14ac:dyDescent="0.3">
      <c r="AV724" s="32"/>
    </row>
    <row r="725" spans="48:48" x14ac:dyDescent="0.3">
      <c r="AV725" s="32"/>
    </row>
    <row r="726" spans="48:48" x14ac:dyDescent="0.3">
      <c r="AV726" s="32"/>
    </row>
    <row r="727" spans="48:48" x14ac:dyDescent="0.3">
      <c r="AV727" s="32"/>
    </row>
    <row r="730" spans="48:48" x14ac:dyDescent="0.3">
      <c r="AV730" s="32"/>
    </row>
    <row r="731" spans="48:48" x14ac:dyDescent="0.3">
      <c r="AV731" s="32"/>
    </row>
    <row r="732" spans="48:48" x14ac:dyDescent="0.3">
      <c r="AV732" s="32"/>
    </row>
    <row r="733" spans="48:48" x14ac:dyDescent="0.3">
      <c r="AV733" s="32"/>
    </row>
    <row r="734" spans="48:48" x14ac:dyDescent="0.3">
      <c r="AV734" s="32"/>
    </row>
    <row r="735" spans="48:48" x14ac:dyDescent="0.3">
      <c r="AV735" s="32"/>
    </row>
    <row r="736" spans="48:48" x14ac:dyDescent="0.3">
      <c r="AV736" s="32"/>
    </row>
    <row r="737" spans="48:48" x14ac:dyDescent="0.3">
      <c r="AV737" s="32"/>
    </row>
    <row r="740" spans="48:48" x14ac:dyDescent="0.3">
      <c r="AV740" s="32"/>
    </row>
    <row r="741" spans="48:48" x14ac:dyDescent="0.3">
      <c r="AV741" s="32"/>
    </row>
    <row r="744" spans="48:48" x14ac:dyDescent="0.3">
      <c r="AV744" s="32"/>
    </row>
    <row r="745" spans="48:48" x14ac:dyDescent="0.3">
      <c r="AV745" s="32"/>
    </row>
    <row r="746" spans="48:48" x14ac:dyDescent="0.3">
      <c r="AV746" s="32"/>
    </row>
    <row r="747" spans="48:48" x14ac:dyDescent="0.3">
      <c r="AV747" s="32"/>
    </row>
    <row r="753" spans="44:68" x14ac:dyDescent="0.3">
      <c r="AX753" s="22"/>
    </row>
    <row r="754" spans="44:68" x14ac:dyDescent="0.3">
      <c r="AX754" s="22"/>
    </row>
    <row r="755" spans="44:68" x14ac:dyDescent="0.3">
      <c r="AX755" s="23"/>
    </row>
    <row r="756" spans="44:68" x14ac:dyDescent="0.3">
      <c r="AX756" s="23"/>
    </row>
    <row r="757" spans="44:68" x14ac:dyDescent="0.3">
      <c r="AR757" s="22"/>
      <c r="BC757" s="23"/>
    </row>
    <row r="758" spans="44:68" x14ac:dyDescent="0.3">
      <c r="AR758" s="22"/>
      <c r="BC758" s="23"/>
    </row>
    <row r="759" spans="44:68" x14ac:dyDescent="0.3">
      <c r="AR759" s="23"/>
      <c r="BC759" s="23"/>
    </row>
    <row r="760" spans="44:68" x14ac:dyDescent="0.3">
      <c r="BC760" s="22"/>
    </row>
    <row r="761" spans="44:68" x14ac:dyDescent="0.3"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44:68" x14ac:dyDescent="0.3">
      <c r="AW762" s="23"/>
    </row>
    <row r="763" spans="44:68" x14ac:dyDescent="0.3">
      <c r="AW763" s="29"/>
      <c r="AX763" s="29"/>
      <c r="AY763" s="29"/>
      <c r="AZ763" s="29"/>
      <c r="BB763" s="30"/>
      <c r="BC763" s="30"/>
    </row>
    <row r="764" spans="44:68" x14ac:dyDescent="0.3">
      <c r="AU764" s="30"/>
      <c r="AV764" s="30"/>
      <c r="AY764" s="30"/>
      <c r="AZ764" s="30"/>
      <c r="BB764" s="30"/>
      <c r="BC764" s="30"/>
      <c r="BD764" s="30"/>
      <c r="BF764" s="29"/>
      <c r="BG764" s="23"/>
      <c r="BJ764" s="29"/>
      <c r="BL764" s="29"/>
      <c r="BM764" s="23"/>
      <c r="BP764" s="29"/>
    </row>
    <row r="765" spans="44:68" x14ac:dyDescent="0.3"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G765" s="30"/>
      <c r="BH765" s="30"/>
      <c r="BI765" s="30"/>
      <c r="BM765" s="30"/>
      <c r="BN765" s="30"/>
      <c r="BO765" s="30"/>
    </row>
    <row r="766" spans="44:68" x14ac:dyDescent="0.3">
      <c r="AR766" s="30"/>
      <c r="AT766" s="23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F766" s="30"/>
      <c r="BG766" s="30"/>
      <c r="BH766" s="30"/>
      <c r="BI766" s="30"/>
      <c r="BJ766" s="30"/>
      <c r="BL766" s="30"/>
      <c r="BM766" s="30"/>
      <c r="BN766" s="30"/>
      <c r="BO766" s="30"/>
      <c r="BP766" s="30"/>
    </row>
    <row r="767" spans="44:68" x14ac:dyDescent="0.3">
      <c r="AR767" s="30"/>
      <c r="AT767" s="23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F767" s="30"/>
      <c r="BG767" s="30"/>
      <c r="BH767" s="30"/>
      <c r="BI767" s="30"/>
      <c r="BJ767" s="30"/>
      <c r="BL767" s="30"/>
      <c r="BM767" s="30"/>
      <c r="BN767" s="30"/>
      <c r="BO767" s="30"/>
      <c r="BP767" s="30"/>
    </row>
    <row r="768" spans="44:68" x14ac:dyDescent="0.3"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F768" s="29"/>
      <c r="BG768" s="29"/>
      <c r="BH768" s="29"/>
      <c r="BI768" s="29"/>
      <c r="BJ768" s="29"/>
      <c r="BL768" s="29"/>
      <c r="BM768" s="29"/>
      <c r="BN768" s="29"/>
      <c r="BO768" s="29"/>
      <c r="BP768" s="29"/>
    </row>
    <row r="769" spans="44:68" x14ac:dyDescent="0.3"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</row>
    <row r="770" spans="44:68" x14ac:dyDescent="0.3">
      <c r="AR770" s="22"/>
      <c r="AT770" s="23"/>
      <c r="AU770" s="30"/>
      <c r="AX770" s="48"/>
    </row>
    <row r="771" spans="44:68" x14ac:dyDescent="0.3">
      <c r="AR771" s="22"/>
      <c r="AU771" s="30"/>
      <c r="AV771" s="32"/>
      <c r="AW771" s="62"/>
      <c r="AX771" s="62"/>
      <c r="AY771" s="62"/>
      <c r="AZ771" s="33"/>
      <c r="BA771" s="62"/>
      <c r="BB771" s="48"/>
      <c r="BC771" s="48"/>
      <c r="BD771" s="33"/>
      <c r="BF771" s="62"/>
      <c r="BG771" s="62"/>
      <c r="BH771" s="62"/>
      <c r="BI771" s="62"/>
      <c r="BJ771" s="62"/>
      <c r="BL771" s="62"/>
      <c r="BM771" s="62"/>
      <c r="BN771" s="62"/>
      <c r="BO771" s="62"/>
      <c r="BP771" s="62"/>
    </row>
    <row r="772" spans="44:68" x14ac:dyDescent="0.3">
      <c r="AR772" s="22"/>
      <c r="AU772" s="30"/>
      <c r="AV772" s="32"/>
      <c r="AW772" s="62"/>
      <c r="AX772" s="62"/>
      <c r="AY772" s="62"/>
      <c r="AZ772" s="33"/>
      <c r="BA772" s="62"/>
      <c r="BB772" s="48"/>
      <c r="BC772" s="48"/>
      <c r="BD772" s="33"/>
      <c r="BF772" s="62"/>
      <c r="BG772" s="62"/>
      <c r="BH772" s="62"/>
      <c r="BI772" s="62"/>
      <c r="BJ772" s="62"/>
      <c r="BL772" s="62"/>
      <c r="BM772" s="62"/>
      <c r="BN772" s="62"/>
      <c r="BO772" s="62"/>
      <c r="BP772" s="62"/>
    </row>
    <row r="773" spans="44:68" x14ac:dyDescent="0.3">
      <c r="AR773" s="22"/>
      <c r="AU773" s="30"/>
      <c r="AV773" s="32"/>
      <c r="AW773" s="62"/>
      <c r="AX773" s="62"/>
      <c r="AY773" s="62"/>
      <c r="AZ773" s="33"/>
      <c r="BA773" s="62"/>
      <c r="BB773" s="48"/>
      <c r="BC773" s="48"/>
      <c r="BD773" s="33"/>
      <c r="BF773" s="62"/>
      <c r="BG773" s="62"/>
      <c r="BH773" s="62"/>
      <c r="BI773" s="62"/>
      <c r="BJ773" s="62"/>
      <c r="BL773" s="62"/>
      <c r="BM773" s="62"/>
      <c r="BN773" s="62"/>
      <c r="BO773" s="62"/>
      <c r="BP773" s="62"/>
    </row>
    <row r="774" spans="44:68" x14ac:dyDescent="0.3">
      <c r="AR774" s="22"/>
      <c r="AU774" s="30"/>
      <c r="AV774" s="32"/>
      <c r="AW774" s="62"/>
      <c r="AX774" s="62"/>
      <c r="AY774" s="62"/>
      <c r="AZ774" s="33"/>
      <c r="BA774" s="62"/>
      <c r="BB774" s="48"/>
      <c r="BC774" s="48"/>
      <c r="BD774" s="33"/>
      <c r="BF774" s="62"/>
      <c r="BG774" s="62"/>
      <c r="BH774" s="62"/>
      <c r="BI774" s="62"/>
      <c r="BJ774" s="62"/>
      <c r="BL774" s="62"/>
      <c r="BM774" s="62"/>
      <c r="BN774" s="62"/>
      <c r="BO774" s="62"/>
      <c r="BP774" s="62"/>
    </row>
    <row r="775" spans="44:68" x14ac:dyDescent="0.3">
      <c r="AR775" s="22"/>
      <c r="AU775" s="30"/>
      <c r="AV775" s="32"/>
      <c r="AW775" s="62"/>
      <c r="AX775" s="62"/>
      <c r="AY775" s="62"/>
      <c r="AZ775" s="33"/>
      <c r="BA775" s="62"/>
      <c r="BB775" s="48"/>
      <c r="BC775" s="48"/>
      <c r="BD775" s="33"/>
      <c r="BF775" s="62"/>
      <c r="BG775" s="62"/>
      <c r="BH775" s="62"/>
      <c r="BI775" s="62"/>
      <c r="BJ775" s="62"/>
      <c r="BL775" s="62"/>
      <c r="BM775" s="62"/>
      <c r="BN775" s="62"/>
      <c r="BO775" s="62"/>
      <c r="BP775" s="62"/>
    </row>
    <row r="776" spans="44:68" x14ac:dyDescent="0.3">
      <c r="AR776" s="22"/>
      <c r="AU776" s="30"/>
      <c r="AV776" s="32"/>
      <c r="AW776" s="62"/>
      <c r="AX776" s="62"/>
      <c r="AY776" s="62"/>
      <c r="AZ776" s="33"/>
      <c r="BA776" s="62"/>
      <c r="BB776" s="48"/>
      <c r="BC776" s="48"/>
      <c r="BD776" s="33"/>
      <c r="BF776" s="62"/>
      <c r="BG776" s="62"/>
      <c r="BH776" s="62"/>
      <c r="BI776" s="62"/>
      <c r="BJ776" s="62"/>
      <c r="BL776" s="62"/>
      <c r="BM776" s="62"/>
      <c r="BN776" s="62"/>
      <c r="BO776" s="62"/>
      <c r="BP776" s="62"/>
    </row>
    <row r="777" spans="44:68" x14ac:dyDescent="0.3">
      <c r="AR777" s="22"/>
      <c r="AU777" s="30"/>
      <c r="AV777" s="32"/>
      <c r="AW777" s="62"/>
      <c r="AX777" s="62"/>
      <c r="AY777" s="62"/>
      <c r="AZ777" s="33"/>
      <c r="BA777" s="62"/>
      <c r="BB777" s="48"/>
      <c r="BC777" s="48"/>
      <c r="BD777" s="33"/>
      <c r="BF777" s="62"/>
      <c r="BG777" s="62"/>
      <c r="BH777" s="62"/>
      <c r="BI777" s="62"/>
      <c r="BJ777" s="62"/>
      <c r="BL777" s="62"/>
      <c r="BM777" s="62"/>
      <c r="BN777" s="62"/>
      <c r="BO777" s="62"/>
      <c r="BP777" s="62"/>
    </row>
    <row r="778" spans="44:68" x14ac:dyDescent="0.3">
      <c r="AX778" s="48"/>
      <c r="AY778" s="62"/>
      <c r="AZ778" s="33"/>
      <c r="BA778" s="62"/>
      <c r="BB778" s="48"/>
      <c r="BC778" s="48"/>
      <c r="BD778" s="33"/>
      <c r="BJ778" s="62"/>
      <c r="BP778" s="62"/>
    </row>
    <row r="779" spans="44:68" x14ac:dyDescent="0.3">
      <c r="AR779" s="22"/>
      <c r="AU779" s="30"/>
      <c r="AX779" s="48"/>
      <c r="AY779" s="62"/>
      <c r="AZ779" s="33"/>
      <c r="BA779" s="62"/>
      <c r="BB779" s="48"/>
      <c r="BC779" s="48"/>
      <c r="BD779" s="33"/>
      <c r="BJ779" s="62"/>
      <c r="BP779" s="62"/>
    </row>
    <row r="780" spans="44:68" x14ac:dyDescent="0.3">
      <c r="AR780" s="22"/>
      <c r="AU780" s="30"/>
      <c r="AV780" s="32"/>
      <c r="AW780" s="62"/>
      <c r="AX780" s="62"/>
      <c r="AY780" s="62"/>
      <c r="AZ780" s="33"/>
      <c r="BA780" s="62"/>
      <c r="BB780" s="48"/>
      <c r="BC780" s="48"/>
      <c r="BD780" s="33"/>
      <c r="BF780" s="62"/>
      <c r="BG780" s="62"/>
      <c r="BH780" s="62"/>
      <c r="BI780" s="62"/>
      <c r="BJ780" s="62"/>
      <c r="BL780" s="62"/>
      <c r="BM780" s="62"/>
      <c r="BN780" s="62"/>
      <c r="BO780" s="62"/>
      <c r="BP780" s="62"/>
    </row>
    <row r="781" spans="44:68" x14ac:dyDescent="0.3">
      <c r="AR781" s="22"/>
      <c r="AU781" s="30"/>
      <c r="AV781" s="32"/>
      <c r="AW781" s="62"/>
      <c r="AX781" s="62"/>
      <c r="AY781" s="62"/>
      <c r="AZ781" s="33"/>
      <c r="BA781" s="62"/>
      <c r="BB781" s="48"/>
      <c r="BC781" s="48"/>
      <c r="BD781" s="33"/>
      <c r="BF781" s="62"/>
      <c r="BG781" s="62"/>
      <c r="BH781" s="62"/>
      <c r="BI781" s="62"/>
      <c r="BJ781" s="62"/>
      <c r="BL781" s="62"/>
      <c r="BM781" s="62"/>
      <c r="BN781" s="62"/>
      <c r="BO781" s="62"/>
      <c r="BP781" s="62"/>
    </row>
    <row r="782" spans="44:68" x14ac:dyDescent="0.3">
      <c r="AR782" s="22"/>
      <c r="AU782" s="30"/>
      <c r="AV782" s="32"/>
      <c r="AW782" s="62"/>
      <c r="AX782" s="62"/>
      <c r="AY782" s="62"/>
      <c r="AZ782" s="33"/>
      <c r="BA782" s="62"/>
      <c r="BB782" s="48"/>
      <c r="BC782" s="48"/>
      <c r="BD782" s="33"/>
      <c r="BF782" s="62"/>
      <c r="BG782" s="62"/>
      <c r="BH782" s="62"/>
      <c r="BI782" s="62"/>
      <c r="BJ782" s="62"/>
      <c r="BL782" s="62"/>
      <c r="BM782" s="62"/>
      <c r="BN782" s="62"/>
      <c r="BO782" s="62"/>
      <c r="BP782" s="62"/>
    </row>
    <row r="783" spans="44:68" x14ac:dyDescent="0.3">
      <c r="AR783" s="22"/>
      <c r="AU783" s="30"/>
      <c r="AV783" s="32"/>
      <c r="AW783" s="62"/>
      <c r="AX783" s="62"/>
      <c r="AY783" s="62"/>
      <c r="AZ783" s="33"/>
      <c r="BA783" s="62"/>
      <c r="BB783" s="48"/>
      <c r="BC783" s="48"/>
      <c r="BD783" s="33"/>
      <c r="BF783" s="62"/>
      <c r="BG783" s="62"/>
      <c r="BH783" s="62"/>
      <c r="BI783" s="62"/>
      <c r="BJ783" s="62"/>
      <c r="BL783" s="62"/>
      <c r="BM783" s="62"/>
      <c r="BN783" s="62"/>
      <c r="BO783" s="62"/>
      <c r="BP783" s="62"/>
    </row>
    <row r="784" spans="44:68" x14ac:dyDescent="0.3">
      <c r="AR784" s="22"/>
      <c r="AU784" s="30"/>
      <c r="AV784" s="32"/>
      <c r="AW784" s="62"/>
      <c r="AX784" s="62"/>
      <c r="AY784" s="62"/>
      <c r="AZ784" s="33"/>
      <c r="BA784" s="62"/>
      <c r="BB784" s="48"/>
      <c r="BC784" s="48"/>
      <c r="BD784" s="33"/>
      <c r="BF784" s="62"/>
      <c r="BG784" s="62"/>
      <c r="BH784" s="62"/>
      <c r="BI784" s="62"/>
      <c r="BJ784" s="62"/>
      <c r="BL784" s="62"/>
      <c r="BM784" s="62"/>
      <c r="BN784" s="62"/>
      <c r="BO784" s="62"/>
      <c r="BP784" s="62"/>
    </row>
    <row r="785" spans="44:68" x14ac:dyDescent="0.3">
      <c r="AR785" s="22"/>
      <c r="AU785" s="30"/>
      <c r="AV785" s="32"/>
      <c r="AW785" s="62"/>
      <c r="AX785" s="62"/>
      <c r="AY785" s="62"/>
      <c r="AZ785" s="33"/>
      <c r="BA785" s="62"/>
      <c r="BB785" s="48"/>
      <c r="BC785" s="48"/>
      <c r="BD785" s="33"/>
      <c r="BF785" s="62"/>
      <c r="BG785" s="62"/>
      <c r="BH785" s="62"/>
      <c r="BI785" s="62"/>
      <c r="BJ785" s="62"/>
      <c r="BL785" s="62"/>
      <c r="BM785" s="62"/>
      <c r="BN785" s="62"/>
      <c r="BO785" s="62"/>
      <c r="BP785" s="62"/>
    </row>
    <row r="786" spans="44:68" x14ac:dyDescent="0.3">
      <c r="AR786" s="22"/>
      <c r="AU786" s="30"/>
      <c r="AV786" s="32"/>
      <c r="AW786" s="62"/>
      <c r="AX786" s="62"/>
      <c r="AY786" s="62"/>
      <c r="AZ786" s="33"/>
      <c r="BA786" s="62"/>
      <c r="BB786" s="48"/>
      <c r="BC786" s="48"/>
      <c r="BD786" s="33"/>
      <c r="BF786" s="62"/>
      <c r="BG786" s="62"/>
      <c r="BH786" s="62"/>
      <c r="BI786" s="62"/>
      <c r="BJ786" s="62"/>
      <c r="BL786" s="62"/>
      <c r="BM786" s="62"/>
      <c r="BN786" s="62"/>
      <c r="BO786" s="62"/>
      <c r="BP786" s="62"/>
    </row>
    <row r="787" spans="44:68" x14ac:dyDescent="0.3">
      <c r="AR787" s="22"/>
      <c r="AU787" s="30"/>
      <c r="AV787" s="32"/>
      <c r="AW787" s="62"/>
      <c r="AX787" s="62"/>
      <c r="AY787" s="62"/>
      <c r="AZ787" s="33"/>
      <c r="BA787" s="62"/>
      <c r="BB787" s="48"/>
      <c r="BC787" s="48"/>
      <c r="BD787" s="33"/>
      <c r="BF787" s="62"/>
      <c r="BG787" s="62"/>
      <c r="BH787" s="62"/>
      <c r="BI787" s="62"/>
      <c r="BJ787" s="62"/>
      <c r="BL787" s="62"/>
      <c r="BM787" s="62"/>
      <c r="BN787" s="62"/>
      <c r="BO787" s="62"/>
      <c r="BP787" s="62"/>
    </row>
    <row r="788" spans="44:68" x14ac:dyDescent="0.3">
      <c r="AX788" s="48"/>
      <c r="AY788" s="62"/>
      <c r="AZ788" s="33"/>
      <c r="BA788" s="62"/>
      <c r="BB788" s="48"/>
      <c r="BC788" s="48"/>
      <c r="BD788" s="33"/>
      <c r="BJ788" s="62"/>
      <c r="BP788" s="62"/>
    </row>
    <row r="789" spans="44:68" x14ac:dyDescent="0.3">
      <c r="AT789" s="23"/>
      <c r="AY789" s="62"/>
      <c r="BA789" s="62"/>
      <c r="BF789" s="62"/>
      <c r="BG789" s="62"/>
      <c r="BI789" s="62"/>
      <c r="BJ789" s="62"/>
    </row>
    <row r="790" spans="44:68" x14ac:dyDescent="0.3">
      <c r="AY790" s="62"/>
      <c r="BA790" s="62"/>
    </row>
    <row r="791" spans="44:68" x14ac:dyDescent="0.3">
      <c r="AR791" s="23"/>
      <c r="AY791" s="62"/>
      <c r="BA791" s="62"/>
      <c r="BH791" s="62"/>
    </row>
    <row r="792" spans="44:68" x14ac:dyDescent="0.3">
      <c r="AX792" s="22"/>
      <c r="AY792" s="62"/>
      <c r="BA792" s="62"/>
    </row>
    <row r="793" spans="44:68" x14ac:dyDescent="0.3">
      <c r="AX793" s="62"/>
      <c r="BA793" s="62"/>
    </row>
    <row r="794" spans="44:68" x14ac:dyDescent="0.3">
      <c r="AX794" s="23"/>
      <c r="AY794" s="62"/>
      <c r="BA794" s="62"/>
    </row>
    <row r="795" spans="44:68" x14ac:dyDescent="0.3">
      <c r="AX795" s="23"/>
      <c r="AY795" s="62"/>
      <c r="BA795" s="62"/>
    </row>
    <row r="796" spans="44:68" x14ac:dyDescent="0.3">
      <c r="AR796" s="22"/>
      <c r="AY796" s="62"/>
      <c r="BA796" s="62"/>
      <c r="BC796" s="23"/>
    </row>
    <row r="797" spans="44:68" x14ac:dyDescent="0.3">
      <c r="AR797" s="22"/>
      <c r="AY797" s="62"/>
      <c r="BA797" s="62"/>
      <c r="BC797" s="23"/>
    </row>
    <row r="798" spans="44:68" x14ac:dyDescent="0.3">
      <c r="AR798" s="23"/>
      <c r="AY798" s="62"/>
      <c r="BA798" s="62"/>
      <c r="BC798" s="23"/>
    </row>
    <row r="799" spans="44:68" x14ac:dyDescent="0.3">
      <c r="AY799" s="62"/>
      <c r="BA799" s="62"/>
      <c r="BC799" s="22"/>
    </row>
    <row r="800" spans="44:68" x14ac:dyDescent="0.3">
      <c r="AR800" s="29"/>
      <c r="AS800" s="29"/>
      <c r="AT800" s="29"/>
      <c r="AU800" s="29"/>
      <c r="AV800" s="29"/>
      <c r="AW800" s="29"/>
      <c r="AX800" s="29"/>
      <c r="AY800" s="63"/>
      <c r="AZ800" s="29"/>
      <c r="BA800" s="63"/>
      <c r="BB800" s="29"/>
      <c r="BC800" s="29"/>
      <c r="BD800" s="29"/>
    </row>
    <row r="801" spans="44:74" x14ac:dyDescent="0.3">
      <c r="AW801" s="23"/>
      <c r="AY801" s="62"/>
      <c r="BA801" s="62"/>
    </row>
    <row r="802" spans="44:74" x14ac:dyDescent="0.3">
      <c r="AW802" s="29"/>
      <c r="AX802" s="29"/>
      <c r="AY802" s="63"/>
      <c r="AZ802" s="29"/>
      <c r="BA802" s="62"/>
      <c r="BB802" s="30"/>
      <c r="BC802" s="30"/>
    </row>
    <row r="803" spans="44:74" x14ac:dyDescent="0.3">
      <c r="AU803" s="30"/>
      <c r="AV803" s="30"/>
      <c r="AY803" s="64"/>
      <c r="AZ803" s="30"/>
      <c r="BA803" s="62"/>
      <c r="BB803" s="30"/>
      <c r="BC803" s="30"/>
      <c r="BD803" s="30"/>
      <c r="BF803" s="29"/>
      <c r="BG803" s="29"/>
      <c r="BH803" s="23"/>
      <c r="BL803" s="29"/>
      <c r="BM803" s="29"/>
      <c r="BO803" s="29"/>
      <c r="BP803" s="29"/>
      <c r="BQ803" s="23"/>
      <c r="BU803" s="29"/>
      <c r="BV803" s="29"/>
    </row>
    <row r="804" spans="44:74" x14ac:dyDescent="0.3">
      <c r="AU804" s="30"/>
      <c r="AV804" s="30"/>
      <c r="AW804" s="30"/>
      <c r="AX804" s="30"/>
      <c r="AY804" s="64"/>
      <c r="AZ804" s="30"/>
      <c r="BA804" s="64"/>
      <c r="BB804" s="30"/>
      <c r="BC804" s="30"/>
      <c r="BD804" s="30"/>
      <c r="BG804" s="30"/>
      <c r="BH804" s="30"/>
      <c r="BI804" s="30"/>
      <c r="BJ804" s="30"/>
      <c r="BK804" s="30"/>
      <c r="BL804" s="30"/>
      <c r="BP804" s="30"/>
      <c r="BQ804" s="30"/>
      <c r="BR804" s="30"/>
      <c r="BS804" s="30"/>
      <c r="BT804" s="30"/>
      <c r="BU804" s="30"/>
    </row>
    <row r="805" spans="44:74" x14ac:dyDescent="0.3">
      <c r="AR805" s="30"/>
      <c r="AT805" s="23"/>
      <c r="AU805" s="30"/>
      <c r="AV805" s="30"/>
      <c r="AW805" s="30"/>
      <c r="AX805" s="30"/>
      <c r="AY805" s="64"/>
      <c r="AZ805" s="30"/>
      <c r="BA805" s="64"/>
      <c r="BB805" s="30"/>
      <c r="BC805" s="30"/>
      <c r="BD805" s="30"/>
      <c r="BF805" s="30"/>
      <c r="BG805" s="30"/>
      <c r="BH805" s="30"/>
      <c r="BI805" s="30"/>
      <c r="BJ805" s="30"/>
      <c r="BK805" s="30"/>
      <c r="BL805" s="30"/>
      <c r="BM805" s="30"/>
      <c r="BO805" s="30"/>
      <c r="BP805" s="30"/>
      <c r="BQ805" s="30"/>
      <c r="BR805" s="30"/>
      <c r="BS805" s="30"/>
      <c r="BT805" s="30"/>
      <c r="BU805" s="30"/>
      <c r="BV805" s="30"/>
    </row>
    <row r="806" spans="44:74" x14ac:dyDescent="0.3">
      <c r="AR806" s="30"/>
      <c r="AT806" s="23"/>
      <c r="AU806" s="30"/>
      <c r="AV806" s="30"/>
      <c r="AW806" s="30"/>
      <c r="AX806" s="30"/>
      <c r="AY806" s="64"/>
      <c r="AZ806" s="30"/>
      <c r="BA806" s="64"/>
      <c r="BB806" s="30"/>
      <c r="BC806" s="30"/>
      <c r="BD806" s="30"/>
      <c r="BF806" s="30"/>
      <c r="BG806" s="30"/>
      <c r="BH806" s="30"/>
      <c r="BI806" s="30"/>
      <c r="BJ806" s="30"/>
      <c r="BK806" s="30"/>
      <c r="BL806" s="30"/>
      <c r="BM806" s="30"/>
      <c r="BO806" s="30"/>
      <c r="BP806" s="30"/>
      <c r="BQ806" s="30"/>
      <c r="BR806" s="30"/>
      <c r="BS806" s="30"/>
      <c r="BT806" s="30"/>
      <c r="BU806" s="30"/>
      <c r="BV806" s="30"/>
    </row>
    <row r="807" spans="44:74" x14ac:dyDescent="0.3">
      <c r="AR807" s="29"/>
      <c r="AS807" s="29"/>
      <c r="AT807" s="29"/>
      <c r="AU807" s="29"/>
      <c r="AV807" s="29"/>
      <c r="AW807" s="29"/>
      <c r="AX807" s="29"/>
      <c r="AY807" s="63"/>
      <c r="AZ807" s="29"/>
      <c r="BA807" s="63"/>
      <c r="BB807" s="29"/>
      <c r="BC807" s="29"/>
      <c r="BD807" s="29"/>
      <c r="BF807" s="29"/>
      <c r="BG807" s="29"/>
      <c r="BH807" s="29"/>
      <c r="BI807" s="29"/>
      <c r="BJ807" s="29"/>
      <c r="BK807" s="29"/>
      <c r="BL807" s="29"/>
      <c r="BM807" s="29"/>
      <c r="BO807" s="29"/>
      <c r="BP807" s="29"/>
      <c r="BQ807" s="29"/>
      <c r="BR807" s="29"/>
      <c r="BS807" s="29"/>
      <c r="BT807" s="29"/>
      <c r="BU807" s="29"/>
      <c r="BV807" s="29"/>
    </row>
    <row r="808" spans="44:74" x14ac:dyDescent="0.3">
      <c r="AU808" s="30"/>
      <c r="AV808" s="30"/>
      <c r="AW808" s="30"/>
      <c r="AX808" s="30"/>
      <c r="AY808" s="64"/>
      <c r="AZ808" s="30"/>
      <c r="BA808" s="64"/>
      <c r="BB808" s="30"/>
      <c r="BC808" s="30"/>
      <c r="BD808" s="30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</row>
    <row r="809" spans="44:74" x14ac:dyDescent="0.3">
      <c r="AR809" s="22"/>
      <c r="AT809" s="23"/>
      <c r="AU809" s="22"/>
      <c r="AV809" s="32"/>
      <c r="AW809" s="62"/>
      <c r="AX809" s="62"/>
      <c r="AY809" s="62"/>
      <c r="AZ809" s="44"/>
      <c r="BA809" s="62"/>
      <c r="BB809" s="62"/>
      <c r="BC809" s="62"/>
      <c r="BD809" s="44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</row>
    <row r="810" spans="44:74" x14ac:dyDescent="0.3">
      <c r="AR810" s="22"/>
      <c r="AU810" s="22"/>
      <c r="AV810" s="32"/>
      <c r="AW810" s="62"/>
      <c r="AX810" s="62"/>
      <c r="AY810" s="62"/>
      <c r="AZ810" s="44"/>
      <c r="BA810" s="62"/>
      <c r="BB810" s="62"/>
      <c r="BC810" s="62"/>
      <c r="BD810" s="44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</row>
    <row r="811" spans="44:74" x14ac:dyDescent="0.3">
      <c r="AR811" s="22"/>
      <c r="AU811" s="22"/>
      <c r="AV811" s="32"/>
      <c r="AW811" s="62"/>
      <c r="AX811" s="62"/>
      <c r="AY811" s="62"/>
      <c r="AZ811" s="44"/>
      <c r="BA811" s="62"/>
      <c r="BB811" s="62"/>
      <c r="BC811" s="62"/>
      <c r="BD811" s="44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</row>
    <row r="812" spans="44:74" x14ac:dyDescent="0.3">
      <c r="AR812" s="22"/>
      <c r="AU812" s="22"/>
      <c r="AV812" s="32"/>
      <c r="AW812" s="62"/>
      <c r="AX812" s="62"/>
      <c r="AY812" s="62"/>
      <c r="AZ812" s="44"/>
      <c r="BA812" s="62"/>
      <c r="BB812" s="62"/>
      <c r="BC812" s="62"/>
      <c r="BD812" s="44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</row>
    <row r="813" spans="44:74" x14ac:dyDescent="0.3">
      <c r="AR813" s="22"/>
      <c r="AU813" s="2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</row>
    <row r="814" spans="44:74" x14ac:dyDescent="0.3">
      <c r="AR814" s="22"/>
      <c r="AU814" s="2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</row>
    <row r="815" spans="44:74" x14ac:dyDescent="0.3">
      <c r="AR815" s="22"/>
      <c r="AU815" s="2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</row>
    <row r="816" spans="44:74" x14ac:dyDescent="0.3">
      <c r="AR816" s="22"/>
      <c r="AU816" s="2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</row>
    <row r="817" spans="44:74" x14ac:dyDescent="0.3">
      <c r="AR817" s="22"/>
      <c r="AU817" s="2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</row>
    <row r="818" spans="44:74" x14ac:dyDescent="0.3">
      <c r="AR818" s="22"/>
      <c r="AU818" s="2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</row>
    <row r="819" spans="44:74" x14ac:dyDescent="0.3">
      <c r="AR819" s="22"/>
      <c r="AU819" s="2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</row>
    <row r="820" spans="44:74" x14ac:dyDescent="0.3">
      <c r="AR820" s="22"/>
      <c r="AU820" s="2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</row>
    <row r="821" spans="44:74" x14ac:dyDescent="0.3">
      <c r="AR821" s="22"/>
      <c r="AU821" s="2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</row>
    <row r="822" spans="44:74" x14ac:dyDescent="0.3">
      <c r="AR822" s="22"/>
      <c r="AU822" s="2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</row>
    <row r="823" spans="44:74" x14ac:dyDescent="0.3">
      <c r="AR823" s="22"/>
      <c r="AU823" s="2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</row>
    <row r="824" spans="44:74" x14ac:dyDescent="0.3">
      <c r="AR824" s="22"/>
      <c r="AU824" s="2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</row>
    <row r="825" spans="44:74" x14ac:dyDescent="0.3">
      <c r="AR825" s="22"/>
      <c r="AU825" s="2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</row>
    <row r="826" spans="44:74" x14ac:dyDescent="0.3">
      <c r="AR826" s="22"/>
      <c r="AU826" s="2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</row>
    <row r="827" spans="44:74" x14ac:dyDescent="0.3">
      <c r="AR827" s="22"/>
      <c r="AU827" s="2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</row>
    <row r="828" spans="44:74" x14ac:dyDescent="0.3">
      <c r="AR828" s="22"/>
      <c r="AU828" s="2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</row>
    <row r="829" spans="44:74" x14ac:dyDescent="0.3">
      <c r="AR829" s="22"/>
      <c r="AU829" s="2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</row>
    <row r="830" spans="44:74" x14ac:dyDescent="0.3">
      <c r="AV830" s="32"/>
      <c r="AW830" s="62"/>
      <c r="AX830" s="62"/>
      <c r="AY830" s="62"/>
      <c r="AZ830" s="44"/>
      <c r="BA830" s="62"/>
      <c r="BB830" s="62"/>
      <c r="BC830" s="62"/>
      <c r="BD830" s="44"/>
      <c r="BF830" s="29"/>
      <c r="BG830" s="29"/>
      <c r="BH830" s="23"/>
      <c r="BL830" s="29"/>
      <c r="BM830" s="29"/>
      <c r="BN830" s="62"/>
      <c r="BO830" s="29"/>
      <c r="BP830" s="29"/>
      <c r="BQ830" s="23"/>
      <c r="BU830" s="29"/>
      <c r="BV830" s="29"/>
    </row>
    <row r="831" spans="44:74" x14ac:dyDescent="0.3">
      <c r="AR831" s="22"/>
      <c r="AT831" s="23"/>
      <c r="AU831" s="30"/>
      <c r="AV831" s="32"/>
      <c r="AW831" s="62"/>
      <c r="AX831" s="62"/>
      <c r="AY831" s="62"/>
      <c r="AZ831" s="44"/>
      <c r="BA831" s="62"/>
      <c r="BB831" s="62"/>
      <c r="BC831" s="62"/>
      <c r="BD831" s="44"/>
      <c r="BF831" s="64"/>
      <c r="BG831" s="62"/>
      <c r="BH831" s="62"/>
      <c r="BI831" s="62"/>
      <c r="BJ831" s="64"/>
      <c r="BK831" s="65"/>
      <c r="BL831" s="62"/>
      <c r="BM831" s="64"/>
      <c r="BN831" s="62"/>
      <c r="BO831" s="64"/>
      <c r="BP831" s="62"/>
      <c r="BQ831" s="62"/>
      <c r="BR831" s="62"/>
      <c r="BS831" s="64"/>
      <c r="BT831" s="65"/>
      <c r="BU831" s="62"/>
      <c r="BV831" s="64"/>
    </row>
    <row r="832" spans="44:74" x14ac:dyDescent="0.3">
      <c r="AR832" s="22"/>
      <c r="AU832" s="30"/>
      <c r="AV832" s="32"/>
      <c r="AW832" s="62"/>
      <c r="AX832" s="62"/>
      <c r="AY832" s="62"/>
      <c r="AZ832" s="44"/>
      <c r="BA832" s="62"/>
      <c r="BB832" s="62"/>
      <c r="BC832" s="62"/>
      <c r="BD832" s="44"/>
      <c r="BF832" s="62"/>
      <c r="BG832" s="62"/>
      <c r="BH832" s="62"/>
      <c r="BI832" s="62"/>
      <c r="BJ832" s="62"/>
      <c r="BK832" s="65"/>
      <c r="BL832" s="62"/>
      <c r="BM832" s="62"/>
      <c r="BN832" s="62"/>
      <c r="BO832" s="62"/>
      <c r="BP832" s="62"/>
      <c r="BQ832" s="62"/>
      <c r="BR832" s="62"/>
      <c r="BS832" s="62"/>
      <c r="BT832" s="65"/>
      <c r="BU832" s="62"/>
      <c r="BV832" s="62"/>
    </row>
    <row r="833" spans="44:74" x14ac:dyDescent="0.3">
      <c r="AR833" s="22"/>
      <c r="AU833" s="30"/>
      <c r="AV833" s="32"/>
      <c r="AW833" s="62"/>
      <c r="AX833" s="62"/>
      <c r="AY833" s="62"/>
      <c r="AZ833" s="44"/>
      <c r="BA833" s="62"/>
      <c r="BB833" s="62"/>
      <c r="BC833" s="62"/>
      <c r="BD833" s="44"/>
      <c r="BF833" s="62"/>
      <c r="BG833" s="62"/>
      <c r="BH833" s="62"/>
      <c r="BI833" s="62"/>
      <c r="BJ833" s="62"/>
      <c r="BK833" s="65"/>
      <c r="BL833" s="62"/>
      <c r="BM833" s="62"/>
      <c r="BN833" s="62"/>
      <c r="BO833" s="62"/>
      <c r="BP833" s="62"/>
      <c r="BQ833" s="62"/>
      <c r="BR833" s="62"/>
      <c r="BS833" s="62"/>
      <c r="BT833" s="65"/>
      <c r="BU833" s="62"/>
      <c r="BV833" s="62"/>
    </row>
    <row r="834" spans="44:74" x14ac:dyDescent="0.3">
      <c r="AR834" s="22"/>
      <c r="AU834" s="30"/>
      <c r="AV834" s="32"/>
      <c r="AW834" s="62"/>
      <c r="AX834" s="62"/>
      <c r="AY834" s="62"/>
      <c r="AZ834" s="44"/>
      <c r="BA834" s="62"/>
      <c r="BB834" s="62"/>
      <c r="BC834" s="62"/>
      <c r="BD834" s="44"/>
      <c r="BF834" s="62"/>
      <c r="BG834" s="62"/>
      <c r="BH834" s="62"/>
      <c r="BI834" s="62"/>
      <c r="BJ834" s="62"/>
      <c r="BK834" s="65"/>
      <c r="BL834" s="62"/>
      <c r="BM834" s="62"/>
      <c r="BN834" s="62"/>
      <c r="BO834" s="62"/>
      <c r="BP834" s="62"/>
      <c r="BQ834" s="62"/>
      <c r="BR834" s="62"/>
      <c r="BS834" s="62"/>
      <c r="BT834" s="65"/>
      <c r="BU834" s="62"/>
      <c r="BV834" s="62"/>
    </row>
    <row r="835" spans="44:74" x14ac:dyDescent="0.3">
      <c r="AW835" s="62"/>
      <c r="AX835" s="62"/>
      <c r="AY835" s="62"/>
      <c r="AZ835" s="44"/>
      <c r="BA835" s="62"/>
      <c r="BB835" s="62"/>
      <c r="BC835" s="62"/>
      <c r="BD835" s="44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</row>
    <row r="836" spans="44:74" x14ac:dyDescent="0.3">
      <c r="AT836" s="23"/>
    </row>
    <row r="837" spans="44:74" x14ac:dyDescent="0.3">
      <c r="AT837" s="23"/>
      <c r="AY837" s="62"/>
      <c r="AZ837" s="44"/>
      <c r="BA837" s="62"/>
      <c r="BB837" s="62"/>
      <c r="BC837" s="62"/>
      <c r="BD837" s="44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</row>
    <row r="838" spans="44:74" x14ac:dyDescent="0.3">
      <c r="AR838" s="23"/>
      <c r="AY838" s="62"/>
      <c r="BA838" s="62"/>
    </row>
    <row r="839" spans="44:74" x14ac:dyDescent="0.3">
      <c r="AX839" s="22"/>
      <c r="AY839" s="62"/>
      <c r="BA839" s="62"/>
      <c r="BN839" s="62"/>
      <c r="BO839" s="62"/>
      <c r="BP839" s="62"/>
      <c r="BQ839" s="62"/>
      <c r="BR839" s="62"/>
      <c r="BS839" s="62"/>
      <c r="BT839" s="62"/>
      <c r="BU839" s="62"/>
    </row>
    <row r="840" spans="44:74" x14ac:dyDescent="0.3">
      <c r="AX840" s="62"/>
      <c r="AY840" s="62"/>
      <c r="BA840" s="62"/>
      <c r="BN840" s="62"/>
      <c r="BO840" s="62"/>
      <c r="BP840" s="62"/>
      <c r="BQ840" s="62"/>
      <c r="BR840" s="62"/>
      <c r="BS840" s="62"/>
      <c r="BT840" s="62"/>
      <c r="BU840" s="62"/>
    </row>
    <row r="841" spans="44:74" x14ac:dyDescent="0.3">
      <c r="AX841" s="23"/>
      <c r="AY841" s="62"/>
      <c r="BA841" s="62"/>
      <c r="BN841" s="62"/>
      <c r="BO841" s="62"/>
      <c r="BP841" s="62"/>
      <c r="BQ841" s="62"/>
      <c r="BR841" s="62"/>
      <c r="BS841" s="62"/>
      <c r="BT841" s="62"/>
      <c r="BU841" s="62"/>
    </row>
    <row r="842" spans="44:74" x14ac:dyDescent="0.3">
      <c r="AX842" s="23"/>
      <c r="AY842" s="62"/>
      <c r="BA842" s="62"/>
      <c r="BN842" s="62"/>
      <c r="BO842" s="62"/>
      <c r="BP842" s="62"/>
      <c r="BQ842" s="62"/>
      <c r="BR842" s="62"/>
      <c r="BS842" s="62"/>
      <c r="BT842" s="62"/>
      <c r="BU842" s="62"/>
    </row>
    <row r="843" spans="44:74" x14ac:dyDescent="0.3">
      <c r="AR843" s="22"/>
      <c r="AY843" s="62"/>
      <c r="BA843" s="62"/>
      <c r="BC843" s="23"/>
      <c r="BN843" s="62"/>
      <c r="BO843" s="62"/>
      <c r="BP843" s="62"/>
      <c r="BQ843" s="62"/>
      <c r="BR843" s="62"/>
      <c r="BS843" s="62"/>
      <c r="BT843" s="62"/>
      <c r="BU843" s="62"/>
    </row>
    <row r="844" spans="44:74" x14ac:dyDescent="0.3">
      <c r="AR844" s="22"/>
      <c r="AY844" s="62"/>
      <c r="BA844" s="62"/>
      <c r="BC844" s="23"/>
      <c r="BN844" s="62"/>
      <c r="BO844" s="62"/>
      <c r="BP844" s="62"/>
      <c r="BQ844" s="62"/>
      <c r="BR844" s="62"/>
      <c r="BS844" s="62"/>
      <c r="BT844" s="62"/>
      <c r="BU844" s="62"/>
    </row>
    <row r="845" spans="44:74" x14ac:dyDescent="0.3">
      <c r="AR845" s="23"/>
      <c r="AY845" s="62"/>
      <c r="BA845" s="62"/>
      <c r="BC845" s="23"/>
      <c r="BN845" s="62"/>
      <c r="BO845" s="62"/>
      <c r="BP845" s="62"/>
      <c r="BQ845" s="62"/>
      <c r="BR845" s="62"/>
      <c r="BS845" s="62"/>
      <c r="BT845" s="62"/>
      <c r="BU845" s="62"/>
    </row>
    <row r="846" spans="44:74" x14ac:dyDescent="0.3">
      <c r="AY846" s="62"/>
      <c r="BA846" s="62"/>
      <c r="BC846" s="22"/>
      <c r="BN846" s="62"/>
      <c r="BO846" s="62"/>
      <c r="BP846" s="62"/>
      <c r="BQ846" s="62"/>
      <c r="BR846" s="62"/>
      <c r="BS846" s="62"/>
      <c r="BT846" s="62"/>
      <c r="BU846" s="62"/>
    </row>
    <row r="847" spans="44:74" x14ac:dyDescent="0.3">
      <c r="AR847" s="29"/>
      <c r="AS847" s="29"/>
      <c r="AT847" s="29"/>
      <c r="AU847" s="29"/>
      <c r="AV847" s="29"/>
      <c r="AW847" s="29"/>
      <c r="AX847" s="29"/>
      <c r="AY847" s="63"/>
      <c r="AZ847" s="29"/>
      <c r="BA847" s="63"/>
      <c r="BB847" s="29"/>
      <c r="BC847" s="29"/>
      <c r="BD847" s="29"/>
      <c r="BN847" s="62"/>
      <c r="BO847" s="62"/>
      <c r="BP847" s="62"/>
      <c r="BQ847" s="62"/>
      <c r="BR847" s="62"/>
      <c r="BS847" s="62"/>
      <c r="BT847" s="62"/>
      <c r="BU847" s="62"/>
    </row>
    <row r="848" spans="44:74" x14ac:dyDescent="0.3">
      <c r="AW848" s="23"/>
      <c r="AY848" s="62"/>
      <c r="BA848" s="62"/>
      <c r="BN848" s="62"/>
      <c r="BO848" s="62"/>
      <c r="BP848" s="62"/>
      <c r="BQ848" s="62"/>
      <c r="BR848" s="62"/>
      <c r="BS848" s="62"/>
      <c r="BT848" s="62"/>
      <c r="BU848" s="62"/>
    </row>
    <row r="849" spans="44:73" x14ac:dyDescent="0.3">
      <c r="AW849" s="29"/>
      <c r="AX849" s="29"/>
      <c r="AY849" s="63"/>
      <c r="AZ849" s="29"/>
      <c r="BA849" s="62"/>
      <c r="BB849" s="30"/>
      <c r="BC849" s="30"/>
      <c r="BN849" s="62"/>
      <c r="BO849" s="62"/>
      <c r="BP849" s="62"/>
      <c r="BQ849" s="62"/>
      <c r="BR849" s="62"/>
      <c r="BS849" s="62"/>
      <c r="BT849" s="62"/>
      <c r="BU849" s="62"/>
    </row>
    <row r="850" spans="44:73" x14ac:dyDescent="0.3">
      <c r="AU850" s="30"/>
      <c r="AV850" s="30"/>
      <c r="AY850" s="64"/>
      <c r="AZ850" s="30"/>
      <c r="BA850" s="62"/>
      <c r="BB850" s="30"/>
      <c r="BC850" s="30"/>
      <c r="BD850" s="30"/>
      <c r="BF850" s="29"/>
      <c r="BG850" s="23"/>
      <c r="BJ850" s="29"/>
      <c r="BL850" s="29"/>
      <c r="BM850" s="23"/>
      <c r="BP850" s="29"/>
    </row>
    <row r="851" spans="44:73" x14ac:dyDescent="0.3">
      <c r="AU851" s="30"/>
      <c r="AV851" s="30"/>
      <c r="AW851" s="30"/>
      <c r="AX851" s="30"/>
      <c r="AY851" s="64"/>
      <c r="AZ851" s="30"/>
      <c r="BA851" s="64"/>
      <c r="BB851" s="30"/>
      <c r="BC851" s="30"/>
      <c r="BD851" s="30"/>
      <c r="BG851" s="30"/>
      <c r="BH851" s="30"/>
      <c r="BM851" s="30"/>
      <c r="BN851" s="30"/>
    </row>
    <row r="852" spans="44:73" x14ac:dyDescent="0.3">
      <c r="AR852" s="30"/>
      <c r="AT852" s="23"/>
      <c r="AU852" s="30"/>
      <c r="AV852" s="30"/>
      <c r="AW852" s="30"/>
      <c r="AX852" s="30"/>
      <c r="AY852" s="64"/>
      <c r="AZ852" s="30"/>
      <c r="BA852" s="64"/>
      <c r="BB852" s="30"/>
      <c r="BC852" s="30"/>
      <c r="BD852" s="30"/>
      <c r="BF852" s="30"/>
      <c r="BG852" s="30"/>
      <c r="BH852" s="30"/>
      <c r="BI852" s="30"/>
      <c r="BJ852" s="30"/>
      <c r="BL852" s="30"/>
      <c r="BM852" s="30"/>
      <c r="BN852" s="30"/>
      <c r="BO852" s="30"/>
      <c r="BP852" s="30"/>
    </row>
    <row r="853" spans="44:73" x14ac:dyDescent="0.3">
      <c r="AR853" s="30"/>
      <c r="AT853" s="23"/>
      <c r="AU853" s="30"/>
      <c r="AV853" s="30"/>
      <c r="AW853" s="30"/>
      <c r="AX853" s="30"/>
      <c r="AY853" s="64"/>
      <c r="AZ853" s="30"/>
      <c r="BA853" s="64"/>
      <c r="BB853" s="30"/>
      <c r="BC853" s="30"/>
      <c r="BD853" s="30"/>
      <c r="BF853" s="30"/>
      <c r="BG853" s="30"/>
      <c r="BH853" s="30"/>
      <c r="BI853" s="30"/>
      <c r="BJ853" s="30"/>
      <c r="BL853" s="30"/>
      <c r="BM853" s="30"/>
      <c r="BN853" s="30"/>
      <c r="BO853" s="30"/>
      <c r="BP853" s="30"/>
    </row>
    <row r="854" spans="44:73" x14ac:dyDescent="0.3">
      <c r="AR854" s="29"/>
      <c r="AS854" s="29"/>
      <c r="AT854" s="29"/>
      <c r="AU854" s="29"/>
      <c r="AV854" s="29"/>
      <c r="AW854" s="29"/>
      <c r="AX854" s="29"/>
      <c r="AY854" s="63"/>
      <c r="AZ854" s="29"/>
      <c r="BA854" s="63"/>
      <c r="BB854" s="29"/>
      <c r="BC854" s="29"/>
      <c r="BD854" s="29"/>
      <c r="BF854" s="29"/>
      <c r="BG854" s="29"/>
      <c r="BH854" s="29"/>
      <c r="BI854" s="29"/>
      <c r="BJ854" s="29"/>
      <c r="BL854" s="29"/>
      <c r="BM854" s="29"/>
      <c r="BN854" s="29"/>
      <c r="BO854" s="29"/>
      <c r="BP854" s="29"/>
    </row>
    <row r="855" spans="44:73" x14ac:dyDescent="0.3">
      <c r="AU855" s="30"/>
      <c r="AV855" s="30"/>
      <c r="AW855" s="30"/>
      <c r="AX855" s="30"/>
      <c r="AY855" s="64"/>
      <c r="AZ855" s="30"/>
      <c r="BA855" s="64"/>
      <c r="BB855" s="30"/>
      <c r="BC855" s="30"/>
      <c r="BD855" s="30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</row>
    <row r="856" spans="44:73" x14ac:dyDescent="0.3">
      <c r="AR856" s="22"/>
      <c r="AS856" s="23"/>
      <c r="AU856" s="32"/>
      <c r="AV856" s="32"/>
      <c r="AW856" s="62"/>
      <c r="AX856" s="62"/>
      <c r="AY856" s="62"/>
      <c r="AZ856" s="44"/>
      <c r="BA856" s="62"/>
      <c r="BB856" s="62"/>
      <c r="BC856" s="62"/>
      <c r="BD856" s="44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</row>
    <row r="857" spans="44:73" x14ac:dyDescent="0.3">
      <c r="AR857" s="22"/>
      <c r="AU857" s="32"/>
      <c r="AV857" s="32"/>
      <c r="AW857" s="62"/>
      <c r="AX857" s="62"/>
      <c r="AY857" s="62"/>
      <c r="AZ857" s="44"/>
      <c r="BA857" s="62"/>
      <c r="BB857" s="62"/>
      <c r="BC857" s="62"/>
      <c r="BD857" s="44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</row>
    <row r="858" spans="44:73" x14ac:dyDescent="0.3">
      <c r="AR858" s="22"/>
      <c r="AU858" s="32"/>
      <c r="AV858" s="32"/>
      <c r="AW858" s="62"/>
      <c r="AX858" s="62"/>
      <c r="AY858" s="62"/>
      <c r="AZ858" s="44"/>
      <c r="BA858" s="62"/>
      <c r="BB858" s="62"/>
      <c r="BC858" s="62"/>
      <c r="BD858" s="44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</row>
    <row r="859" spans="44:73" x14ac:dyDescent="0.3">
      <c r="AR859" s="22"/>
      <c r="AU859" s="32"/>
      <c r="AV859" s="32"/>
      <c r="AW859" s="62"/>
      <c r="AX859" s="62"/>
      <c r="AY859" s="62"/>
      <c r="AZ859" s="44"/>
      <c r="BA859" s="62"/>
      <c r="BB859" s="62"/>
      <c r="BC859" s="62"/>
      <c r="BD859" s="44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</row>
    <row r="860" spans="44:73" x14ac:dyDescent="0.3">
      <c r="AR860" s="22"/>
      <c r="AU860" s="32"/>
      <c r="AV860" s="32"/>
      <c r="AW860" s="62"/>
      <c r="AX860" s="62"/>
      <c r="AY860" s="62"/>
      <c r="AZ860" s="44"/>
      <c r="BA860" s="62"/>
      <c r="BB860" s="62"/>
      <c r="BC860" s="62"/>
      <c r="BD860" s="44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</row>
    <row r="861" spans="44:73" x14ac:dyDescent="0.3">
      <c r="AR861" s="22"/>
      <c r="AU861" s="32"/>
      <c r="AV861" s="32"/>
      <c r="AW861" s="62"/>
      <c r="AX861" s="62"/>
      <c r="AY861" s="62"/>
      <c r="AZ861" s="44"/>
      <c r="BA861" s="62"/>
      <c r="BB861" s="62"/>
      <c r="BC861" s="62"/>
      <c r="BD861" s="44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</row>
    <row r="862" spans="44:73" x14ac:dyDescent="0.3">
      <c r="AR862" s="22"/>
      <c r="AU862" s="32"/>
      <c r="AV862" s="32"/>
      <c r="AW862" s="62"/>
      <c r="AX862" s="62"/>
      <c r="AY862" s="62"/>
      <c r="AZ862" s="44"/>
      <c r="BA862" s="62"/>
      <c r="BB862" s="62"/>
      <c r="BC862" s="62"/>
      <c r="BD862" s="44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</row>
    <row r="863" spans="44:73" x14ac:dyDescent="0.3">
      <c r="AR863" s="22"/>
      <c r="AU863" s="32"/>
      <c r="AV863" s="32"/>
      <c r="AW863" s="62"/>
      <c r="AX863" s="62"/>
      <c r="AY863" s="62"/>
      <c r="AZ863" s="44"/>
      <c r="BA863" s="62"/>
      <c r="BB863" s="62"/>
      <c r="BC863" s="62"/>
      <c r="BD863" s="44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</row>
    <row r="864" spans="44:73" x14ac:dyDescent="0.3">
      <c r="AR864" s="22"/>
      <c r="AU864" s="32"/>
      <c r="AV864" s="32"/>
      <c r="AW864" s="62"/>
      <c r="AX864" s="62"/>
      <c r="AY864" s="62"/>
      <c r="AZ864" s="44"/>
      <c r="BA864" s="62"/>
      <c r="BB864" s="62"/>
      <c r="BC864" s="62"/>
      <c r="BD864" s="44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</row>
    <row r="865" spans="44:70" x14ac:dyDescent="0.3">
      <c r="AR865" s="22"/>
      <c r="AU865" s="32"/>
      <c r="AV865" s="32"/>
      <c r="AW865" s="62"/>
      <c r="AX865" s="62"/>
      <c r="AY865" s="62"/>
      <c r="AZ865" s="44"/>
      <c r="BA865" s="62"/>
      <c r="BB865" s="62"/>
      <c r="BC865" s="62"/>
      <c r="BD865" s="44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</row>
    <row r="866" spans="44:70" x14ac:dyDescent="0.3">
      <c r="AR866" s="22"/>
      <c r="AU866" s="32"/>
      <c r="AV866" s="32"/>
      <c r="AW866" s="62"/>
      <c r="AX866" s="62"/>
      <c r="AY866" s="62"/>
      <c r="AZ866" s="44"/>
      <c r="BA866" s="62"/>
      <c r="BB866" s="62"/>
      <c r="BC866" s="62"/>
      <c r="BD866" s="44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</row>
    <row r="867" spans="44:70" x14ac:dyDescent="0.3">
      <c r="AR867" s="22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</row>
    <row r="868" spans="44:70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</row>
    <row r="869" spans="44:70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</row>
    <row r="870" spans="44:70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</row>
    <row r="871" spans="44:70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</row>
    <row r="872" spans="44:70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</row>
    <row r="873" spans="44:70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</row>
    <row r="874" spans="44:70" x14ac:dyDescent="0.3">
      <c r="AY874" s="62"/>
      <c r="BA874" s="62"/>
      <c r="BB874" s="62"/>
      <c r="BC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</row>
    <row r="875" spans="44:70" x14ac:dyDescent="0.3">
      <c r="AR875" s="22"/>
      <c r="AS875" s="23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70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70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</row>
    <row r="878" spans="44:70" x14ac:dyDescent="0.3">
      <c r="AR878" s="22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70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70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BA893" s="62"/>
    </row>
    <row r="894" spans="44:56" x14ac:dyDescent="0.3">
      <c r="AT894" s="23"/>
      <c r="BA894" s="62"/>
    </row>
    <row r="895" spans="44:56" x14ac:dyDescent="0.3">
      <c r="AT895" s="23"/>
    </row>
    <row r="896" spans="44:56" x14ac:dyDescent="0.3">
      <c r="AT896" s="23"/>
      <c r="BA896" s="62"/>
    </row>
    <row r="897" spans="44:56" x14ac:dyDescent="0.3">
      <c r="AR897" s="23"/>
      <c r="AY897" s="62"/>
      <c r="BA897" s="62"/>
    </row>
    <row r="898" spans="44:56" x14ac:dyDescent="0.3">
      <c r="AX898" s="22"/>
      <c r="AY898" s="62"/>
      <c r="BA898" s="62"/>
    </row>
    <row r="899" spans="44:56" x14ac:dyDescent="0.3">
      <c r="AX899" s="62"/>
      <c r="AY899" s="62"/>
      <c r="BA899" s="62"/>
    </row>
    <row r="900" spans="44:56" x14ac:dyDescent="0.3">
      <c r="AX900" s="23"/>
      <c r="AY900" s="62"/>
      <c r="BA900" s="62"/>
    </row>
    <row r="901" spans="44:56" x14ac:dyDescent="0.3">
      <c r="AX901" s="23"/>
      <c r="AY901" s="62"/>
      <c r="BA901" s="62"/>
    </row>
    <row r="902" spans="44:56" x14ac:dyDescent="0.3">
      <c r="AR902" s="22"/>
      <c r="AY902" s="62"/>
      <c r="BA902" s="62"/>
      <c r="BC902" s="23"/>
    </row>
    <row r="903" spans="44:56" x14ac:dyDescent="0.3">
      <c r="AR903" s="22"/>
      <c r="AY903" s="62"/>
      <c r="BA903" s="62"/>
      <c r="BC903" s="23"/>
    </row>
    <row r="904" spans="44:56" x14ac:dyDescent="0.3">
      <c r="AR904" s="23"/>
      <c r="AY904" s="62"/>
      <c r="BA904" s="62"/>
      <c r="BC904" s="23"/>
    </row>
    <row r="905" spans="44:56" x14ac:dyDescent="0.3">
      <c r="AY905" s="62"/>
      <c r="BA905" s="62"/>
      <c r="BC905" s="22"/>
    </row>
    <row r="906" spans="44:56" x14ac:dyDescent="0.3">
      <c r="AR906" s="29"/>
      <c r="AS906" s="29"/>
      <c r="AT906" s="29"/>
      <c r="AU906" s="29"/>
      <c r="AV906" s="29"/>
      <c r="AW906" s="29"/>
      <c r="AX906" s="29"/>
      <c r="AY906" s="63"/>
      <c r="AZ906" s="29"/>
      <c r="BA906" s="63"/>
      <c r="BB906" s="29"/>
      <c r="BC906" s="29"/>
      <c r="BD906" s="29"/>
    </row>
    <row r="907" spans="44:56" x14ac:dyDescent="0.3">
      <c r="AW907" s="23"/>
      <c r="AY907" s="62"/>
      <c r="BA907" s="62"/>
    </row>
    <row r="908" spans="44:56" x14ac:dyDescent="0.3">
      <c r="AW908" s="29"/>
      <c r="AX908" s="29"/>
      <c r="AY908" s="63"/>
      <c r="AZ908" s="29"/>
      <c r="BA908" s="62"/>
      <c r="BB908" s="30"/>
      <c r="BC908" s="30"/>
    </row>
    <row r="909" spans="44:56" x14ac:dyDescent="0.3">
      <c r="AU909" s="30"/>
      <c r="AV909" s="30"/>
      <c r="AY909" s="64"/>
      <c r="AZ909" s="30"/>
      <c r="BA909" s="62"/>
      <c r="BB909" s="30"/>
      <c r="BC909" s="30"/>
      <c r="BD909" s="30"/>
    </row>
    <row r="910" spans="44:56" x14ac:dyDescent="0.3">
      <c r="AU910" s="30"/>
      <c r="AV910" s="30"/>
      <c r="AW910" s="30"/>
      <c r="AX910" s="30"/>
      <c r="AY910" s="64"/>
      <c r="AZ910" s="30"/>
      <c r="BA910" s="64"/>
      <c r="BB910" s="30"/>
      <c r="BC910" s="30"/>
      <c r="BD910" s="30"/>
    </row>
    <row r="911" spans="44:56" x14ac:dyDescent="0.3">
      <c r="AR911" s="30"/>
      <c r="AT911" s="23"/>
      <c r="AU911" s="30"/>
      <c r="AV911" s="30"/>
      <c r="AW911" s="30"/>
      <c r="AX911" s="30"/>
      <c r="AY911" s="64"/>
      <c r="AZ911" s="30"/>
      <c r="BA911" s="64"/>
      <c r="BB911" s="30"/>
      <c r="BC911" s="30"/>
      <c r="BD911" s="30"/>
    </row>
    <row r="912" spans="44:56" x14ac:dyDescent="0.3">
      <c r="AR912" s="30"/>
      <c r="AT912" s="23"/>
      <c r="AU912" s="30"/>
      <c r="AV912" s="30"/>
      <c r="AW912" s="30"/>
      <c r="AX912" s="30"/>
      <c r="AY912" s="64"/>
      <c r="AZ912" s="30"/>
      <c r="BA912" s="64"/>
      <c r="BB912" s="30"/>
      <c r="BC912" s="30"/>
      <c r="BD912" s="30"/>
    </row>
    <row r="913" spans="44:56" x14ac:dyDescent="0.3">
      <c r="AR913" s="29"/>
      <c r="AS913" s="29"/>
      <c r="AT913" s="29"/>
      <c r="AU913" s="29"/>
      <c r="AV913" s="29"/>
      <c r="AW913" s="29"/>
      <c r="AX913" s="29"/>
      <c r="AY913" s="63"/>
      <c r="AZ913" s="29"/>
      <c r="BA913" s="63"/>
      <c r="BB913" s="29"/>
      <c r="BC913" s="29"/>
      <c r="BD913" s="29"/>
    </row>
    <row r="914" spans="44:56" x14ac:dyDescent="0.3">
      <c r="AU914" s="30"/>
      <c r="AV914" s="30"/>
      <c r="AW914" s="30"/>
      <c r="AX914" s="30"/>
      <c r="AY914" s="64"/>
      <c r="AZ914" s="30"/>
      <c r="BA914" s="64"/>
      <c r="BB914" s="30"/>
      <c r="BC914" s="30"/>
      <c r="BD914" s="30"/>
    </row>
    <row r="915" spans="44:56" x14ac:dyDescent="0.3">
      <c r="AR915" s="22"/>
      <c r="AS915" s="23"/>
      <c r="AU915" s="32"/>
      <c r="AV915" s="32"/>
      <c r="AW915" s="62"/>
      <c r="AX915" s="62"/>
      <c r="AY915" s="62"/>
      <c r="AZ915" s="44"/>
      <c r="BA915" s="62"/>
      <c r="BB915" s="62"/>
      <c r="BC915" s="62"/>
      <c r="BD915" s="44"/>
    </row>
    <row r="916" spans="44:56" x14ac:dyDescent="0.3">
      <c r="AR916" s="22"/>
      <c r="AU916" s="32"/>
      <c r="AV916" s="32"/>
      <c r="AW916" s="62"/>
      <c r="AX916" s="62"/>
      <c r="AY916" s="62"/>
      <c r="AZ916" s="44"/>
      <c r="BA916" s="62"/>
      <c r="BB916" s="62"/>
      <c r="BC916" s="62"/>
      <c r="BD916" s="44"/>
    </row>
    <row r="917" spans="44:56" x14ac:dyDescent="0.3">
      <c r="AR917" s="22"/>
      <c r="AU917" s="32"/>
      <c r="AV917" s="32"/>
      <c r="AW917" s="62"/>
      <c r="AX917" s="62"/>
      <c r="AY917" s="62"/>
      <c r="AZ917" s="44"/>
      <c r="BA917" s="62"/>
      <c r="BB917" s="62"/>
      <c r="BC917" s="62"/>
      <c r="BD917" s="44"/>
    </row>
    <row r="918" spans="44:56" x14ac:dyDescent="0.3">
      <c r="AR918" s="22"/>
      <c r="AU918" s="32"/>
      <c r="AV918" s="32"/>
      <c r="AW918" s="62"/>
      <c r="AX918" s="62"/>
      <c r="AY918" s="62"/>
      <c r="AZ918" s="44"/>
      <c r="BA918" s="62"/>
      <c r="BB918" s="62"/>
      <c r="BC918" s="62"/>
      <c r="BD918" s="44"/>
    </row>
    <row r="919" spans="44:56" x14ac:dyDescent="0.3">
      <c r="AR919" s="22"/>
      <c r="AU919" s="32"/>
      <c r="AV919" s="32"/>
      <c r="AW919" s="62"/>
      <c r="AX919" s="62"/>
      <c r="AY919" s="62"/>
      <c r="AZ919" s="44"/>
      <c r="BA919" s="62"/>
      <c r="BB919" s="62"/>
      <c r="BC919" s="62"/>
      <c r="BD919" s="44"/>
    </row>
    <row r="920" spans="44:56" x14ac:dyDescent="0.3">
      <c r="AR920" s="22"/>
      <c r="AU920" s="32"/>
      <c r="AV920" s="32"/>
      <c r="AW920" s="62"/>
      <c r="AX920" s="62"/>
      <c r="AY920" s="62"/>
      <c r="AZ920" s="44"/>
      <c r="BA920" s="62"/>
      <c r="BB920" s="62"/>
      <c r="BC920" s="62"/>
      <c r="BD920" s="44"/>
    </row>
    <row r="921" spans="44:56" x14ac:dyDescent="0.3">
      <c r="AR921" s="22"/>
      <c r="AU921" s="32"/>
      <c r="AV921" s="32"/>
      <c r="AW921" s="62"/>
      <c r="AX921" s="62"/>
      <c r="AY921" s="62"/>
      <c r="AZ921" s="44"/>
      <c r="BA921" s="62"/>
      <c r="BB921" s="62"/>
      <c r="BC921" s="62"/>
      <c r="BD921" s="44"/>
    </row>
    <row r="922" spans="44:56" x14ac:dyDescent="0.3">
      <c r="AR922" s="22"/>
      <c r="AU922" s="32"/>
      <c r="AV922" s="32"/>
      <c r="AW922" s="62"/>
      <c r="AX922" s="62"/>
      <c r="AY922" s="62"/>
      <c r="AZ922" s="44"/>
      <c r="BA922" s="62"/>
      <c r="BB922" s="62"/>
      <c r="BC922" s="62"/>
      <c r="BD922" s="44"/>
    </row>
    <row r="923" spans="44:56" x14ac:dyDescent="0.3">
      <c r="AR923" s="22"/>
      <c r="AU923" s="32"/>
      <c r="AV923" s="32"/>
      <c r="AW923" s="62"/>
      <c r="AX923" s="62"/>
      <c r="AY923" s="62"/>
      <c r="AZ923" s="44"/>
      <c r="BA923" s="62"/>
      <c r="BB923" s="62"/>
      <c r="BC923" s="62"/>
      <c r="BD923" s="44"/>
    </row>
    <row r="924" spans="44:56" x14ac:dyDescent="0.3">
      <c r="AR924" s="22"/>
      <c r="AU924" s="32"/>
      <c r="AV924" s="32"/>
      <c r="AW924" s="62"/>
      <c r="AX924" s="62"/>
      <c r="AY924" s="62"/>
      <c r="AZ924" s="44"/>
      <c r="BA924" s="62"/>
      <c r="BB924" s="62"/>
      <c r="BC924" s="62"/>
      <c r="BD924" s="44"/>
    </row>
    <row r="925" spans="44:56" x14ac:dyDescent="0.3">
      <c r="AU925" s="32"/>
      <c r="AV925" s="32"/>
      <c r="BA925" s="62"/>
    </row>
    <row r="926" spans="44:56" x14ac:dyDescent="0.3">
      <c r="AR926" s="22"/>
      <c r="AS926" s="23"/>
      <c r="AU926" s="32"/>
      <c r="AV926" s="32"/>
      <c r="AW926" s="62"/>
      <c r="AX926" s="62"/>
      <c r="AY926" s="62"/>
      <c r="AZ926" s="44"/>
      <c r="BA926" s="62"/>
      <c r="BB926" s="62"/>
      <c r="BC926" s="62"/>
      <c r="BD926" s="44"/>
    </row>
    <row r="927" spans="44:56" x14ac:dyDescent="0.3">
      <c r="AR927" s="22"/>
      <c r="AU927" s="32"/>
      <c r="AV927" s="32"/>
      <c r="AW927" s="62"/>
      <c r="AX927" s="62"/>
      <c r="AY927" s="62"/>
      <c r="AZ927" s="44"/>
      <c r="BA927" s="62"/>
      <c r="BB927" s="62"/>
      <c r="BC927" s="62"/>
      <c r="BD927" s="44"/>
    </row>
    <row r="928" spans="44:56" x14ac:dyDescent="0.3">
      <c r="AR928" s="22"/>
      <c r="AU928" s="32"/>
      <c r="AV928" s="32"/>
      <c r="AW928" s="62"/>
      <c r="AX928" s="62"/>
      <c r="AY928" s="62"/>
      <c r="AZ928" s="44"/>
      <c r="BA928" s="62"/>
      <c r="BB928" s="62"/>
      <c r="BC928" s="62"/>
      <c r="BD928" s="44"/>
    </row>
    <row r="929" spans="44:56" x14ac:dyDescent="0.3">
      <c r="AR929" s="22"/>
      <c r="AU929" s="32"/>
      <c r="AV929" s="32"/>
      <c r="AW929" s="62"/>
      <c r="AX929" s="62"/>
      <c r="AY929" s="62"/>
      <c r="AZ929" s="44"/>
      <c r="BA929" s="62"/>
      <c r="BB929" s="62"/>
      <c r="BC929" s="62"/>
      <c r="BD929" s="44"/>
    </row>
    <row r="930" spans="44:56" x14ac:dyDescent="0.3">
      <c r="AR930" s="22"/>
      <c r="AU930" s="32"/>
      <c r="AV930" s="32"/>
      <c r="AW930" s="62"/>
      <c r="AX930" s="62"/>
      <c r="AY930" s="62"/>
      <c r="AZ930" s="44"/>
      <c r="BA930" s="62"/>
      <c r="BB930" s="62"/>
      <c r="BC930" s="62"/>
      <c r="BD930" s="44"/>
    </row>
    <row r="931" spans="44:56" x14ac:dyDescent="0.3">
      <c r="AR931" s="22"/>
      <c r="AU931" s="32"/>
      <c r="AV931" s="32"/>
      <c r="AW931" s="62"/>
      <c r="AX931" s="62"/>
      <c r="AY931" s="62"/>
      <c r="AZ931" s="44"/>
      <c r="BA931" s="62"/>
      <c r="BB931" s="62"/>
      <c r="BC931" s="62"/>
      <c r="BD931" s="44"/>
    </row>
    <row r="932" spans="44:56" x14ac:dyDescent="0.3">
      <c r="AR932" s="22"/>
      <c r="AU932" s="32"/>
      <c r="AV932" s="32"/>
      <c r="AW932" s="62"/>
      <c r="AX932" s="62"/>
      <c r="AY932" s="62"/>
      <c r="AZ932" s="44"/>
      <c r="BA932" s="62"/>
      <c r="BB932" s="62"/>
      <c r="BC932" s="62"/>
      <c r="BD932" s="44"/>
    </row>
    <row r="933" spans="44:56" x14ac:dyDescent="0.3">
      <c r="AR933" s="22"/>
      <c r="AU933" s="32"/>
      <c r="AV933" s="32"/>
      <c r="AW933" s="62"/>
      <c r="AX933" s="62"/>
      <c r="AY933" s="62"/>
      <c r="AZ933" s="44"/>
      <c r="BA933" s="62"/>
      <c r="BB933" s="62"/>
      <c r="BC933" s="62"/>
      <c r="BD933" s="44"/>
    </row>
    <row r="934" spans="44:56" x14ac:dyDescent="0.3">
      <c r="AR934" s="22"/>
      <c r="AU934" s="32"/>
      <c r="AV934" s="32"/>
      <c r="AW934" s="62"/>
      <c r="AX934" s="62"/>
      <c r="AY934" s="62"/>
      <c r="AZ934" s="44"/>
      <c r="BA934" s="62"/>
      <c r="BB934" s="62"/>
      <c r="BC934" s="62"/>
      <c r="BD934" s="44"/>
    </row>
    <row r="935" spans="44:56" x14ac:dyDescent="0.3">
      <c r="AR935" s="22"/>
      <c r="AU935" s="32"/>
      <c r="AV935" s="32"/>
      <c r="AW935" s="62"/>
      <c r="AX935" s="62"/>
      <c r="AY935" s="62"/>
      <c r="AZ935" s="44"/>
      <c r="BA935" s="62"/>
      <c r="BB935" s="62"/>
      <c r="BC935" s="62"/>
      <c r="BD935" s="44"/>
    </row>
    <row r="937" spans="44:56" x14ac:dyDescent="0.3">
      <c r="AT937" s="23"/>
    </row>
    <row r="938" spans="44:56" x14ac:dyDescent="0.3">
      <c r="AT938" s="23"/>
    </row>
    <row r="939" spans="44:56" x14ac:dyDescent="0.3">
      <c r="AT939" s="23"/>
    </row>
    <row r="940" spans="44:56" x14ac:dyDescent="0.3">
      <c r="AR940" s="23"/>
    </row>
    <row r="961" spans="51:70" x14ac:dyDescent="0.3">
      <c r="AY961" s="62"/>
      <c r="BA961" s="62"/>
      <c r="BB961" s="62"/>
      <c r="BC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</row>
    <row r="962" spans="51:70" x14ac:dyDescent="0.3">
      <c r="AY962" s="62"/>
      <c r="BA962" s="62"/>
      <c r="BB962" s="62"/>
      <c r="BC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</row>
    <row r="963" spans="51:70" x14ac:dyDescent="0.3">
      <c r="AY963" s="62"/>
      <c r="BA963" s="62"/>
      <c r="BB963" s="62"/>
      <c r="BC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</row>
    <row r="964" spans="51:70" x14ac:dyDescent="0.3">
      <c r="AY964" s="62"/>
      <c r="BA964" s="62"/>
      <c r="BB964" s="62"/>
      <c r="BC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</row>
    <row r="965" spans="51:70" x14ac:dyDescent="0.3">
      <c r="AY965" s="62"/>
      <c r="BA965" s="62"/>
      <c r="BB965" s="62"/>
      <c r="BC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</row>
    <row r="966" spans="51:70" x14ac:dyDescent="0.3">
      <c r="AY966" s="62"/>
      <c r="BA966" s="62"/>
      <c r="BB966" s="62"/>
      <c r="BC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</row>
    <row r="967" spans="51:70" x14ac:dyDescent="0.3">
      <c r="AY967" s="62"/>
      <c r="BA967" s="62"/>
      <c r="BB967" s="62"/>
      <c r="BC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</row>
    <row r="968" spans="51:70" x14ac:dyDescent="0.3">
      <c r="AY968" s="62"/>
      <c r="BA968" s="62"/>
      <c r="BB968" s="62"/>
      <c r="BC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</row>
    <row r="969" spans="51:70" x14ac:dyDescent="0.3">
      <c r="AY969" s="62"/>
      <c r="BA969" s="62"/>
      <c r="BB969" s="62"/>
      <c r="BC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</row>
    <row r="970" spans="51:70" x14ac:dyDescent="0.3">
      <c r="AY970" s="62"/>
      <c r="BA970" s="62"/>
      <c r="BB970" s="62"/>
      <c r="BC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</row>
    <row r="971" spans="51:70" x14ac:dyDescent="0.3">
      <c r="AY971" s="62"/>
      <c r="BA971" s="62"/>
      <c r="BB971" s="62"/>
      <c r="BC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</row>
    <row r="972" spans="51:70" x14ac:dyDescent="0.3">
      <c r="AY972" s="62"/>
      <c r="BA972" s="62"/>
      <c r="BB972" s="62"/>
      <c r="BC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</row>
    <row r="973" spans="51:70" x14ac:dyDescent="0.3">
      <c r="AY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</row>
    <row r="974" spans="51:70" x14ac:dyDescent="0.3">
      <c r="AY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</row>
    <row r="975" spans="51:70" x14ac:dyDescent="0.3">
      <c r="AY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</row>
    <row r="976" spans="51:70" x14ac:dyDescent="0.3">
      <c r="AY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</row>
    <row r="977" spans="51:70" x14ac:dyDescent="0.3">
      <c r="AY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</row>
    <row r="978" spans="51:70" x14ac:dyDescent="0.3">
      <c r="AY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</row>
    <row r="979" spans="51:70" x14ac:dyDescent="0.3">
      <c r="AY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</row>
    <row r="980" spans="51:70" x14ac:dyDescent="0.3">
      <c r="AY980" s="62"/>
    </row>
    <row r="981" spans="51:70" x14ac:dyDescent="0.3">
      <c r="AY981" s="62"/>
    </row>
    <row r="995" spans="1:29" x14ac:dyDescent="0.3">
      <c r="A995" s="23"/>
    </row>
    <row r="998" spans="1:29" x14ac:dyDescent="0.3">
      <c r="Z998" s="23"/>
    </row>
    <row r="999" spans="1:29" x14ac:dyDescent="0.3">
      <c r="A999" s="23"/>
      <c r="H999" s="23"/>
      <c r="I999" s="23"/>
    </row>
    <row r="1000" spans="1:29" x14ac:dyDescent="0.3">
      <c r="A1000" s="23"/>
      <c r="V1000" s="30"/>
      <c r="AB1000" s="30"/>
      <c r="AC1000" s="30"/>
    </row>
    <row r="1001" spans="1:29" x14ac:dyDescent="0.3">
      <c r="A1001" s="23"/>
      <c r="V1001" s="29"/>
      <c r="AB1001" s="29"/>
      <c r="AC1001" s="29"/>
    </row>
    <row r="1002" spans="1:29" x14ac:dyDescent="0.3">
      <c r="A1002" s="23"/>
      <c r="U1002" s="23"/>
      <c r="AB1002" s="30"/>
      <c r="AC1002" s="30"/>
    </row>
    <row r="1003" spans="1:29" x14ac:dyDescent="0.3">
      <c r="A1003" s="23"/>
    </row>
    <row r="1004" spans="1:29" x14ac:dyDescent="0.3">
      <c r="A1004" s="23"/>
      <c r="U1004" s="23"/>
      <c r="AB1004" s="30"/>
      <c r="AC1004" s="30"/>
    </row>
    <row r="1005" spans="1:29" x14ac:dyDescent="0.3">
      <c r="A1005" s="23"/>
    </row>
    <row r="1006" spans="1:29" x14ac:dyDescent="0.3">
      <c r="A1006" s="23"/>
      <c r="U1006" s="23"/>
      <c r="V1006" s="210"/>
      <c r="AB1006" s="30"/>
      <c r="AC1006" s="30"/>
    </row>
    <row r="1007" spans="1:29" x14ac:dyDescent="0.3">
      <c r="A1007" s="23"/>
    </row>
    <row r="1008" spans="1:29" x14ac:dyDescent="0.3">
      <c r="A1008" s="23"/>
      <c r="U1008" s="23"/>
      <c r="AB1008" s="30"/>
      <c r="AC1008" s="30"/>
    </row>
    <row r="1009" spans="1:29" x14ac:dyDescent="0.3">
      <c r="A1009" s="23"/>
    </row>
    <row r="1010" spans="1:29" x14ac:dyDescent="0.3">
      <c r="A1010" s="23"/>
      <c r="U1010" s="23"/>
      <c r="AB1010" s="30"/>
      <c r="AC1010" s="30"/>
    </row>
    <row r="1011" spans="1:29" x14ac:dyDescent="0.3">
      <c r="A1011" s="23"/>
    </row>
    <row r="1012" spans="1:29" x14ac:dyDescent="0.3">
      <c r="A1012" s="23"/>
    </row>
    <row r="1013" spans="1:29" x14ac:dyDescent="0.3">
      <c r="A1013" s="23"/>
    </row>
    <row r="1014" spans="1:29" x14ac:dyDescent="0.3">
      <c r="A1014" s="23"/>
    </row>
    <row r="1015" spans="1:29" x14ac:dyDescent="0.3">
      <c r="A1015" s="23"/>
    </row>
    <row r="1016" spans="1:29" x14ac:dyDescent="0.3">
      <c r="A1016" s="23"/>
    </row>
    <row r="1017" spans="1:29" x14ac:dyDescent="0.3">
      <c r="A1017" s="23"/>
    </row>
    <row r="1018" spans="1:29" x14ac:dyDescent="0.3">
      <c r="A1018" s="23"/>
    </row>
    <row r="1019" spans="1:29" x14ac:dyDescent="0.3">
      <c r="A1019" s="23"/>
    </row>
    <row r="1020" spans="1:29" x14ac:dyDescent="0.3">
      <c r="A1020" s="23"/>
    </row>
    <row r="1021" spans="1:29" x14ac:dyDescent="0.3">
      <c r="A1021" s="23"/>
      <c r="H1021" s="23"/>
      <c r="I1021" s="23"/>
    </row>
    <row r="1024" spans="1:29" x14ac:dyDescent="0.3">
      <c r="A1024" s="23"/>
    </row>
    <row r="1027" spans="1:1" x14ac:dyDescent="0.3">
      <c r="A1027" s="23"/>
    </row>
    <row r="1030" spans="1:1" x14ac:dyDescent="0.3">
      <c r="A1030" s="23"/>
    </row>
    <row r="1031" spans="1:1" x14ac:dyDescent="0.3">
      <c r="A1031" s="23"/>
    </row>
    <row r="1032" spans="1:1" x14ac:dyDescent="0.3">
      <c r="A1032" s="23"/>
    </row>
    <row r="1033" spans="1:1" x14ac:dyDescent="0.3">
      <c r="A1033" s="23"/>
    </row>
    <row r="1034" spans="1:1" x14ac:dyDescent="0.3">
      <c r="A1034" s="23"/>
    </row>
    <row r="1035" spans="1:1" x14ac:dyDescent="0.3">
      <c r="A1035" s="23"/>
    </row>
    <row r="1036" spans="1:1" x14ac:dyDescent="0.3">
      <c r="A1036" s="23"/>
    </row>
    <row r="1037" spans="1:1" x14ac:dyDescent="0.3">
      <c r="A1037" s="23"/>
    </row>
    <row r="1038" spans="1:1" x14ac:dyDescent="0.3">
      <c r="A1038" s="23"/>
    </row>
    <row r="1039" spans="1:1" x14ac:dyDescent="0.3">
      <c r="A1039" s="23"/>
    </row>
    <row r="1040" spans="1:1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  <row r="1048" spans="1:1" x14ac:dyDescent="0.3">
      <c r="A1048" s="23"/>
    </row>
    <row r="1049" spans="1:1" x14ac:dyDescent="0.3">
      <c r="A1049" s="23"/>
    </row>
    <row r="1050" spans="1:1" x14ac:dyDescent="0.3">
      <c r="A1050" s="23"/>
    </row>
    <row r="1051" spans="1:1" x14ac:dyDescent="0.3">
      <c r="A1051" s="23"/>
    </row>
    <row r="1052" spans="1:1" x14ac:dyDescent="0.3">
      <c r="A1052" s="23"/>
    </row>
    <row r="1053" spans="1:1" x14ac:dyDescent="0.3">
      <c r="A1053" s="23"/>
    </row>
    <row r="1054" spans="1:1" x14ac:dyDescent="0.3">
      <c r="A1054" s="23"/>
    </row>
    <row r="1055" spans="1:1" x14ac:dyDescent="0.3">
      <c r="A1055" s="23"/>
    </row>
    <row r="1056" spans="1:1" x14ac:dyDescent="0.3">
      <c r="A1056" s="23"/>
    </row>
    <row r="1057" spans="1:1" x14ac:dyDescent="0.3">
      <c r="A1057" s="23"/>
    </row>
    <row r="1058" spans="1:1" x14ac:dyDescent="0.3">
      <c r="A1058" s="23"/>
    </row>
    <row r="1059" spans="1:1" x14ac:dyDescent="0.3">
      <c r="A1059" s="23"/>
    </row>
    <row r="1060" spans="1:1" x14ac:dyDescent="0.3">
      <c r="A1060" s="23"/>
    </row>
    <row r="1061" spans="1:1" x14ac:dyDescent="0.3">
      <c r="A1061" s="23"/>
    </row>
    <row r="1062" spans="1:1" x14ac:dyDescent="0.3">
      <c r="A1062" s="23"/>
    </row>
    <row r="1063" spans="1:1" x14ac:dyDescent="0.3">
      <c r="A1063" s="23"/>
    </row>
    <row r="1064" spans="1:1" x14ac:dyDescent="0.3">
      <c r="A1064" s="23"/>
    </row>
    <row r="1069" spans="1:1" x14ac:dyDescent="0.3">
      <c r="A1069" s="23"/>
    </row>
    <row r="1070" spans="1:1" x14ac:dyDescent="0.3">
      <c r="A1070" s="23"/>
    </row>
    <row r="1073" spans="1:1" x14ac:dyDescent="0.3">
      <c r="A1073" s="23"/>
    </row>
    <row r="1075" spans="1:1" x14ac:dyDescent="0.3">
      <c r="A1075" s="23"/>
    </row>
    <row r="1077" spans="1:1" x14ac:dyDescent="0.3">
      <c r="A1077" s="23"/>
    </row>
    <row r="1079" spans="1:1" x14ac:dyDescent="0.3">
      <c r="A1079" s="23"/>
    </row>
    <row r="1082" spans="1:1" x14ac:dyDescent="0.3">
      <c r="A1082" s="23"/>
    </row>
    <row r="1083" spans="1:1" x14ac:dyDescent="0.3">
      <c r="A1083" s="23"/>
    </row>
    <row r="1084" spans="1:1" x14ac:dyDescent="0.3">
      <c r="A1084" s="23"/>
    </row>
    <row r="1085" spans="1:1" x14ac:dyDescent="0.3">
      <c r="A1085" s="23"/>
    </row>
    <row r="1086" spans="1:1" x14ac:dyDescent="0.3">
      <c r="A1086" s="23"/>
    </row>
    <row r="1087" spans="1:1" x14ac:dyDescent="0.3">
      <c r="A1087" s="23"/>
    </row>
    <row r="1088" spans="1:1" x14ac:dyDescent="0.3">
      <c r="A1088" s="23"/>
    </row>
    <row r="1089" spans="1:1" x14ac:dyDescent="0.3">
      <c r="A1089" s="23"/>
    </row>
  </sheetData>
  <customSheetViews>
    <customSheetView guid="{B7519FF1-05A6-4A79-8E47-A233872313D4}" scale="75" fitToPage="1">
      <selection activeCell="H27" sqref="H27"/>
      <rowBreaks count="16" manualBreakCount="16">
        <brk id="144" max="65535" man="1"/>
        <brk id="187" max="65535" man="1"/>
        <brk id="229" max="65535" man="1"/>
        <brk id="268" max="65535" man="1"/>
        <brk id="324" max="65535" man="1"/>
        <brk id="370" max="65535" man="1"/>
        <brk id="452" max="65535" man="1"/>
        <brk id="490" max="65535" man="1"/>
        <brk id="527" max="65535" man="1"/>
        <brk id="575" max="65535" man="1"/>
        <brk id="636" max="65535" man="1"/>
        <brk id="695" max="65535" man="1"/>
        <brk id="802" max="65535" man="1"/>
        <brk id="849" max="65535" man="1"/>
        <brk id="908" max="65535" man="1"/>
        <brk id="951" max="65535" man="1"/>
      </rowBreaks>
      <colBreaks count="1" manualBreakCount="1">
        <brk id="43" max="1048575" man="1"/>
      </colBreaks>
      <pageMargins left="0.5" right="0.5" top="1" bottom="0" header="0" footer="0"/>
      <pageSetup scale="76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9" orientation="landscape" r:id="rId2"/>
  <headerFooter alignWithMargins="0">
    <oddHeader>&amp;R&amp;"Times New Roman,Bold"&amp;10KyPSC Case No. 2021-00190
STAFF-DR-01-049 Attachment 2
Page &amp;P of &amp;N</oddHeader>
  </headerFooter>
  <rowBreaks count="16" manualBreakCount="16">
    <brk id="144" max="65535" man="1"/>
    <brk id="187" max="65535" man="1"/>
    <brk id="229" max="65535" man="1"/>
    <brk id="268" max="65535" man="1"/>
    <brk id="324" max="65535" man="1"/>
    <brk id="370" max="65535" man="1"/>
    <brk id="452" max="65535" man="1"/>
    <brk id="490" max="65535" man="1"/>
    <brk id="527" max="65535" man="1"/>
    <brk id="575" max="65535" man="1"/>
    <brk id="636" max="65535" man="1"/>
    <brk id="695" max="65535" man="1"/>
    <brk id="802" max="65535" man="1"/>
    <brk id="849" max="65535" man="1"/>
    <brk id="908" max="65535" man="1"/>
    <brk id="951" max="65535" man="1"/>
  </rowBreaks>
  <colBreaks count="1" manualBreakCount="1">
    <brk id="43" max="1048575" man="1"/>
  </colBreaks>
  <ignoredErrors>
    <ignoredError sqref="AB66:AB69 J24:J2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T38" transitionEvaluation="1" transitionEntry="1" codeName="Sheet12"/>
  <dimension ref="A1:BV1041"/>
  <sheetViews>
    <sheetView tabSelected="1" view="pageBreakPreview" topLeftCell="T38" zoomScale="60" zoomScaleNormal="75" workbookViewId="0">
      <selection activeCell="P13" sqref="P13"/>
    </sheetView>
  </sheetViews>
  <sheetFormatPr defaultColWidth="9.75" defaultRowHeight="15.6" x14ac:dyDescent="0.3"/>
  <cols>
    <col min="1" max="1" width="5.25" style="21" customWidth="1"/>
    <col min="2" max="2" width="0.4140625" style="21" customWidth="1"/>
    <col min="3" max="3" width="10.9140625" style="21" customWidth="1"/>
    <col min="4" max="4" width="33.08203125" style="21" customWidth="1"/>
    <col min="5" max="5" width="0.6640625" style="21" customWidth="1"/>
    <col min="6" max="6" width="11.08203125" style="21" customWidth="1"/>
    <col min="7" max="7" width="1.6640625" style="21" customWidth="1"/>
    <col min="8" max="8" width="16.4140625" style="21" customWidth="1"/>
    <col min="9" max="9" width="1.6640625" style="21" customWidth="1"/>
    <col min="10" max="10" width="9" style="21" customWidth="1"/>
    <col min="11" max="11" width="1.4140625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4.75" style="21" customWidth="1"/>
    <col min="17" max="17" width="0.58203125" style="21" customWidth="1"/>
    <col min="18" max="18" width="15.66406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4.58203125" style="21" customWidth="1"/>
    <col min="23" max="23" width="39.75" style="21" customWidth="1"/>
    <col min="24" max="24" width="12.4140625" style="21" customWidth="1"/>
    <col min="25" max="25" width="0.9140625" style="21" customWidth="1"/>
    <col min="26" max="26" width="14.6640625" style="21" customWidth="1"/>
    <col min="27" max="27" width="0.6640625" style="21" customWidth="1"/>
    <col min="28" max="28" width="10" style="21" customWidth="1"/>
    <col min="29" max="29" width="2" style="21" customWidth="1"/>
    <col min="30" max="30" width="12.9140625" style="21" customWidth="1"/>
    <col min="31" max="31" width="0.75" style="21" customWidth="1"/>
    <col min="32" max="32" width="13.6640625" style="21" customWidth="1"/>
    <col min="33" max="33" width="0.6640625" style="21" customWidth="1"/>
    <col min="34" max="34" width="14.33203125" style="21" customWidth="1"/>
    <col min="35" max="35" width="0.75" style="21" customWidth="1"/>
    <col min="36" max="36" width="14.58203125" style="21" customWidth="1"/>
    <col min="37" max="37" width="0.58203125" style="21" customWidth="1"/>
    <col min="38" max="38" width="12.08203125" style="21" customWidth="1"/>
    <col min="39" max="39" width="0.58203125" style="21" customWidth="1"/>
    <col min="40" max="40" width="13.25" style="21" customWidth="1"/>
    <col min="41" max="41" width="0.6640625" style="21" customWidth="1"/>
    <col min="42" max="42" width="11.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39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Y1" s="22"/>
    </row>
    <row r="2" spans="1:39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Y2" s="22"/>
    </row>
    <row r="3" spans="1:39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X3" s="23"/>
    </row>
    <row r="4" spans="1:39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Y4" s="22"/>
    </row>
    <row r="5" spans="1:39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Z5" s="23"/>
      <c r="AA5" s="23"/>
    </row>
    <row r="6" spans="1:39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J6" s="23"/>
      <c r="AK6" s="23"/>
    </row>
    <row r="7" spans="1:39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173</v>
      </c>
      <c r="AJ7" s="23"/>
      <c r="AK7" s="23"/>
    </row>
    <row r="8" spans="1:39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J8" s="23"/>
      <c r="AK8" s="23"/>
    </row>
    <row r="9" spans="1:39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26"/>
      <c r="N9" s="25"/>
      <c r="O9" s="25"/>
      <c r="P9" s="25"/>
      <c r="Q9" s="25"/>
      <c r="R9" s="24" t="str">
        <f>WIT</f>
        <v>J.L. Kern</v>
      </c>
      <c r="AJ9" s="23"/>
      <c r="AK9" s="23"/>
    </row>
    <row r="10" spans="1:39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19"/>
      <c r="O10" s="19"/>
      <c r="P10" s="19"/>
      <c r="Q10" s="19"/>
      <c r="R10" s="20"/>
      <c r="AJ10" s="23"/>
      <c r="AK10" s="23"/>
    </row>
    <row r="11" spans="1:39" x14ac:dyDescent="0.3">
      <c r="A11" s="28"/>
      <c r="B11" s="28"/>
      <c r="C11" s="28"/>
      <c r="D11" s="28"/>
      <c r="E11" s="28"/>
      <c r="F11" s="75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Z11" s="23"/>
      <c r="AA11" s="23"/>
      <c r="AJ11" s="22"/>
      <c r="AK11" s="22"/>
    </row>
    <row r="12" spans="1:39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Z13" s="30"/>
      <c r="AA13" s="30"/>
      <c r="AB13" s="30"/>
      <c r="AC13" s="30"/>
      <c r="AD13" s="30"/>
      <c r="AE13" s="30"/>
      <c r="AF13" s="30"/>
      <c r="AG13" s="30"/>
      <c r="AJ13" s="30"/>
      <c r="AK13" s="30"/>
      <c r="AL13" s="30"/>
      <c r="AM13" s="30"/>
    </row>
    <row r="14" spans="1:39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Y14" s="30"/>
      <c r="Z14" s="30"/>
      <c r="AA14" s="30"/>
      <c r="AB14" s="30"/>
      <c r="AC14" s="30"/>
      <c r="AD14" s="30"/>
      <c r="AE14" s="30"/>
      <c r="AF14" s="30"/>
      <c r="AG14" s="30"/>
      <c r="AJ14" s="30"/>
      <c r="AK14" s="30"/>
      <c r="AL14" s="30"/>
      <c r="AM14" s="30"/>
    </row>
    <row r="15" spans="1:39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50</v>
      </c>
      <c r="G15" s="25"/>
      <c r="H15" s="31" t="s">
        <v>168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176" t="s">
        <v>6</v>
      </c>
      <c r="Q15" s="176"/>
      <c r="R15" s="188" t="s">
        <v>25</v>
      </c>
      <c r="T15" s="30"/>
      <c r="U15" s="30"/>
      <c r="V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x14ac:dyDescent="0.3">
      <c r="A18" s="25"/>
      <c r="B18" s="25"/>
      <c r="C18" s="25"/>
      <c r="D18" s="25"/>
      <c r="E18" s="25"/>
      <c r="F18" s="25"/>
      <c r="G18" s="25"/>
      <c r="H18" s="31" t="s">
        <v>115</v>
      </c>
      <c r="I18" s="176"/>
      <c r="J18" s="31" t="s">
        <v>114</v>
      </c>
      <c r="K18" s="176"/>
      <c r="L18" s="176" t="s">
        <v>46</v>
      </c>
      <c r="M18" s="176"/>
      <c r="N18" s="176" t="s">
        <v>47</v>
      </c>
      <c r="O18" s="176"/>
      <c r="P18" s="176" t="s">
        <v>46</v>
      </c>
      <c r="Q18" s="176"/>
      <c r="R18" s="176" t="s">
        <v>46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3">
      <c r="A19" s="24">
        <v>1</v>
      </c>
      <c r="B19" s="25"/>
      <c r="C19" s="191" t="s">
        <v>302</v>
      </c>
      <c r="D19" s="26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39" x14ac:dyDescent="0.3">
      <c r="A20" s="25">
        <v>2</v>
      </c>
      <c r="B20" s="25"/>
      <c r="C20" s="213" t="s">
        <v>166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  <c r="U20" s="23"/>
    </row>
    <row r="21" spans="1:39" x14ac:dyDescent="0.3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T21" s="23"/>
    </row>
    <row r="22" spans="1:39" x14ac:dyDescent="0.3">
      <c r="A22" s="25">
        <v>3</v>
      </c>
      <c r="B22" s="25"/>
      <c r="C22" s="26" t="s">
        <v>204</v>
      </c>
      <c r="D22" s="25"/>
      <c r="E22" s="25"/>
      <c r="F22" s="72">
        <v>1092</v>
      </c>
      <c r="G22" s="25"/>
      <c r="H22" s="214"/>
      <c r="I22" s="214"/>
      <c r="J22" s="35">
        <f>PRO_FTL_CUST</f>
        <v>430</v>
      </c>
      <c r="K22" s="214"/>
      <c r="L22" s="37">
        <f>ROUND((F22*J22),0)</f>
        <v>469560</v>
      </c>
      <c r="M22" s="25"/>
      <c r="N22" s="33">
        <f>ROUND((L22/L$34)*100,1)</f>
        <v>7.4</v>
      </c>
      <c r="O22" s="25"/>
      <c r="P22" s="25"/>
      <c r="Q22" s="25"/>
      <c r="R22" s="32">
        <f>L22+P22</f>
        <v>469560</v>
      </c>
      <c r="S22" s="32"/>
      <c r="V22" s="34"/>
      <c r="X22" s="32"/>
      <c r="Y22" s="195"/>
      <c r="Z22" s="32"/>
      <c r="AA22" s="32"/>
      <c r="AB22" s="33"/>
      <c r="AC22" s="33"/>
      <c r="AD22" s="32"/>
      <c r="AE22" s="32"/>
      <c r="AH22" s="32"/>
      <c r="AI22" s="32"/>
      <c r="AJ22" s="32"/>
      <c r="AK22" s="32"/>
    </row>
    <row r="23" spans="1:39" x14ac:dyDescent="0.3">
      <c r="A23" s="25"/>
      <c r="B23" s="25"/>
      <c r="C23" s="26"/>
      <c r="D23" s="25"/>
      <c r="E23" s="25"/>
      <c r="F23" s="72"/>
      <c r="G23" s="25"/>
      <c r="H23" s="214"/>
      <c r="I23" s="214"/>
      <c r="J23" s="35"/>
      <c r="K23" s="214"/>
      <c r="L23" s="37"/>
      <c r="M23" s="25"/>
      <c r="N23" s="33"/>
      <c r="O23" s="25"/>
      <c r="P23" s="25"/>
      <c r="Q23" s="25"/>
      <c r="R23" s="32"/>
      <c r="S23" s="32"/>
      <c r="V23" s="34"/>
      <c r="X23" s="34"/>
      <c r="Y23" s="198"/>
      <c r="Z23" s="34"/>
      <c r="AA23" s="34"/>
      <c r="AB23" s="34"/>
      <c r="AC23" s="34"/>
      <c r="AD23" s="34"/>
      <c r="AE23" s="34"/>
      <c r="AH23" s="34"/>
      <c r="AI23" s="34"/>
      <c r="AJ23" s="34"/>
      <c r="AK23" s="34"/>
      <c r="AL23" s="33"/>
      <c r="AM23" s="33"/>
    </row>
    <row r="24" spans="1:39" x14ac:dyDescent="0.3">
      <c r="A24" s="25">
        <v>4</v>
      </c>
      <c r="B24" s="25"/>
      <c r="C24" s="184" t="s">
        <v>205</v>
      </c>
      <c r="D24" s="25"/>
      <c r="E24" s="25"/>
      <c r="F24" s="72"/>
      <c r="G24" s="25"/>
      <c r="H24" s="214"/>
      <c r="I24" s="214"/>
      <c r="J24" s="214"/>
      <c r="K24" s="214"/>
      <c r="L24" s="25"/>
      <c r="M24" s="25"/>
      <c r="N24" s="25"/>
      <c r="O24" s="25"/>
      <c r="P24" s="25"/>
      <c r="Q24" s="25"/>
      <c r="R24" s="37"/>
      <c r="S24" s="32"/>
      <c r="V24" s="195"/>
      <c r="X24" s="195"/>
      <c r="Y24" s="198"/>
      <c r="Z24" s="32"/>
      <c r="AA24" s="32"/>
      <c r="AB24" s="33"/>
      <c r="AC24" s="33"/>
      <c r="AD24" s="32"/>
      <c r="AE24" s="32"/>
      <c r="AH24" s="32"/>
      <c r="AI24" s="32"/>
      <c r="AJ24" s="32"/>
      <c r="AK24" s="32"/>
      <c r="AL24" s="33"/>
      <c r="AM24" s="33"/>
    </row>
    <row r="25" spans="1:39" x14ac:dyDescent="0.3">
      <c r="A25" s="24">
        <v>5</v>
      </c>
      <c r="B25" s="25"/>
      <c r="C25" s="150" t="s">
        <v>207</v>
      </c>
      <c r="D25" s="25"/>
      <c r="E25" s="25"/>
      <c r="F25" s="45"/>
      <c r="G25" s="25"/>
      <c r="H25" s="45">
        <v>2736182</v>
      </c>
      <c r="I25" s="72"/>
      <c r="J25" s="174">
        <f>PRO_FTL_COM</f>
        <v>2.1338999999999997</v>
      </c>
      <c r="K25" s="174"/>
      <c r="L25" s="36">
        <f>ROUND((H25*J25),0)</f>
        <v>5838739</v>
      </c>
      <c r="M25" s="37"/>
      <c r="N25" s="38">
        <f>ROUND((L25/L$34)*100,1)</f>
        <v>92.6</v>
      </c>
      <c r="O25" s="39"/>
      <c r="P25" s="45"/>
      <c r="Q25" s="72"/>
      <c r="R25" s="36">
        <f>L25+P25</f>
        <v>5838739</v>
      </c>
      <c r="S25" s="32"/>
      <c r="V25" s="34"/>
      <c r="X25" s="34"/>
      <c r="Y25" s="198"/>
      <c r="Z25" s="34"/>
      <c r="AA25" s="34"/>
      <c r="AB25" s="34"/>
      <c r="AC25" s="34"/>
      <c r="AD25" s="34"/>
      <c r="AE25" s="34"/>
      <c r="AH25" s="34"/>
      <c r="AI25" s="34"/>
      <c r="AJ25" s="34"/>
      <c r="AK25" s="34"/>
      <c r="AL25" s="33"/>
      <c r="AM25" s="33"/>
    </row>
    <row r="26" spans="1:39" x14ac:dyDescent="0.3">
      <c r="A26" s="24"/>
      <c r="B26" s="25"/>
      <c r="C26" s="27"/>
      <c r="D26" s="25"/>
      <c r="E26" s="25"/>
      <c r="F26" s="72"/>
      <c r="G26" s="25"/>
      <c r="H26" s="195"/>
      <c r="I26" s="72"/>
      <c r="J26" s="174"/>
      <c r="K26" s="174"/>
      <c r="L26" s="37"/>
      <c r="M26" s="37"/>
      <c r="N26" s="69"/>
      <c r="O26" s="39"/>
      <c r="P26" s="72"/>
      <c r="Q26" s="72"/>
      <c r="R26" s="37"/>
      <c r="S26" s="32"/>
      <c r="T26" s="23"/>
      <c r="Z26" s="32"/>
      <c r="AA26" s="32"/>
      <c r="AB26" s="32"/>
      <c r="AC26" s="32"/>
      <c r="AH26" s="32"/>
      <c r="AI26" s="32"/>
      <c r="AJ26" s="32"/>
      <c r="AK26" s="32"/>
    </row>
    <row r="27" spans="1:39" x14ac:dyDescent="0.3">
      <c r="A27" s="24">
        <v>6</v>
      </c>
      <c r="B27" s="25"/>
      <c r="C27" s="196" t="s">
        <v>225</v>
      </c>
      <c r="D27" s="25"/>
      <c r="E27" s="25"/>
      <c r="F27" s="45">
        <f>F22</f>
        <v>1092</v>
      </c>
      <c r="G27" s="25"/>
      <c r="H27" s="45">
        <f>H25</f>
        <v>2736182</v>
      </c>
      <c r="I27" s="72"/>
      <c r="J27" s="174"/>
      <c r="K27" s="174"/>
      <c r="L27" s="36">
        <f>SUM(L22:L25)</f>
        <v>6308299</v>
      </c>
      <c r="M27" s="37"/>
      <c r="N27" s="38">
        <f>SUM(N22:N25)</f>
        <v>100</v>
      </c>
      <c r="O27" s="39"/>
      <c r="P27" s="45"/>
      <c r="Q27" s="72"/>
      <c r="R27" s="36">
        <f>SUM(R22:R25)</f>
        <v>6308299</v>
      </c>
      <c r="S27" s="32"/>
      <c r="T27" s="23"/>
      <c r="Z27" s="32"/>
      <c r="AA27" s="32"/>
      <c r="AB27" s="32"/>
      <c r="AC27" s="32"/>
      <c r="AH27" s="32"/>
      <c r="AI27" s="32"/>
      <c r="AJ27" s="32"/>
      <c r="AK27" s="32"/>
    </row>
    <row r="28" spans="1:39" x14ac:dyDescent="0.3">
      <c r="A28" s="24"/>
      <c r="B28" s="25"/>
      <c r="C28" s="27"/>
      <c r="D28" s="25"/>
      <c r="E28" s="25"/>
      <c r="F28" s="72"/>
      <c r="G28" s="25"/>
      <c r="H28" s="195"/>
      <c r="I28" s="72"/>
      <c r="J28" s="174"/>
      <c r="K28" s="174"/>
      <c r="L28" s="37"/>
      <c r="M28" s="37"/>
      <c r="N28" s="69"/>
      <c r="O28" s="39"/>
      <c r="P28" s="72"/>
      <c r="Q28" s="72"/>
      <c r="R28" s="37"/>
      <c r="S28" s="32"/>
      <c r="T28" s="23"/>
      <c r="Z28" s="32"/>
      <c r="AA28" s="32"/>
      <c r="AB28" s="32"/>
      <c r="AC28" s="32"/>
      <c r="AH28" s="32"/>
      <c r="AI28" s="32"/>
      <c r="AJ28" s="32"/>
      <c r="AK28" s="32"/>
    </row>
    <row r="29" spans="1:39" x14ac:dyDescent="0.3">
      <c r="A29" s="24">
        <v>7</v>
      </c>
      <c r="B29" s="25"/>
      <c r="C29" s="177" t="s">
        <v>206</v>
      </c>
      <c r="D29" s="25"/>
      <c r="E29" s="25"/>
      <c r="F29" s="72"/>
      <c r="G29" s="25"/>
      <c r="H29" s="195"/>
      <c r="I29" s="72"/>
      <c r="J29" s="174"/>
      <c r="K29" s="174"/>
      <c r="L29" s="37"/>
      <c r="M29" s="37"/>
      <c r="N29" s="69"/>
      <c r="O29" s="39"/>
      <c r="P29" s="72"/>
      <c r="Q29" s="72"/>
      <c r="R29" s="37"/>
      <c r="S29" s="32"/>
      <c r="T29" s="23"/>
      <c r="Z29" s="32"/>
      <c r="AA29" s="32"/>
      <c r="AB29" s="32"/>
      <c r="AC29" s="32"/>
      <c r="AH29" s="32"/>
      <c r="AI29" s="32"/>
      <c r="AJ29" s="32"/>
      <c r="AK29" s="32"/>
    </row>
    <row r="30" spans="1:39" x14ac:dyDescent="0.3">
      <c r="A30" s="24">
        <v>8</v>
      </c>
      <c r="B30" s="25"/>
      <c r="C30" s="231" t="s">
        <v>326</v>
      </c>
      <c r="D30" s="25"/>
      <c r="E30" s="25"/>
      <c r="F30" s="72"/>
      <c r="G30" s="25"/>
      <c r="H30" s="195"/>
      <c r="I30" s="72"/>
      <c r="J30" s="43">
        <f>PRO_FTL_GCAT</f>
        <v>-5.8000000000000003E-2</v>
      </c>
      <c r="K30" s="174"/>
      <c r="L30" s="36"/>
      <c r="M30" s="37"/>
      <c r="N30" s="131">
        <f>ROUND((L30/L$34)*100,1)</f>
        <v>0</v>
      </c>
      <c r="O30" s="39"/>
      <c r="P30" s="45">
        <f>ROUND(H25*R37*J30,0)</f>
        <v>-7935</v>
      </c>
      <c r="Q30" s="72"/>
      <c r="R30" s="36">
        <f t="shared" ref="R30" si="0">L30+P30</f>
        <v>-7935</v>
      </c>
      <c r="S30" s="32"/>
      <c r="T30" s="23"/>
      <c r="Z30" s="32"/>
      <c r="AA30" s="32"/>
      <c r="AB30" s="32"/>
      <c r="AC30" s="32"/>
      <c r="AH30" s="32"/>
      <c r="AI30" s="32"/>
      <c r="AJ30" s="32"/>
      <c r="AK30" s="32"/>
    </row>
    <row r="31" spans="1:39" x14ac:dyDescent="0.3">
      <c r="A31" s="24"/>
      <c r="B31" s="25"/>
      <c r="C31" s="26"/>
      <c r="D31" s="25"/>
      <c r="E31" s="25"/>
      <c r="F31" s="72"/>
      <c r="G31" s="25"/>
      <c r="H31" s="195"/>
      <c r="I31" s="72"/>
      <c r="J31" s="174"/>
      <c r="K31" s="174"/>
      <c r="L31" s="37"/>
      <c r="M31" s="37"/>
      <c r="N31" s="69"/>
      <c r="O31" s="39"/>
      <c r="P31" s="72"/>
      <c r="Q31" s="72"/>
      <c r="R31" s="37"/>
      <c r="S31" s="32"/>
      <c r="T31" s="23"/>
      <c r="Z31" s="32"/>
      <c r="AA31" s="32"/>
      <c r="AB31" s="32"/>
      <c r="AC31" s="32"/>
      <c r="AH31" s="32"/>
      <c r="AI31" s="32"/>
      <c r="AJ31" s="32"/>
      <c r="AK31" s="32"/>
    </row>
    <row r="32" spans="1:39" x14ac:dyDescent="0.3">
      <c r="A32" s="24">
        <v>9</v>
      </c>
      <c r="B32" s="25"/>
      <c r="C32" s="215" t="s">
        <v>209</v>
      </c>
      <c r="D32" s="25"/>
      <c r="E32" s="25"/>
      <c r="F32" s="72"/>
      <c r="G32" s="25"/>
      <c r="H32" s="195"/>
      <c r="I32" s="72"/>
      <c r="J32" s="174"/>
      <c r="K32" s="174"/>
      <c r="L32" s="36">
        <f>SUM(L30:L30)</f>
        <v>0</v>
      </c>
      <c r="M32" s="37"/>
      <c r="N32" s="131">
        <f>ROUND((L32/L$34)*100,1)</f>
        <v>0</v>
      </c>
      <c r="O32" s="39"/>
      <c r="P32" s="45">
        <f>P30</f>
        <v>-7935</v>
      </c>
      <c r="Q32" s="72"/>
      <c r="R32" s="36">
        <f>SUM(R30:R30)</f>
        <v>-7935</v>
      </c>
      <c r="S32" s="32"/>
      <c r="T32" s="23"/>
      <c r="Z32" s="32"/>
      <c r="AA32" s="32"/>
      <c r="AB32" s="32"/>
      <c r="AC32" s="32"/>
      <c r="AH32" s="32"/>
      <c r="AI32" s="32"/>
      <c r="AJ32" s="32"/>
      <c r="AK32" s="32"/>
    </row>
    <row r="33" spans="1:46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7"/>
      <c r="T33" s="22"/>
      <c r="W33" s="23"/>
      <c r="AR33" s="32"/>
      <c r="AS33" s="32"/>
      <c r="AT33" s="33"/>
    </row>
    <row r="34" spans="1:46" ht="16.2" thickBot="1" x14ac:dyDescent="0.35">
      <c r="A34" s="25">
        <v>10</v>
      </c>
      <c r="B34" s="25"/>
      <c r="C34" s="185" t="s">
        <v>223</v>
      </c>
      <c r="D34" s="25"/>
      <c r="E34" s="25"/>
      <c r="F34" s="73">
        <f>F22</f>
        <v>1092</v>
      </c>
      <c r="G34" s="25"/>
      <c r="H34" s="73">
        <f>H25</f>
        <v>2736182</v>
      </c>
      <c r="I34" s="25"/>
      <c r="J34" s="25"/>
      <c r="K34" s="25"/>
      <c r="L34" s="73">
        <f>L27+L32</f>
        <v>6308299</v>
      </c>
      <c r="M34" s="25"/>
      <c r="N34" s="74">
        <f>SUM(N27+N32)</f>
        <v>100</v>
      </c>
      <c r="O34" s="25"/>
      <c r="P34" s="73">
        <f>P32+P27</f>
        <v>-7935</v>
      </c>
      <c r="Q34" s="25"/>
      <c r="R34" s="73">
        <f>R27+R32</f>
        <v>6300364</v>
      </c>
      <c r="AR34" s="32"/>
      <c r="AS34" s="32"/>
      <c r="AT34" s="33"/>
    </row>
    <row r="35" spans="1:46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46"/>
      <c r="K35" s="46"/>
      <c r="L35" s="37"/>
      <c r="M35" s="37"/>
      <c r="N35" s="37"/>
      <c r="O35" s="37"/>
      <c r="P35" s="37"/>
      <c r="Q35" s="37"/>
      <c r="R35" s="37"/>
      <c r="T35" s="22"/>
      <c r="V35" s="23"/>
      <c r="X35" s="32"/>
      <c r="AB35" s="59"/>
      <c r="AC35" s="59"/>
      <c r="AD35" s="32"/>
      <c r="AE35" s="32"/>
      <c r="AN35" s="32"/>
      <c r="AO35" s="32"/>
      <c r="AR35" s="32"/>
      <c r="AS35" s="32"/>
      <c r="AT35" s="33"/>
    </row>
    <row r="36" spans="1:46" x14ac:dyDescent="0.3">
      <c r="A36" s="25"/>
      <c r="B36" s="25"/>
      <c r="C36" s="27" t="s">
        <v>167</v>
      </c>
      <c r="D36" s="25"/>
      <c r="E36" s="25"/>
      <c r="F36" s="37"/>
      <c r="G36" s="25"/>
      <c r="H36" s="37"/>
      <c r="I36" s="37"/>
      <c r="J36" s="46"/>
      <c r="K36" s="46"/>
      <c r="L36" s="37"/>
      <c r="M36" s="37"/>
      <c r="N36" s="37"/>
      <c r="O36" s="37"/>
      <c r="P36" s="37"/>
      <c r="Q36" s="37"/>
      <c r="R36" s="37"/>
      <c r="X36" s="32"/>
      <c r="AN36" s="32"/>
      <c r="AO36" s="32"/>
      <c r="AQ36" s="22"/>
      <c r="AR36" s="32"/>
      <c r="AS36" s="32"/>
      <c r="AT36" s="33"/>
    </row>
    <row r="37" spans="1:46" x14ac:dyDescent="0.3">
      <c r="A37" s="25"/>
      <c r="B37" s="25"/>
      <c r="C37" s="27" t="s">
        <v>327</v>
      </c>
      <c r="D37" s="25"/>
      <c r="E37" s="25"/>
      <c r="F37" s="37"/>
      <c r="G37" s="25"/>
      <c r="H37" s="37"/>
      <c r="I37" s="37"/>
      <c r="J37" s="46"/>
      <c r="K37" s="46"/>
      <c r="L37" s="37"/>
      <c r="M37" s="37"/>
      <c r="N37" s="37"/>
      <c r="O37" s="37"/>
      <c r="P37" s="37"/>
      <c r="Q37" s="37"/>
      <c r="R37" s="232">
        <v>0.05</v>
      </c>
      <c r="T37" s="22"/>
      <c r="V37" s="23"/>
      <c r="X37" s="32"/>
      <c r="Z37" s="32"/>
      <c r="AA37" s="32"/>
      <c r="AB37" s="119"/>
      <c r="AC37" s="119"/>
      <c r="AD37" s="32"/>
      <c r="AE37" s="32"/>
      <c r="AF37" s="33"/>
      <c r="AG37" s="33"/>
      <c r="AH37" s="32"/>
      <c r="AI37" s="32"/>
      <c r="AJ37" s="44"/>
      <c r="AK37" s="44"/>
      <c r="AL37" s="32"/>
      <c r="AM37" s="32"/>
      <c r="AN37" s="32"/>
      <c r="AO37" s="32"/>
      <c r="AP37" s="33"/>
      <c r="AQ37" s="32"/>
      <c r="AR37" s="32"/>
      <c r="AS37" s="32"/>
      <c r="AT37" s="33"/>
    </row>
    <row r="38" spans="1:46" x14ac:dyDescent="0.3">
      <c r="T38" s="19" t="str">
        <f>COMPANY</f>
        <v>DUKE ENERGY KENTUCKY</v>
      </c>
      <c r="U38" s="19"/>
      <c r="V38" s="19"/>
      <c r="W38" s="19"/>
      <c r="X38" s="19"/>
      <c r="Y38" s="19"/>
      <c r="Z38" s="19"/>
      <c r="AA38" s="19"/>
      <c r="AB38" s="20"/>
      <c r="AC38" s="20"/>
      <c r="AD38" s="19"/>
      <c r="AE38" s="49"/>
      <c r="AF38" s="19"/>
      <c r="AG38" s="49"/>
      <c r="AH38" s="19"/>
      <c r="AI38" s="19"/>
      <c r="AJ38" s="19"/>
      <c r="AK38" s="19"/>
      <c r="AL38" s="19"/>
      <c r="AM38" s="49"/>
      <c r="AN38" s="19"/>
      <c r="AO38" s="19"/>
      <c r="AP38" s="19"/>
      <c r="AQ38" s="32"/>
      <c r="AR38" s="32"/>
      <c r="AS38" s="32"/>
      <c r="AT38" s="33"/>
    </row>
    <row r="39" spans="1:46" x14ac:dyDescent="0.3">
      <c r="H39" s="23"/>
      <c r="I39" s="23"/>
      <c r="T39" s="20" t="str">
        <f>CASE</f>
        <v>CASE NO. 2021-00190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9"/>
      <c r="AF39" s="19"/>
      <c r="AG39" s="49"/>
      <c r="AH39" s="19"/>
      <c r="AI39" s="19"/>
      <c r="AJ39" s="19"/>
      <c r="AK39" s="19"/>
      <c r="AL39" s="19"/>
      <c r="AM39" s="49"/>
      <c r="AN39" s="19"/>
      <c r="AO39" s="19"/>
      <c r="AP39" s="19"/>
      <c r="AQ39" s="32"/>
    </row>
    <row r="40" spans="1:46" x14ac:dyDescent="0.3">
      <c r="H40" s="23"/>
      <c r="I40" s="23"/>
      <c r="T40" s="20" t="s">
        <v>82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9"/>
      <c r="AF40" s="19"/>
      <c r="AG40" s="49"/>
      <c r="AH40" s="19"/>
      <c r="AI40" s="19"/>
      <c r="AJ40" s="19"/>
      <c r="AK40" s="19"/>
      <c r="AL40" s="19"/>
      <c r="AM40" s="49"/>
      <c r="AN40" s="19"/>
      <c r="AO40" s="19"/>
      <c r="AP40" s="19"/>
      <c r="AQ40" s="32"/>
    </row>
    <row r="41" spans="1:46" x14ac:dyDescent="0.3">
      <c r="L41" s="23"/>
      <c r="M41" s="23"/>
      <c r="T41" s="19" t="str">
        <f>TIME_PERIOD</f>
        <v>FOR THE TWELVE MONTHS ENDED DECEMBER 31, 2022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49"/>
      <c r="AF41" s="19"/>
      <c r="AG41" s="49"/>
      <c r="AH41" s="19"/>
      <c r="AI41" s="19"/>
      <c r="AJ41" s="19"/>
      <c r="AK41" s="19"/>
      <c r="AL41" s="19"/>
      <c r="AM41" s="49"/>
      <c r="AN41" s="19"/>
      <c r="AO41" s="19"/>
      <c r="AP41" s="19"/>
      <c r="AQ41" s="195"/>
    </row>
    <row r="42" spans="1:46" x14ac:dyDescent="0.3">
      <c r="A42" s="22"/>
      <c r="R42" s="23"/>
      <c r="T42" s="19" t="str">
        <f>SERV_TYPE</f>
        <v>(GAS SERVICE)</v>
      </c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50"/>
      <c r="AF42" s="19"/>
      <c r="AG42" s="49"/>
      <c r="AH42" s="19"/>
      <c r="AI42" s="19"/>
      <c r="AJ42" s="19"/>
      <c r="AK42" s="19"/>
      <c r="AL42" s="19"/>
      <c r="AM42" s="49"/>
      <c r="AN42" s="19"/>
      <c r="AO42" s="19"/>
      <c r="AP42" s="19"/>
      <c r="AQ42" s="195"/>
    </row>
    <row r="43" spans="1:46" x14ac:dyDescent="0.3">
      <c r="A43" s="22"/>
      <c r="R43" s="23"/>
      <c r="T43" s="24" t="str">
        <f>DATA_TYPE</f>
        <v>DATA: ___ BASE PERIOD   _X_FORECASTED PERIOD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F43" s="25"/>
      <c r="AH43" s="25"/>
      <c r="AI43" s="25"/>
      <c r="AJ43" s="25"/>
      <c r="AK43" s="25"/>
      <c r="AL43" s="25"/>
      <c r="AN43" s="26" t="s">
        <v>88</v>
      </c>
      <c r="AO43" s="26"/>
      <c r="AP43" s="25"/>
      <c r="AQ43" s="32"/>
    </row>
    <row r="44" spans="1:46" x14ac:dyDescent="0.3">
      <c r="A44" s="23"/>
      <c r="R44" s="23"/>
      <c r="T44" s="24" t="str">
        <f>FILING_TYPE</f>
        <v>TYPE OF FILING: _X_ ORIGINAL   ___UPDATED  ___ REVISED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F44" s="25"/>
      <c r="AH44" s="25"/>
      <c r="AI44" s="25"/>
      <c r="AJ44" s="25"/>
      <c r="AK44" s="25"/>
      <c r="AL44" s="25"/>
      <c r="AN44" s="26" t="str">
        <f>R7</f>
        <v>PAGE  6  OF  7</v>
      </c>
      <c r="AO44" s="26"/>
      <c r="AP44" s="25"/>
      <c r="AQ44" s="32"/>
    </row>
    <row r="45" spans="1:46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T45" s="26" t="s">
        <v>98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 t="s">
        <v>1</v>
      </c>
      <c r="AO45" s="26"/>
      <c r="AP45" s="25"/>
    </row>
    <row r="46" spans="1:46" x14ac:dyDescent="0.3">
      <c r="L46" s="30"/>
      <c r="M46" s="30"/>
      <c r="N46" s="30"/>
      <c r="O46" s="30"/>
      <c r="R46" s="30"/>
      <c r="T46" s="177" t="str">
        <f>TIME</f>
        <v>12 MONTHS FORECASTED</v>
      </c>
      <c r="U46" s="25"/>
      <c r="V46" s="25"/>
      <c r="W46" s="25"/>
      <c r="X46" s="25"/>
      <c r="Y46" s="25"/>
      <c r="Z46" s="25"/>
      <c r="AA46" s="25"/>
      <c r="AB46" s="25"/>
      <c r="AC46" s="25"/>
      <c r="AE46" s="26"/>
      <c r="AF46" s="25"/>
      <c r="AG46" s="25"/>
      <c r="AH46" s="25"/>
      <c r="AI46" s="25"/>
      <c r="AJ46" s="25"/>
      <c r="AK46" s="25"/>
      <c r="AL46" s="25"/>
      <c r="AM46" s="25"/>
      <c r="AN46" s="24" t="str">
        <f>WIT</f>
        <v>J.L. Kern</v>
      </c>
      <c r="AO46" s="24"/>
      <c r="AP46" s="25"/>
    </row>
    <row r="47" spans="1:46" x14ac:dyDescent="0.3">
      <c r="L47" s="30"/>
      <c r="M47" s="30"/>
      <c r="N47" s="30"/>
      <c r="O47" s="30"/>
      <c r="R47" s="30"/>
      <c r="T47" s="20" t="s">
        <v>84</v>
      </c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19"/>
      <c r="AG47" s="19"/>
      <c r="AH47" s="19"/>
      <c r="AI47" s="19"/>
      <c r="AJ47" s="19"/>
      <c r="AK47" s="19"/>
      <c r="AL47" s="19"/>
      <c r="AM47" s="19"/>
      <c r="AN47" s="20"/>
      <c r="AO47" s="20"/>
      <c r="AP47" s="19"/>
    </row>
    <row r="48" spans="1:46" x14ac:dyDescent="0.3">
      <c r="C48" s="30"/>
      <c r="D48" s="30"/>
      <c r="E48" s="30"/>
      <c r="F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176" t="s">
        <v>5</v>
      </c>
      <c r="AE49" s="30"/>
      <c r="AF49" s="176" t="s">
        <v>4</v>
      </c>
      <c r="AG49" s="30"/>
      <c r="AH49" s="176" t="s">
        <v>6</v>
      </c>
      <c r="AI49" s="176"/>
      <c r="AJ49" s="176" t="s">
        <v>7</v>
      </c>
      <c r="AK49" s="176"/>
      <c r="AL49" s="25"/>
      <c r="AN49" s="176" t="s">
        <v>5</v>
      </c>
      <c r="AO49" s="176"/>
      <c r="AP49" s="176" t="s">
        <v>8</v>
      </c>
    </row>
    <row r="50" spans="1:42" x14ac:dyDescent="0.3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T50" s="25"/>
      <c r="U50" s="25"/>
      <c r="V50" s="25"/>
      <c r="W50" s="25"/>
      <c r="X50" s="25"/>
      <c r="Y50" s="25"/>
      <c r="Z50" s="25"/>
      <c r="AA50" s="25"/>
      <c r="AB50" s="176" t="s">
        <v>11</v>
      </c>
      <c r="AC50" s="176"/>
      <c r="AD50" s="176" t="s">
        <v>9</v>
      </c>
      <c r="AE50" s="30"/>
      <c r="AF50" s="176" t="s">
        <v>10</v>
      </c>
      <c r="AG50" s="30"/>
      <c r="AH50" s="176" t="s">
        <v>12</v>
      </c>
      <c r="AI50" s="176"/>
      <c r="AJ50" s="176" t="s">
        <v>13</v>
      </c>
      <c r="AK50" s="176"/>
      <c r="AL50" s="25"/>
      <c r="AN50" s="176" t="s">
        <v>8</v>
      </c>
      <c r="AO50" s="176"/>
      <c r="AP50" s="176" t="s">
        <v>6</v>
      </c>
    </row>
    <row r="51" spans="1:42" x14ac:dyDescent="0.3">
      <c r="A51" s="22"/>
      <c r="C51" s="23"/>
      <c r="D51" s="23"/>
      <c r="E51" s="23"/>
      <c r="T51" s="176" t="s">
        <v>14</v>
      </c>
      <c r="U51" s="25"/>
      <c r="V51" s="176" t="s">
        <v>15</v>
      </c>
      <c r="W51" s="176" t="s">
        <v>16</v>
      </c>
      <c r="X51" s="176" t="s">
        <v>17</v>
      </c>
      <c r="Y51" s="25"/>
      <c r="Z51" s="25"/>
      <c r="AA51" s="25"/>
      <c r="AB51" s="176" t="s">
        <v>5</v>
      </c>
      <c r="AC51" s="176"/>
      <c r="AD51" s="31" t="s">
        <v>112</v>
      </c>
      <c r="AE51" s="30"/>
      <c r="AF51" s="31" t="s">
        <v>112</v>
      </c>
      <c r="AG51" s="30"/>
      <c r="AH51" s="31" t="s">
        <v>113</v>
      </c>
      <c r="AI51" s="176"/>
      <c r="AJ51" s="31" t="s">
        <v>113</v>
      </c>
      <c r="AK51" s="176"/>
      <c r="AL51" s="31" t="s">
        <v>112</v>
      </c>
      <c r="AM51" s="30"/>
      <c r="AN51" s="176" t="s">
        <v>6</v>
      </c>
      <c r="AO51" s="176"/>
      <c r="AP51" s="176" t="s">
        <v>18</v>
      </c>
    </row>
    <row r="52" spans="1:42" x14ac:dyDescent="0.3">
      <c r="A52" s="22"/>
      <c r="C52" s="23"/>
      <c r="T52" s="176" t="s">
        <v>19</v>
      </c>
      <c r="U52" s="25"/>
      <c r="V52" s="176" t="s">
        <v>20</v>
      </c>
      <c r="W52" s="176" t="s">
        <v>21</v>
      </c>
      <c r="X52" s="31" t="s">
        <v>50</v>
      </c>
      <c r="Y52" s="25"/>
      <c r="Z52" s="31" t="s">
        <v>168</v>
      </c>
      <c r="AA52" s="176"/>
      <c r="AB52" s="176" t="s">
        <v>24</v>
      </c>
      <c r="AC52" s="176"/>
      <c r="AD52" s="31" t="s">
        <v>6</v>
      </c>
      <c r="AE52" s="30"/>
      <c r="AF52" s="176" t="s">
        <v>6</v>
      </c>
      <c r="AG52" s="30"/>
      <c r="AH52" s="188" t="s">
        <v>26</v>
      </c>
      <c r="AI52" s="188"/>
      <c r="AJ52" s="188" t="s">
        <v>27</v>
      </c>
      <c r="AK52" s="176"/>
      <c r="AL52" s="176" t="s">
        <v>6</v>
      </c>
      <c r="AM52" s="30"/>
      <c r="AN52" s="188" t="s">
        <v>28</v>
      </c>
      <c r="AO52" s="188"/>
      <c r="AP52" s="188" t="s">
        <v>29</v>
      </c>
    </row>
    <row r="53" spans="1:42" x14ac:dyDescent="0.3">
      <c r="T53" s="25"/>
      <c r="U53" s="25"/>
      <c r="V53" s="188" t="s">
        <v>30</v>
      </c>
      <c r="W53" s="188" t="s">
        <v>31</v>
      </c>
      <c r="X53" s="188" t="s">
        <v>32</v>
      </c>
      <c r="Y53" s="184"/>
      <c r="Z53" s="188" t="s">
        <v>33</v>
      </c>
      <c r="AA53" s="188"/>
      <c r="AB53" s="188" t="s">
        <v>39</v>
      </c>
      <c r="AC53" s="188"/>
      <c r="AD53" s="188" t="s">
        <v>40</v>
      </c>
      <c r="AE53" s="216"/>
      <c r="AF53" s="188" t="s">
        <v>41</v>
      </c>
      <c r="AG53" s="216"/>
      <c r="AH53" s="188" t="s">
        <v>42</v>
      </c>
      <c r="AI53" s="188"/>
      <c r="AJ53" s="188" t="s">
        <v>43</v>
      </c>
      <c r="AK53" s="188"/>
      <c r="AL53" s="188" t="s">
        <v>37</v>
      </c>
      <c r="AM53" s="216"/>
      <c r="AN53" s="188" t="s">
        <v>44</v>
      </c>
      <c r="AO53" s="188"/>
      <c r="AP53" s="188" t="s">
        <v>45</v>
      </c>
    </row>
    <row r="54" spans="1:42" x14ac:dyDescent="0.3">
      <c r="A54" s="22"/>
      <c r="C54" s="23"/>
      <c r="F54" s="195"/>
      <c r="H54" s="195"/>
      <c r="I54" s="195"/>
      <c r="J54" s="119"/>
      <c r="K54" s="119"/>
      <c r="L54" s="32"/>
      <c r="M54" s="32"/>
      <c r="N54" s="33"/>
      <c r="O54" s="33"/>
      <c r="P54" s="22"/>
      <c r="Q54" s="22"/>
      <c r="R54" s="32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x14ac:dyDescent="0.3">
      <c r="A55" s="22"/>
      <c r="C55" s="23"/>
      <c r="F55" s="195"/>
      <c r="H55" s="195"/>
      <c r="I55" s="195"/>
      <c r="J55" s="119"/>
      <c r="K55" s="119"/>
      <c r="L55" s="32"/>
      <c r="M55" s="32"/>
      <c r="N55" s="33"/>
      <c r="O55" s="33"/>
      <c r="P55" s="22"/>
      <c r="Q55" s="22"/>
      <c r="R55" s="32"/>
      <c r="T55" s="25"/>
      <c r="U55" s="25"/>
      <c r="V55" s="25"/>
      <c r="W55" s="25"/>
      <c r="X55" s="25"/>
      <c r="Y55" s="25"/>
      <c r="Z55" s="189" t="s">
        <v>115</v>
      </c>
      <c r="AA55" s="188"/>
      <c r="AB55" s="189" t="s">
        <v>114</v>
      </c>
      <c r="AC55" s="188"/>
      <c r="AD55" s="188" t="s">
        <v>46</v>
      </c>
      <c r="AE55" s="216"/>
      <c r="AF55" s="188" t="s">
        <v>47</v>
      </c>
      <c r="AG55" s="216"/>
      <c r="AH55" s="188" t="s">
        <v>46</v>
      </c>
      <c r="AI55" s="188"/>
      <c r="AJ55" s="188" t="s">
        <v>47</v>
      </c>
      <c r="AK55" s="188"/>
      <c r="AL55" s="188" t="s">
        <v>46</v>
      </c>
      <c r="AM55" s="216"/>
      <c r="AN55" s="188" t="s">
        <v>46</v>
      </c>
      <c r="AO55" s="188"/>
      <c r="AP55" s="188" t="s">
        <v>47</v>
      </c>
    </row>
    <row r="56" spans="1:42" x14ac:dyDescent="0.3">
      <c r="A56" s="22"/>
      <c r="C56" s="23"/>
      <c r="F56" s="195"/>
      <c r="H56" s="195"/>
      <c r="I56" s="195"/>
      <c r="J56" s="119"/>
      <c r="K56" s="119"/>
      <c r="L56" s="32"/>
      <c r="M56" s="32"/>
      <c r="N56" s="33"/>
      <c r="O56" s="33"/>
      <c r="P56" s="22"/>
      <c r="Q56" s="22"/>
      <c r="R56" s="32"/>
      <c r="T56" s="24">
        <v>1</v>
      </c>
      <c r="U56" s="25"/>
      <c r="V56" s="191" t="s">
        <v>302</v>
      </c>
      <c r="W56" s="17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x14ac:dyDescent="0.3">
      <c r="A57" s="22"/>
      <c r="C57" s="23"/>
      <c r="F57" s="195"/>
      <c r="H57" s="195"/>
      <c r="I57" s="195"/>
      <c r="J57" s="119"/>
      <c r="K57" s="119"/>
      <c r="L57" s="32"/>
      <c r="M57" s="32"/>
      <c r="N57" s="33"/>
      <c r="O57" s="33"/>
      <c r="P57" s="22"/>
      <c r="Q57" s="22"/>
      <c r="R57" s="32"/>
      <c r="T57" s="25">
        <v>2</v>
      </c>
      <c r="U57" s="25"/>
      <c r="V57" s="213" t="s">
        <v>166</v>
      </c>
      <c r="W57" s="202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x14ac:dyDescent="0.3">
      <c r="F58" s="34"/>
      <c r="H58" s="32"/>
      <c r="I58" s="32"/>
      <c r="J58" s="198"/>
      <c r="K58" s="198"/>
      <c r="L58" s="34"/>
      <c r="M58" s="34"/>
      <c r="N58" s="34"/>
      <c r="O58" s="34"/>
      <c r="P58" s="34"/>
      <c r="Q58" s="34"/>
      <c r="R58" s="34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x14ac:dyDescent="0.3">
      <c r="A59" s="22"/>
      <c r="C59" s="23"/>
      <c r="F59" s="195"/>
      <c r="H59" s="195"/>
      <c r="I59" s="195"/>
      <c r="J59" s="206"/>
      <c r="K59" s="206"/>
      <c r="L59" s="32"/>
      <c r="M59" s="32"/>
      <c r="N59" s="33"/>
      <c r="O59" s="33"/>
      <c r="P59" s="32"/>
      <c r="Q59" s="32"/>
      <c r="R59" s="32"/>
      <c r="S59" s="32"/>
      <c r="T59" s="25">
        <v>3</v>
      </c>
      <c r="U59" s="25"/>
      <c r="V59" s="26" t="s">
        <v>204</v>
      </c>
      <c r="W59" s="25"/>
      <c r="X59" s="72">
        <f>F22</f>
        <v>1092</v>
      </c>
      <c r="Y59" s="25"/>
      <c r="Z59" s="214"/>
      <c r="AA59" s="214"/>
      <c r="AB59" s="35">
        <f>CUR_FTL_CUST</f>
        <v>430</v>
      </c>
      <c r="AC59" s="214"/>
      <c r="AD59" s="37">
        <f>ROUND(X59*AB59,0)</f>
        <v>469560</v>
      </c>
      <c r="AE59" s="37"/>
      <c r="AF59" s="33">
        <f>IF(AD$71=0,"0.0 ",ROUND((AD59/AD$71)*100,1))</f>
        <v>8.6</v>
      </c>
      <c r="AG59" s="24"/>
      <c r="AH59" s="37">
        <f>L22-AD59</f>
        <v>0</v>
      </c>
      <c r="AI59" s="37"/>
      <c r="AJ59" s="108">
        <f>IF(AD59=0,"0.0 ",ROUND((AH59/AD59)*100,1))</f>
        <v>0</v>
      </c>
      <c r="AK59" s="217"/>
      <c r="AL59" s="37"/>
      <c r="AM59" s="37"/>
      <c r="AN59" s="37">
        <f>AD59+AL59</f>
        <v>469560</v>
      </c>
      <c r="AO59" s="37"/>
      <c r="AP59" s="78">
        <f>IF(AN59=0,"0.0 ",ROUND((AH59/AN59)*100,1))</f>
        <v>0</v>
      </c>
    </row>
    <row r="60" spans="1:42" x14ac:dyDescent="0.3">
      <c r="A60" s="22"/>
      <c r="C60" s="23"/>
      <c r="F60" s="195"/>
      <c r="H60" s="195"/>
      <c r="I60" s="195"/>
      <c r="J60" s="119"/>
      <c r="K60" s="119"/>
      <c r="L60" s="32"/>
      <c r="M60" s="32"/>
      <c r="N60" s="33"/>
      <c r="O60" s="33"/>
      <c r="P60" s="32"/>
      <c r="Q60" s="32"/>
      <c r="R60" s="32"/>
      <c r="T60" s="25"/>
      <c r="U60" s="25"/>
      <c r="V60" s="26"/>
      <c r="W60" s="25"/>
      <c r="X60" s="72"/>
      <c r="Y60" s="25"/>
      <c r="Z60" s="214"/>
      <c r="AA60" s="214"/>
      <c r="AB60" s="35"/>
      <c r="AC60" s="214"/>
      <c r="AD60" s="37"/>
      <c r="AE60" s="37"/>
      <c r="AF60" s="24"/>
      <c r="AG60" s="24"/>
      <c r="AH60" s="37"/>
      <c r="AI60" s="37"/>
      <c r="AJ60" s="108"/>
      <c r="AK60" s="217"/>
      <c r="AL60" s="37"/>
      <c r="AM60" s="37"/>
      <c r="AN60" s="37"/>
      <c r="AO60" s="37"/>
      <c r="AP60" s="78"/>
    </row>
    <row r="61" spans="1:42" x14ac:dyDescent="0.3">
      <c r="A61" s="22"/>
      <c r="C61" s="23"/>
      <c r="F61" s="195"/>
      <c r="H61" s="195"/>
      <c r="I61" s="195"/>
      <c r="J61" s="119"/>
      <c r="K61" s="119"/>
      <c r="L61" s="32"/>
      <c r="M61" s="32"/>
      <c r="N61" s="33"/>
      <c r="O61" s="33"/>
      <c r="P61" s="32"/>
      <c r="Q61" s="32"/>
      <c r="R61" s="32"/>
      <c r="T61" s="25">
        <v>4</v>
      </c>
      <c r="U61" s="25"/>
      <c r="V61" s="184" t="s">
        <v>205</v>
      </c>
      <c r="W61" s="25"/>
      <c r="X61" s="72"/>
      <c r="Y61" s="25"/>
      <c r="Z61" s="214"/>
      <c r="AA61" s="214"/>
      <c r="AB61" s="214"/>
      <c r="AC61" s="214"/>
      <c r="AD61" s="37"/>
      <c r="AE61" s="37"/>
      <c r="AF61" s="24"/>
      <c r="AG61" s="24"/>
      <c r="AH61" s="37"/>
      <c r="AI61" s="37"/>
      <c r="AJ61" s="217"/>
      <c r="AK61" s="217"/>
      <c r="AL61" s="37"/>
      <c r="AM61" s="37"/>
      <c r="AN61" s="37"/>
      <c r="AO61" s="37"/>
      <c r="AP61" s="211"/>
    </row>
    <row r="62" spans="1:42" x14ac:dyDescent="0.3">
      <c r="A62" s="22"/>
      <c r="C62" s="23"/>
      <c r="F62" s="32"/>
      <c r="H62" s="32"/>
      <c r="I62" s="32"/>
      <c r="J62" s="198"/>
      <c r="K62" s="198"/>
      <c r="L62" s="32"/>
      <c r="M62" s="32"/>
      <c r="N62" s="33"/>
      <c r="O62" s="33"/>
      <c r="P62" s="32"/>
      <c r="Q62" s="32"/>
      <c r="R62" s="32"/>
      <c r="T62" s="24">
        <v>5</v>
      </c>
      <c r="U62" s="25"/>
      <c r="V62" s="150" t="s">
        <v>207</v>
      </c>
      <c r="W62" s="25"/>
      <c r="X62" s="45"/>
      <c r="Y62" s="25"/>
      <c r="Z62" s="45">
        <f>H25</f>
        <v>2736182</v>
      </c>
      <c r="AA62" s="72"/>
      <c r="AB62" s="174">
        <f>CUR_FTL_COM</f>
        <v>1.821</v>
      </c>
      <c r="AC62" s="174"/>
      <c r="AD62" s="36">
        <f>ROUND(Z62*AB62,0)</f>
        <v>4982587</v>
      </c>
      <c r="AE62" s="25"/>
      <c r="AF62" s="38">
        <f>IF(AD$71=0,"0.0 ",ROUND((AD62/AD$71)*100,1))</f>
        <v>91.4</v>
      </c>
      <c r="AG62" s="25"/>
      <c r="AH62" s="36">
        <f>L25-AD62</f>
        <v>856152</v>
      </c>
      <c r="AI62" s="25"/>
      <c r="AJ62" s="107">
        <f>IF(AD62=0,"0.0 ",ROUND((AH62/AD62)*100,1))</f>
        <v>17.2</v>
      </c>
      <c r="AK62" s="25"/>
      <c r="AL62" s="75"/>
      <c r="AM62" s="25"/>
      <c r="AN62" s="36">
        <f>AD62+AL62</f>
        <v>4982587</v>
      </c>
      <c r="AO62" s="25"/>
      <c r="AP62" s="78">
        <f>IF(AN62=0,"0.0 ",ROUND((AH62/AN62)*100,1))</f>
        <v>17.2</v>
      </c>
    </row>
    <row r="63" spans="1:42" x14ac:dyDescent="0.3">
      <c r="A63" s="22"/>
      <c r="C63" s="23"/>
      <c r="F63" s="32"/>
      <c r="H63" s="32"/>
      <c r="I63" s="32"/>
      <c r="J63" s="198"/>
      <c r="K63" s="198"/>
      <c r="L63" s="32"/>
      <c r="M63" s="32"/>
      <c r="N63" s="32"/>
      <c r="O63" s="32"/>
      <c r="P63" s="32"/>
      <c r="Q63" s="32"/>
      <c r="R63" s="32"/>
      <c r="T63" s="24"/>
      <c r="U63" s="25"/>
      <c r="V63" s="27"/>
      <c r="W63" s="25"/>
      <c r="X63" s="72"/>
      <c r="Y63" s="25"/>
      <c r="Z63" s="195"/>
      <c r="AA63" s="72"/>
      <c r="AB63" s="174"/>
      <c r="AC63" s="174"/>
      <c r="AD63" s="32"/>
      <c r="AE63" s="37"/>
      <c r="AF63" s="33"/>
      <c r="AG63" s="39"/>
      <c r="AH63" s="32"/>
      <c r="AI63" s="32"/>
      <c r="AJ63" s="44"/>
      <c r="AK63" s="44"/>
      <c r="AL63" s="195"/>
      <c r="AM63" s="195"/>
      <c r="AN63" s="32"/>
      <c r="AO63" s="32"/>
      <c r="AP63" s="33"/>
    </row>
    <row r="64" spans="1:42" x14ac:dyDescent="0.3">
      <c r="A64" s="22"/>
      <c r="C64" s="23"/>
      <c r="F64" s="32"/>
      <c r="H64" s="32"/>
      <c r="I64" s="32"/>
      <c r="J64" s="198"/>
      <c r="K64" s="198"/>
      <c r="L64" s="32"/>
      <c r="M64" s="32"/>
      <c r="N64" s="32"/>
      <c r="O64" s="32"/>
      <c r="P64" s="32"/>
      <c r="Q64" s="32"/>
      <c r="R64" s="32"/>
      <c r="T64" s="24">
        <v>6</v>
      </c>
      <c r="U64" s="25"/>
      <c r="V64" s="196" t="s">
        <v>225</v>
      </c>
      <c r="W64" s="25"/>
      <c r="X64" s="45">
        <f>X59</f>
        <v>1092</v>
      </c>
      <c r="Y64" s="25"/>
      <c r="Z64" s="45">
        <f>Z62</f>
        <v>2736182</v>
      </c>
      <c r="AA64" s="72"/>
      <c r="AB64" s="174"/>
      <c r="AC64" s="174"/>
      <c r="AD64" s="36">
        <f>SUM(AD59:AD62)</f>
        <v>5452147</v>
      </c>
      <c r="AE64" s="37"/>
      <c r="AF64" s="38">
        <f>SUM(AF59:AF62)</f>
        <v>100</v>
      </c>
      <c r="AG64" s="39"/>
      <c r="AH64" s="36">
        <f>SUM(AH59:AH62)</f>
        <v>856152</v>
      </c>
      <c r="AI64" s="32"/>
      <c r="AJ64" s="107">
        <f>IF(AD64=0,"0.0 ",ROUND((AH64/AD64)*100,1))</f>
        <v>15.7</v>
      </c>
      <c r="AK64" s="44"/>
      <c r="AL64" s="45"/>
      <c r="AM64" s="195"/>
      <c r="AN64" s="36">
        <f>SUM(AN59:AN62)</f>
        <v>5452147</v>
      </c>
      <c r="AO64" s="32"/>
      <c r="AP64" s="78">
        <f>IF(AN64=0,"0.0 ",ROUND((AH64/AN64)*100,1))</f>
        <v>15.7</v>
      </c>
    </row>
    <row r="65" spans="1:42" x14ac:dyDescent="0.3">
      <c r="A65" s="22"/>
      <c r="C65" s="23"/>
      <c r="F65" s="32"/>
      <c r="H65" s="32"/>
      <c r="I65" s="32"/>
      <c r="J65" s="198"/>
      <c r="K65" s="198"/>
      <c r="L65" s="32"/>
      <c r="M65" s="32"/>
      <c r="N65" s="32"/>
      <c r="O65" s="32"/>
      <c r="P65" s="32"/>
      <c r="Q65" s="32"/>
      <c r="R65" s="32"/>
      <c r="T65" s="24"/>
      <c r="U65" s="25"/>
      <c r="V65" s="27"/>
      <c r="W65" s="25"/>
      <c r="X65" s="72"/>
      <c r="Y65" s="25"/>
      <c r="Z65" s="195"/>
      <c r="AA65" s="72"/>
      <c r="AB65" s="174"/>
      <c r="AC65" s="174"/>
      <c r="AD65" s="32"/>
      <c r="AE65" s="37"/>
      <c r="AF65" s="33"/>
      <c r="AG65" s="39"/>
      <c r="AH65" s="32"/>
      <c r="AI65" s="32"/>
      <c r="AJ65" s="44"/>
      <c r="AK65" s="44"/>
      <c r="AL65" s="195"/>
      <c r="AM65" s="195"/>
      <c r="AN65" s="32"/>
      <c r="AO65" s="32"/>
      <c r="AP65" s="33"/>
    </row>
    <row r="66" spans="1:42" x14ac:dyDescent="0.3">
      <c r="A66" s="22"/>
      <c r="C66" s="23"/>
      <c r="F66" s="32"/>
      <c r="H66" s="32"/>
      <c r="I66" s="32"/>
      <c r="J66" s="198"/>
      <c r="K66" s="198"/>
      <c r="L66" s="32"/>
      <c r="M66" s="32"/>
      <c r="N66" s="32"/>
      <c r="O66" s="32"/>
      <c r="P66" s="32"/>
      <c r="Q66" s="32"/>
      <c r="R66" s="32"/>
      <c r="T66" s="24">
        <v>7</v>
      </c>
      <c r="U66" s="25"/>
      <c r="V66" s="177" t="s">
        <v>206</v>
      </c>
      <c r="W66" s="25"/>
      <c r="X66" s="72"/>
      <c r="Y66" s="25"/>
      <c r="Z66" s="195"/>
      <c r="AA66" s="72"/>
      <c r="AB66" s="174"/>
      <c r="AC66" s="174"/>
      <c r="AD66" s="32"/>
      <c r="AE66" s="37"/>
      <c r="AF66" s="33"/>
      <c r="AG66" s="39"/>
      <c r="AH66" s="32"/>
      <c r="AI66" s="32"/>
      <c r="AJ66" s="44"/>
      <c r="AK66" s="44"/>
      <c r="AL66" s="195"/>
      <c r="AM66" s="195"/>
      <c r="AN66" s="32"/>
      <c r="AO66" s="32"/>
      <c r="AP66" s="33"/>
    </row>
    <row r="67" spans="1:42" x14ac:dyDescent="0.3">
      <c r="A67" s="22"/>
      <c r="C67" s="23"/>
      <c r="F67" s="32"/>
      <c r="H67" s="32"/>
      <c r="I67" s="32"/>
      <c r="J67" s="198"/>
      <c r="K67" s="198"/>
      <c r="L67" s="32"/>
      <c r="M67" s="32"/>
      <c r="N67" s="32"/>
      <c r="O67" s="32"/>
      <c r="P67" s="32"/>
      <c r="Q67" s="32"/>
      <c r="R67" s="32"/>
      <c r="T67" s="24">
        <v>8</v>
      </c>
      <c r="U67" s="25"/>
      <c r="V67" s="231" t="s">
        <v>343</v>
      </c>
      <c r="W67" s="25"/>
      <c r="X67" s="72"/>
      <c r="Y67" s="25"/>
      <c r="Z67" s="195"/>
      <c r="AA67" s="72"/>
      <c r="AB67" s="43">
        <f>CUR_FTL_GCAT</f>
        <v>-5.8000000000000003E-2</v>
      </c>
      <c r="AC67" s="174"/>
      <c r="AD67" s="36"/>
      <c r="AE67" s="37"/>
      <c r="AF67" s="131">
        <f>IF(AD$71=0,"0.0 ",ROUND((AD67/AD$71)*100,1))</f>
        <v>0</v>
      </c>
      <c r="AG67" s="39"/>
      <c r="AH67" s="36">
        <f>L30-AD67</f>
        <v>0</v>
      </c>
      <c r="AI67" s="32"/>
      <c r="AJ67" s="107" t="str">
        <f>IF(AD67=0,"0.0 ",ROUND((AH67/AD67)*100,1))</f>
        <v xml:space="preserve">0.0 </v>
      </c>
      <c r="AK67" s="44"/>
      <c r="AL67" s="45">
        <f>ROUND(Z62*R37*AB67,0)</f>
        <v>-7935</v>
      </c>
      <c r="AM67" s="195"/>
      <c r="AN67" s="36">
        <f>AD67+AL67</f>
        <v>-7935</v>
      </c>
      <c r="AO67" s="32"/>
      <c r="AP67" s="78">
        <f>IF(AN67=0,"0.0 ",ROUND((AH67/AN67)*100,1))</f>
        <v>0</v>
      </c>
    </row>
    <row r="68" spans="1:42" x14ac:dyDescent="0.3">
      <c r="A68" s="22"/>
      <c r="C68" s="23"/>
      <c r="F68" s="32"/>
      <c r="H68" s="32"/>
      <c r="I68" s="32"/>
      <c r="J68" s="198"/>
      <c r="K68" s="198"/>
      <c r="L68" s="32"/>
      <c r="M68" s="32"/>
      <c r="N68" s="32"/>
      <c r="O68" s="32"/>
      <c r="P68" s="32"/>
      <c r="Q68" s="32"/>
      <c r="R68" s="32"/>
      <c r="T68" s="24"/>
      <c r="U68" s="25"/>
      <c r="V68" s="26"/>
      <c r="W68" s="25"/>
      <c r="X68" s="72"/>
      <c r="Y68" s="25"/>
      <c r="Z68" s="195"/>
      <c r="AA68" s="72"/>
      <c r="AB68" s="174"/>
      <c r="AC68" s="174"/>
      <c r="AD68" s="32"/>
      <c r="AE68" s="37"/>
      <c r="AF68" s="33"/>
      <c r="AG68" s="39"/>
      <c r="AH68" s="32"/>
      <c r="AI68" s="32"/>
      <c r="AJ68" s="44"/>
      <c r="AK68" s="44"/>
      <c r="AL68" s="195"/>
      <c r="AM68" s="195"/>
      <c r="AN68" s="32"/>
      <c r="AO68" s="32"/>
      <c r="AP68" s="33"/>
    </row>
    <row r="69" spans="1:42" x14ac:dyDescent="0.3">
      <c r="A69" s="22"/>
      <c r="C69" s="23"/>
      <c r="F69" s="32"/>
      <c r="H69" s="32"/>
      <c r="I69" s="32"/>
      <c r="J69" s="198"/>
      <c r="K69" s="198"/>
      <c r="L69" s="32"/>
      <c r="M69" s="32"/>
      <c r="N69" s="32"/>
      <c r="O69" s="32"/>
      <c r="P69" s="32"/>
      <c r="Q69" s="32"/>
      <c r="R69" s="32"/>
      <c r="T69" s="24">
        <v>9</v>
      </c>
      <c r="U69" s="25"/>
      <c r="V69" s="215" t="s">
        <v>209</v>
      </c>
      <c r="W69" s="25"/>
      <c r="X69" s="72"/>
      <c r="Y69" s="25"/>
      <c r="Z69" s="195"/>
      <c r="AA69" s="72"/>
      <c r="AB69" s="174"/>
      <c r="AC69" s="174"/>
      <c r="AD69" s="36">
        <f>SUM(AD67:AD67)</f>
        <v>0</v>
      </c>
      <c r="AE69" s="37"/>
      <c r="AF69" s="131">
        <f>SUM(AF67:AF67)</f>
        <v>0</v>
      </c>
      <c r="AG69" s="39"/>
      <c r="AH69" s="36">
        <f>SUM(AH67:AH67)</f>
        <v>0</v>
      </c>
      <c r="AI69" s="32"/>
      <c r="AJ69" s="107" t="str">
        <f>IF(AD69=0,"0.0 ",ROUND((AH69/AD69)*100,1))</f>
        <v xml:space="preserve">0.0 </v>
      </c>
      <c r="AK69" s="44"/>
      <c r="AL69" s="36">
        <f>SUM(AL67:AL67)</f>
        <v>-7935</v>
      </c>
      <c r="AM69" s="195"/>
      <c r="AN69" s="36">
        <f>SUM(AN67:AN67)</f>
        <v>-7935</v>
      </c>
      <c r="AO69" s="32"/>
      <c r="AP69" s="78">
        <f>IF(AN69=0,"0.0 ",ROUND((AH69/AN69)*100,1))</f>
        <v>0</v>
      </c>
    </row>
    <row r="70" spans="1:42" x14ac:dyDescent="0.3">
      <c r="A70" s="22"/>
      <c r="C70" s="23"/>
      <c r="F70" s="32"/>
      <c r="H70" s="195"/>
      <c r="I70" s="195"/>
      <c r="J70" s="203"/>
      <c r="K70" s="203"/>
      <c r="L70" s="32"/>
      <c r="M70" s="32"/>
      <c r="N70" s="33"/>
      <c r="O70" s="33"/>
      <c r="P70" s="32"/>
      <c r="Q70" s="32"/>
      <c r="R70" s="32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37"/>
      <c r="AE70" s="37"/>
      <c r="AF70" s="39"/>
      <c r="AG70" s="39"/>
      <c r="AH70" s="25"/>
      <c r="AI70" s="25"/>
      <c r="AJ70" s="25"/>
      <c r="AK70" s="25"/>
      <c r="AL70" s="25"/>
      <c r="AM70" s="25"/>
      <c r="AN70" s="25"/>
      <c r="AO70" s="25"/>
      <c r="AP70" s="56"/>
    </row>
    <row r="71" spans="1:42" ht="16.2" thickBot="1" x14ac:dyDescent="0.35">
      <c r="A71" s="22"/>
      <c r="C71" s="23"/>
      <c r="H71" s="195"/>
      <c r="I71" s="195"/>
      <c r="J71" s="203"/>
      <c r="K71" s="203"/>
      <c r="L71" s="32"/>
      <c r="M71" s="32"/>
      <c r="N71" s="33"/>
      <c r="O71" s="33"/>
      <c r="P71" s="32"/>
      <c r="Q71" s="32"/>
      <c r="R71" s="32"/>
      <c r="T71" s="25">
        <v>10</v>
      </c>
      <c r="U71" s="25"/>
      <c r="V71" s="185" t="s">
        <v>223</v>
      </c>
      <c r="W71" s="25"/>
      <c r="X71" s="73">
        <f>X59</f>
        <v>1092</v>
      </c>
      <c r="Y71" s="25"/>
      <c r="Z71" s="73">
        <f>Z62</f>
        <v>2736182</v>
      </c>
      <c r="AA71" s="25"/>
      <c r="AB71" s="25"/>
      <c r="AC71" s="25"/>
      <c r="AD71" s="73">
        <f>SUM(AD64+AD69)</f>
        <v>5452147</v>
      </c>
      <c r="AE71" s="37"/>
      <c r="AF71" s="74">
        <f>SUM(AF64+AF69)</f>
        <v>100</v>
      </c>
      <c r="AG71" s="39"/>
      <c r="AH71" s="73">
        <f>SUM(AH64+AH69)</f>
        <v>856152</v>
      </c>
      <c r="AI71" s="37"/>
      <c r="AJ71" s="110">
        <f>IF(AD71=0,"0.0 ",ROUND((AH71/AD71)*100,1))</f>
        <v>15.7</v>
      </c>
      <c r="AK71" s="70"/>
      <c r="AL71" s="73">
        <f>SUM(AL64+AL69)</f>
        <v>-7935</v>
      </c>
      <c r="AM71" s="37"/>
      <c r="AN71" s="73">
        <f>SUM(AN64+AN69)</f>
        <v>5444212</v>
      </c>
      <c r="AO71" s="37"/>
      <c r="AP71" s="78">
        <f>IF(AN71=0,"0.0 ",ROUND((AH71/AN71)*100,1))</f>
        <v>15.7</v>
      </c>
    </row>
    <row r="72" spans="1:42" ht="16.2" thickTop="1" x14ac:dyDescent="0.3">
      <c r="F72" s="32"/>
      <c r="H72" s="32"/>
      <c r="I72" s="32"/>
      <c r="J72" s="198"/>
      <c r="K72" s="198"/>
      <c r="L72" s="34"/>
      <c r="M72" s="34"/>
      <c r="N72" s="34"/>
      <c r="O72" s="34"/>
      <c r="P72" s="34"/>
      <c r="Q72" s="34"/>
      <c r="R72" s="34"/>
      <c r="T72" s="25"/>
      <c r="U72" s="25"/>
      <c r="V72" s="25"/>
      <c r="W72" s="25"/>
      <c r="X72" s="37"/>
      <c r="Y72" s="25"/>
      <c r="Z72" s="37"/>
      <c r="AA72" s="37"/>
      <c r="AB72" s="46"/>
      <c r="AC72" s="46"/>
      <c r="AD72" s="37"/>
      <c r="AE72" s="37"/>
      <c r="AF72" s="37"/>
      <c r="AG72" s="37"/>
      <c r="AH72" s="25"/>
      <c r="AI72" s="25"/>
      <c r="AJ72" s="25"/>
      <c r="AK72" s="25"/>
      <c r="AL72" s="25"/>
      <c r="AM72" s="25"/>
      <c r="AN72" s="25"/>
      <c r="AO72" s="25"/>
      <c r="AP72" s="56"/>
    </row>
    <row r="73" spans="1:42" x14ac:dyDescent="0.3">
      <c r="A73" s="22"/>
      <c r="C73" s="23"/>
      <c r="F73" s="32"/>
      <c r="H73" s="32"/>
      <c r="I73" s="32"/>
      <c r="J73" s="48"/>
      <c r="K73" s="48"/>
      <c r="L73" s="32"/>
      <c r="M73" s="32"/>
      <c r="N73" s="33"/>
      <c r="O73" s="33"/>
      <c r="P73" s="32"/>
      <c r="Q73" s="32"/>
      <c r="R73" s="32"/>
      <c r="T73" s="25"/>
      <c r="U73" s="25"/>
      <c r="V73" s="26"/>
      <c r="W73" s="25"/>
      <c r="X73" s="37"/>
      <c r="Y73" s="25"/>
      <c r="Z73" s="37"/>
      <c r="AA73" s="37"/>
      <c r="AB73" s="46"/>
      <c r="AC73" s="46"/>
      <c r="AD73" s="37"/>
      <c r="AE73" s="37"/>
      <c r="AF73" s="37"/>
      <c r="AG73" s="37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x14ac:dyDescent="0.3">
      <c r="F74" s="32"/>
      <c r="H74" s="32"/>
      <c r="I74" s="32"/>
      <c r="J74" s="198"/>
      <c r="K74" s="198"/>
      <c r="L74" s="34"/>
      <c r="M74" s="34"/>
      <c r="N74" s="34"/>
      <c r="O74" s="34"/>
      <c r="P74" s="34"/>
      <c r="Q74" s="34"/>
      <c r="R74" s="34"/>
      <c r="T74" s="25"/>
      <c r="U74" s="25"/>
      <c r="V74" s="27" t="s">
        <v>167</v>
      </c>
      <c r="W74" s="25"/>
      <c r="X74" s="37"/>
      <c r="Y74" s="25"/>
      <c r="Z74" s="37"/>
      <c r="AA74" s="37"/>
      <c r="AB74" s="46"/>
      <c r="AC74" s="46"/>
      <c r="AD74" s="37"/>
      <c r="AE74" s="37"/>
      <c r="AF74" s="37"/>
      <c r="AG74" s="37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x14ac:dyDescent="0.3">
      <c r="A75" s="22"/>
      <c r="C75" s="23"/>
      <c r="F75" s="32"/>
      <c r="H75" s="32"/>
      <c r="I75" s="32"/>
      <c r="J75" s="48"/>
      <c r="K75" s="48"/>
      <c r="L75" s="32"/>
      <c r="M75" s="32"/>
      <c r="N75" s="33"/>
      <c r="O75" s="33"/>
      <c r="P75" s="32"/>
      <c r="Q75" s="32"/>
      <c r="R75" s="32"/>
      <c r="T75" s="23"/>
      <c r="V75" s="27" t="str">
        <f>"(2) GCAT only applies to FT-L customers during the first 12 months after they switch from sales service.  Usage for this rider estimated at "&amp;TEXT(R37,"0%")</f>
        <v>(2) GCAT only applies to FT-L customers during the first 12 months after they switch from sales service.  Usage for this rider estimated at 5%</v>
      </c>
      <c r="X75" s="32"/>
      <c r="Y75" s="198"/>
      <c r="Z75" s="32"/>
      <c r="AA75" s="32"/>
      <c r="AB75" s="33"/>
      <c r="AC75" s="33"/>
      <c r="AD75" s="32"/>
      <c r="AE75" s="32"/>
      <c r="AF75" s="44"/>
      <c r="AG75" s="44"/>
      <c r="AH75" s="32"/>
      <c r="AI75" s="32"/>
      <c r="AJ75" s="32"/>
      <c r="AK75" s="32"/>
      <c r="AL75" s="33"/>
      <c r="AM75" s="33"/>
    </row>
    <row r="76" spans="1:42" x14ac:dyDescent="0.3">
      <c r="A76" s="22"/>
      <c r="C76" s="23"/>
      <c r="F76" s="195"/>
      <c r="H76" s="195"/>
      <c r="I76" s="195"/>
      <c r="J76" s="197"/>
      <c r="K76" s="197"/>
      <c r="L76" s="32"/>
      <c r="M76" s="32"/>
      <c r="N76" s="33"/>
      <c r="O76" s="33"/>
      <c r="P76" s="32"/>
      <c r="Q76" s="32"/>
      <c r="R76" s="32"/>
      <c r="V76" s="32"/>
      <c r="X76" s="34"/>
      <c r="Y76" s="198"/>
      <c r="Z76" s="34"/>
      <c r="AA76" s="34"/>
      <c r="AB76" s="34"/>
      <c r="AC76" s="34"/>
      <c r="AD76" s="34"/>
      <c r="AE76" s="34"/>
      <c r="AH76" s="34"/>
      <c r="AI76" s="34"/>
      <c r="AJ76" s="34"/>
      <c r="AK76" s="34"/>
      <c r="AL76" s="33"/>
      <c r="AM76" s="33"/>
    </row>
    <row r="77" spans="1:42" x14ac:dyDescent="0.3">
      <c r="F77" s="34"/>
      <c r="H77" s="34"/>
      <c r="I77" s="34"/>
      <c r="J77" s="198"/>
      <c r="K77" s="198"/>
      <c r="L77" s="34"/>
      <c r="M77" s="34"/>
      <c r="N77" s="34"/>
      <c r="O77" s="34"/>
      <c r="P77" s="34"/>
      <c r="Q77" s="34"/>
      <c r="R77" s="34"/>
      <c r="T77" s="23"/>
      <c r="V77" s="32"/>
      <c r="X77" s="32"/>
      <c r="Y77" s="198"/>
      <c r="Z77" s="32"/>
      <c r="AA77" s="32"/>
      <c r="AB77" s="32"/>
      <c r="AC77" s="32"/>
      <c r="AD77" s="32"/>
      <c r="AE77" s="32"/>
      <c r="AF77" s="44"/>
      <c r="AG77" s="44"/>
      <c r="AH77" s="32"/>
      <c r="AI77" s="32"/>
      <c r="AJ77" s="32"/>
      <c r="AK77" s="32"/>
      <c r="AL77" s="33"/>
      <c r="AM77" s="33"/>
    </row>
    <row r="78" spans="1:42" x14ac:dyDescent="0.3">
      <c r="A78" s="22"/>
      <c r="C78" s="23"/>
      <c r="F78" s="32"/>
      <c r="H78" s="32"/>
      <c r="I78" s="32"/>
      <c r="J78" s="198"/>
      <c r="K78" s="198"/>
      <c r="L78" s="32"/>
      <c r="M78" s="32"/>
      <c r="N78" s="33"/>
      <c r="O78" s="33"/>
      <c r="P78" s="32"/>
      <c r="Q78" s="32"/>
      <c r="R78" s="32"/>
      <c r="S78" s="32"/>
      <c r="T78" s="23"/>
      <c r="V78" s="32"/>
      <c r="X78" s="32"/>
      <c r="Y78" s="203"/>
      <c r="Z78" s="32"/>
      <c r="AA78" s="32"/>
      <c r="AB78" s="33"/>
      <c r="AC78" s="33"/>
      <c r="AD78" s="32"/>
      <c r="AE78" s="32"/>
      <c r="AF78" s="44"/>
      <c r="AG78" s="44"/>
      <c r="AH78" s="32"/>
      <c r="AI78" s="32"/>
      <c r="AJ78" s="32"/>
      <c r="AK78" s="32"/>
      <c r="AL78" s="33"/>
      <c r="AM78" s="33"/>
    </row>
    <row r="79" spans="1:42" x14ac:dyDescent="0.3">
      <c r="F79" s="34"/>
      <c r="H79" s="34"/>
      <c r="I79" s="34"/>
      <c r="J79" s="198"/>
      <c r="K79" s="198"/>
      <c r="L79" s="34"/>
      <c r="M79" s="34"/>
      <c r="N79" s="34"/>
      <c r="O79" s="34"/>
      <c r="P79" s="34"/>
      <c r="Q79" s="34"/>
      <c r="R79" s="34"/>
      <c r="S79" s="32"/>
      <c r="T79" s="23"/>
      <c r="X79" s="32"/>
      <c r="Y79" s="203"/>
      <c r="Z79" s="32"/>
      <c r="AA79" s="32"/>
      <c r="AB79" s="33"/>
      <c r="AC79" s="33"/>
      <c r="AD79" s="32"/>
      <c r="AE79" s="32"/>
      <c r="AF79" s="44"/>
      <c r="AG79" s="44"/>
      <c r="AH79" s="32"/>
      <c r="AI79" s="32"/>
      <c r="AJ79" s="32"/>
      <c r="AK79" s="32"/>
      <c r="AL79" s="33"/>
      <c r="AM79" s="33"/>
    </row>
    <row r="80" spans="1:42" x14ac:dyDescent="0.3">
      <c r="A80" s="22"/>
      <c r="C80" s="23"/>
      <c r="V80" s="32"/>
      <c r="X80" s="32"/>
      <c r="Y80" s="198"/>
      <c r="Z80" s="34"/>
      <c r="AA80" s="34"/>
      <c r="AB80" s="34"/>
      <c r="AC80" s="34"/>
      <c r="AD80" s="34"/>
      <c r="AE80" s="34"/>
      <c r="AH80" s="34"/>
      <c r="AI80" s="34"/>
      <c r="AJ80" s="34"/>
      <c r="AK80" s="34"/>
      <c r="AL80" s="33"/>
      <c r="AM80" s="33"/>
    </row>
    <row r="81" spans="1:39" x14ac:dyDescent="0.3">
      <c r="A81" s="22"/>
      <c r="C81" s="23"/>
      <c r="F81" s="32"/>
      <c r="H81" s="32"/>
      <c r="I81" s="32"/>
      <c r="L81" s="32"/>
      <c r="M81" s="32"/>
      <c r="N81" s="33"/>
      <c r="O81" s="33"/>
      <c r="P81" s="195"/>
      <c r="Q81" s="195"/>
      <c r="R81" s="32"/>
      <c r="T81" s="23"/>
      <c r="V81" s="32"/>
      <c r="X81" s="32"/>
      <c r="Y81" s="48"/>
      <c r="Z81" s="32"/>
      <c r="AA81" s="32"/>
      <c r="AB81" s="33"/>
      <c r="AC81" s="33"/>
      <c r="AD81" s="32"/>
      <c r="AE81" s="32"/>
      <c r="AF81" s="44"/>
      <c r="AG81" s="44"/>
      <c r="AH81" s="32"/>
      <c r="AI81" s="32"/>
      <c r="AJ81" s="32"/>
      <c r="AK81" s="32"/>
      <c r="AL81" s="33"/>
      <c r="AM81" s="33"/>
    </row>
    <row r="82" spans="1:39" x14ac:dyDescent="0.3">
      <c r="F82" s="34"/>
      <c r="H82" s="34"/>
      <c r="I82" s="34"/>
      <c r="J82" s="198"/>
      <c r="K82" s="198"/>
      <c r="L82" s="34"/>
      <c r="M82" s="34"/>
      <c r="N82" s="34"/>
      <c r="O82" s="34"/>
      <c r="P82" s="34"/>
      <c r="Q82" s="34"/>
      <c r="R82" s="34"/>
      <c r="V82" s="32"/>
      <c r="X82" s="32"/>
      <c r="Y82" s="198"/>
      <c r="Z82" s="34"/>
      <c r="AA82" s="34"/>
      <c r="AB82" s="34"/>
      <c r="AC82" s="34"/>
      <c r="AD82" s="34"/>
      <c r="AE82" s="34"/>
      <c r="AH82" s="34"/>
      <c r="AI82" s="34"/>
      <c r="AJ82" s="34"/>
      <c r="AK82" s="34"/>
      <c r="AL82" s="33"/>
      <c r="AM82" s="33"/>
    </row>
    <row r="83" spans="1:39" x14ac:dyDescent="0.3">
      <c r="T83" s="23"/>
      <c r="V83" s="32"/>
      <c r="X83" s="32"/>
      <c r="Y83" s="48"/>
      <c r="Z83" s="32"/>
      <c r="AA83" s="32"/>
      <c r="AB83" s="33"/>
      <c r="AC83" s="33"/>
      <c r="AD83" s="32"/>
      <c r="AE83" s="32"/>
      <c r="AF83" s="44"/>
      <c r="AG83" s="44"/>
      <c r="AH83" s="32"/>
      <c r="AI83" s="32"/>
      <c r="AJ83" s="32"/>
      <c r="AK83" s="32"/>
      <c r="AL83" s="33"/>
      <c r="AM83" s="33"/>
    </row>
    <row r="84" spans="1:39" x14ac:dyDescent="0.3">
      <c r="C84" s="23"/>
      <c r="L84" s="32"/>
      <c r="M84" s="32"/>
      <c r="N84" s="32"/>
      <c r="O84" s="32"/>
      <c r="P84" s="32"/>
      <c r="Q84" s="32"/>
      <c r="R84" s="32"/>
      <c r="S84" s="32"/>
      <c r="T84" s="23"/>
      <c r="V84" s="195"/>
      <c r="X84" s="32"/>
      <c r="Y84" s="197"/>
      <c r="Z84" s="32"/>
      <c r="AA84" s="32"/>
      <c r="AB84" s="33"/>
      <c r="AC84" s="33"/>
      <c r="AD84" s="32"/>
      <c r="AE84" s="32"/>
      <c r="AF84" s="44"/>
      <c r="AG84" s="44"/>
      <c r="AH84" s="32"/>
      <c r="AI84" s="32"/>
      <c r="AJ84" s="32"/>
      <c r="AK84" s="32"/>
      <c r="AL84" s="33"/>
      <c r="AM84" s="33"/>
    </row>
    <row r="85" spans="1:39" x14ac:dyDescent="0.3">
      <c r="A85" s="23"/>
      <c r="V85" s="34"/>
      <c r="X85" s="34"/>
      <c r="Y85" s="198"/>
      <c r="Z85" s="34"/>
      <c r="AA85" s="34"/>
      <c r="AB85" s="34"/>
      <c r="AC85" s="34"/>
      <c r="AD85" s="34"/>
      <c r="AE85" s="34"/>
      <c r="AH85" s="34"/>
      <c r="AI85" s="34"/>
      <c r="AJ85" s="34"/>
      <c r="AK85" s="34"/>
      <c r="AL85" s="33"/>
      <c r="AM85" s="33"/>
    </row>
    <row r="86" spans="1:39" x14ac:dyDescent="0.3">
      <c r="J86" s="22"/>
      <c r="K86" s="22"/>
      <c r="T86" s="23"/>
      <c r="V86" s="32"/>
      <c r="X86" s="32"/>
      <c r="Y86" s="198"/>
      <c r="Z86" s="32"/>
      <c r="AA86" s="32"/>
      <c r="AB86" s="33"/>
      <c r="AC86" s="33"/>
      <c r="AD86" s="32"/>
      <c r="AE86" s="32"/>
      <c r="AF86" s="33"/>
      <c r="AG86" s="33"/>
      <c r="AH86" s="32"/>
      <c r="AI86" s="32"/>
      <c r="AJ86" s="32"/>
      <c r="AK86" s="32"/>
      <c r="AL86" s="33"/>
      <c r="AM86" s="33"/>
    </row>
    <row r="87" spans="1:39" x14ac:dyDescent="0.3">
      <c r="H87" s="23"/>
      <c r="I87" s="23"/>
      <c r="V87" s="34"/>
      <c r="X87" s="34"/>
      <c r="Y87" s="198"/>
      <c r="Z87" s="34"/>
      <c r="AA87" s="34"/>
      <c r="AB87" s="34"/>
      <c r="AC87" s="34"/>
      <c r="AD87" s="34"/>
      <c r="AE87" s="34"/>
      <c r="AH87" s="34"/>
      <c r="AI87" s="34"/>
      <c r="AJ87" s="34"/>
      <c r="AK87" s="34"/>
      <c r="AL87" s="33"/>
      <c r="AM87" s="33"/>
    </row>
    <row r="88" spans="1:39" x14ac:dyDescent="0.3">
      <c r="J88" s="22"/>
      <c r="K88" s="22"/>
      <c r="T88" s="23"/>
    </row>
    <row r="89" spans="1:39" x14ac:dyDescent="0.3">
      <c r="L89" s="23"/>
      <c r="M89" s="23"/>
      <c r="Z89" s="23"/>
      <c r="AA89" s="23"/>
    </row>
    <row r="90" spans="1:39" x14ac:dyDescent="0.3">
      <c r="A90" s="22"/>
      <c r="R90" s="23"/>
      <c r="AJ90" s="23"/>
      <c r="AK90" s="23"/>
    </row>
    <row r="91" spans="1:39" x14ac:dyDescent="0.3">
      <c r="A91" s="22"/>
      <c r="R91" s="23"/>
      <c r="AJ91" s="23"/>
      <c r="AK91" s="23"/>
    </row>
    <row r="92" spans="1:39" x14ac:dyDescent="0.3">
      <c r="A92" s="23"/>
      <c r="R92" s="23"/>
      <c r="AJ92" s="23"/>
      <c r="AK92" s="23"/>
    </row>
    <row r="93" spans="1:39" x14ac:dyDescent="0.3">
      <c r="L93" s="23"/>
      <c r="M93" s="23"/>
      <c r="R93" s="22"/>
      <c r="Z93" s="23"/>
      <c r="AA93" s="23"/>
      <c r="AJ93" s="22"/>
      <c r="AK93" s="22"/>
    </row>
    <row r="94" spans="1:39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x14ac:dyDescent="0.3">
      <c r="L95" s="30"/>
      <c r="M95" s="30"/>
      <c r="N95" s="30"/>
      <c r="O95" s="30"/>
      <c r="R95" s="30"/>
      <c r="Z95" s="30"/>
      <c r="AA95" s="30"/>
      <c r="AB95" s="30"/>
      <c r="AC95" s="30"/>
      <c r="AD95" s="30"/>
      <c r="AE95" s="30"/>
      <c r="AF95" s="30"/>
      <c r="AG95" s="30"/>
      <c r="AJ95" s="30"/>
      <c r="AK95" s="30"/>
      <c r="AL95" s="30"/>
      <c r="AM95" s="30"/>
    </row>
    <row r="96" spans="1:39" x14ac:dyDescent="0.3">
      <c r="L96" s="30"/>
      <c r="M96" s="30"/>
      <c r="N96" s="30"/>
      <c r="O96" s="30"/>
      <c r="R96" s="30"/>
      <c r="Y96" s="30"/>
      <c r="Z96" s="30"/>
      <c r="AA96" s="30"/>
      <c r="AB96" s="30"/>
      <c r="AC96" s="30"/>
      <c r="AD96" s="30"/>
      <c r="AE96" s="30"/>
      <c r="AF96" s="30"/>
      <c r="AG96" s="30"/>
      <c r="AJ96" s="30"/>
      <c r="AK96" s="30"/>
      <c r="AL96" s="30"/>
      <c r="AM96" s="30"/>
    </row>
    <row r="97" spans="1:39" x14ac:dyDescent="0.3">
      <c r="A97" s="30"/>
      <c r="C97" s="30"/>
      <c r="D97" s="30"/>
      <c r="E97" s="30"/>
      <c r="F97" s="30"/>
      <c r="J97" s="30"/>
      <c r="K97" s="30"/>
      <c r="L97" s="30"/>
      <c r="M97" s="30"/>
      <c r="N97" s="30"/>
      <c r="O97" s="30"/>
      <c r="P97" s="30"/>
      <c r="Q97" s="30"/>
      <c r="R97" s="30"/>
      <c r="T97" s="30"/>
      <c r="U97" s="30"/>
      <c r="V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x14ac:dyDescent="0.3">
      <c r="A98" s="30"/>
      <c r="C98" s="30"/>
      <c r="D98" s="30"/>
      <c r="E98" s="30"/>
      <c r="F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T98" s="30"/>
      <c r="U98" s="30"/>
      <c r="V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x14ac:dyDescent="0.3">
      <c r="C99" s="30"/>
      <c r="D99" s="30"/>
      <c r="E99" s="30"/>
      <c r="F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T99" s="30"/>
      <c r="U99" s="30"/>
      <c r="V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:39" x14ac:dyDescent="0.3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x14ac:dyDescent="0.3">
      <c r="A102" s="22"/>
      <c r="C102" s="23"/>
      <c r="D102" s="23"/>
      <c r="E102" s="23"/>
      <c r="T102" s="23"/>
      <c r="U102" s="23"/>
    </row>
    <row r="103" spans="1:39" x14ac:dyDescent="0.3">
      <c r="A103" s="22"/>
      <c r="D103" s="23"/>
      <c r="E103" s="23"/>
      <c r="U103" s="23"/>
    </row>
    <row r="105" spans="1:39" x14ac:dyDescent="0.3">
      <c r="A105" s="22"/>
      <c r="C105" s="23"/>
      <c r="F105" s="195"/>
      <c r="H105" s="195"/>
      <c r="I105" s="195"/>
      <c r="J105" s="119"/>
      <c r="K105" s="119"/>
      <c r="L105" s="32"/>
      <c r="M105" s="32"/>
      <c r="N105" s="33"/>
      <c r="O105" s="33"/>
      <c r="R105" s="32"/>
      <c r="T105" s="23"/>
      <c r="V105" s="32"/>
      <c r="X105" s="195"/>
      <c r="Y105" s="119"/>
      <c r="Z105" s="32"/>
      <c r="AA105" s="32"/>
      <c r="AB105" s="33"/>
      <c r="AC105" s="33"/>
      <c r="AD105" s="32"/>
      <c r="AE105" s="32"/>
      <c r="AF105" s="204"/>
      <c r="AG105" s="204"/>
      <c r="AJ105" s="32"/>
      <c r="AK105" s="32"/>
      <c r="AL105" s="208"/>
      <c r="AM105" s="208"/>
    </row>
    <row r="106" spans="1:39" x14ac:dyDescent="0.3">
      <c r="A106" s="22"/>
      <c r="C106" s="23"/>
      <c r="F106" s="195"/>
      <c r="H106" s="195"/>
      <c r="I106" s="195"/>
      <c r="J106" s="119"/>
      <c r="K106" s="119"/>
      <c r="L106" s="32"/>
      <c r="M106" s="32"/>
      <c r="N106" s="33"/>
      <c r="O106" s="33"/>
      <c r="P106" s="22"/>
      <c r="Q106" s="22"/>
      <c r="R106" s="32"/>
      <c r="T106" s="23"/>
      <c r="V106" s="32"/>
      <c r="X106" s="195"/>
      <c r="Y106" s="119"/>
      <c r="Z106" s="32"/>
      <c r="AA106" s="32"/>
      <c r="AB106" s="33"/>
      <c r="AC106" s="33"/>
      <c r="AD106" s="32"/>
      <c r="AE106" s="32"/>
      <c r="AF106" s="44"/>
      <c r="AG106" s="44"/>
      <c r="AH106" s="22"/>
      <c r="AI106" s="22"/>
      <c r="AJ106" s="32"/>
      <c r="AK106" s="32"/>
      <c r="AL106" s="33"/>
      <c r="AM106" s="33"/>
    </row>
    <row r="107" spans="1:39" x14ac:dyDescent="0.3">
      <c r="F107" s="34"/>
      <c r="H107" s="32"/>
      <c r="I107" s="32"/>
      <c r="J107" s="198"/>
      <c r="K107" s="198"/>
      <c r="L107" s="34"/>
      <c r="M107" s="34"/>
      <c r="N107" s="34"/>
      <c r="O107" s="34"/>
      <c r="P107" s="34"/>
      <c r="Q107" s="34"/>
      <c r="R107" s="34"/>
      <c r="V107" s="34"/>
      <c r="X107" s="32"/>
      <c r="Y107" s="198"/>
      <c r="Z107" s="34"/>
      <c r="AA107" s="34"/>
      <c r="AB107" s="34"/>
      <c r="AC107" s="34"/>
      <c r="AD107" s="34"/>
      <c r="AE107" s="34"/>
      <c r="AH107" s="34"/>
      <c r="AI107" s="34"/>
      <c r="AJ107" s="34"/>
      <c r="AK107" s="34"/>
      <c r="AL107" s="33"/>
      <c r="AM107" s="33"/>
    </row>
    <row r="108" spans="1:39" x14ac:dyDescent="0.3">
      <c r="A108" s="22"/>
      <c r="C108" s="23"/>
      <c r="F108" s="32"/>
      <c r="H108" s="32"/>
      <c r="I108" s="32"/>
      <c r="J108" s="198"/>
      <c r="K108" s="198"/>
      <c r="L108" s="32"/>
      <c r="M108" s="32"/>
      <c r="N108" s="33"/>
      <c r="O108" s="33"/>
      <c r="P108" s="32"/>
      <c r="Q108" s="32"/>
      <c r="R108" s="32"/>
      <c r="T108" s="23"/>
      <c r="V108" s="32"/>
      <c r="X108" s="32"/>
      <c r="Y108" s="48"/>
      <c r="Z108" s="32"/>
      <c r="AA108" s="32"/>
      <c r="AB108" s="33"/>
      <c r="AC108" s="33"/>
      <c r="AD108" s="32"/>
      <c r="AE108" s="32"/>
      <c r="AF108" s="44"/>
      <c r="AG108" s="44"/>
      <c r="AH108" s="32"/>
      <c r="AI108" s="32"/>
      <c r="AJ108" s="32"/>
      <c r="AK108" s="32"/>
      <c r="AL108" s="33"/>
      <c r="AM108" s="33"/>
    </row>
    <row r="109" spans="1:39" x14ac:dyDescent="0.3">
      <c r="F109" s="34"/>
      <c r="H109" s="32"/>
      <c r="I109" s="32"/>
      <c r="J109" s="198"/>
      <c r="K109" s="198"/>
      <c r="L109" s="34"/>
      <c r="M109" s="34"/>
      <c r="N109" s="34"/>
      <c r="O109" s="34"/>
      <c r="P109" s="34"/>
      <c r="Q109" s="34"/>
      <c r="R109" s="34"/>
      <c r="V109" s="34"/>
      <c r="X109" s="32"/>
      <c r="Y109" s="198"/>
      <c r="Z109" s="34"/>
      <c r="AA109" s="34"/>
      <c r="AB109" s="34"/>
      <c r="AC109" s="34"/>
      <c r="AD109" s="34"/>
      <c r="AE109" s="34"/>
      <c r="AH109" s="34"/>
      <c r="AI109" s="34"/>
      <c r="AJ109" s="34"/>
      <c r="AK109" s="34"/>
      <c r="AL109" s="33"/>
      <c r="AM109" s="33"/>
    </row>
    <row r="110" spans="1:39" x14ac:dyDescent="0.3">
      <c r="F110" s="32"/>
      <c r="H110" s="32"/>
      <c r="I110" s="32"/>
      <c r="J110" s="198"/>
      <c r="K110" s="198"/>
      <c r="L110" s="32"/>
      <c r="M110" s="32"/>
      <c r="N110" s="33"/>
      <c r="O110" s="33"/>
      <c r="P110" s="32"/>
      <c r="Q110" s="32"/>
      <c r="R110" s="32"/>
      <c r="V110" s="32"/>
      <c r="X110" s="32"/>
      <c r="Y110" s="48"/>
      <c r="Z110" s="32"/>
      <c r="AA110" s="32"/>
      <c r="AB110" s="33"/>
      <c r="AC110" s="33"/>
      <c r="AD110" s="32"/>
      <c r="AE110" s="32"/>
      <c r="AF110" s="44"/>
      <c r="AG110" s="44"/>
      <c r="AH110" s="32"/>
      <c r="AI110" s="32"/>
      <c r="AJ110" s="32"/>
      <c r="AK110" s="32"/>
      <c r="AL110" s="33"/>
      <c r="AM110" s="33"/>
    </row>
    <row r="111" spans="1:39" x14ac:dyDescent="0.3">
      <c r="A111" s="22"/>
      <c r="C111" s="23"/>
      <c r="F111" s="195"/>
      <c r="H111" s="195"/>
      <c r="I111" s="195"/>
      <c r="J111" s="119"/>
      <c r="K111" s="119"/>
      <c r="L111" s="32"/>
      <c r="M111" s="32"/>
      <c r="N111" s="33"/>
      <c r="O111" s="33"/>
      <c r="P111" s="32"/>
      <c r="Q111" s="32"/>
      <c r="R111" s="32"/>
      <c r="T111" s="23"/>
      <c r="V111" s="195"/>
      <c r="X111" s="32"/>
      <c r="Y111" s="119"/>
      <c r="Z111" s="32"/>
      <c r="AA111" s="32"/>
      <c r="AB111" s="33"/>
      <c r="AC111" s="33"/>
      <c r="AD111" s="32"/>
      <c r="AE111" s="32"/>
      <c r="AF111" s="204"/>
      <c r="AG111" s="204"/>
      <c r="AH111" s="32"/>
      <c r="AI111" s="32"/>
      <c r="AJ111" s="32"/>
      <c r="AK111" s="32"/>
      <c r="AL111" s="208"/>
      <c r="AM111" s="208"/>
    </row>
    <row r="112" spans="1:39" x14ac:dyDescent="0.3">
      <c r="A112" s="22"/>
      <c r="C112" s="23"/>
      <c r="F112" s="195"/>
      <c r="H112" s="195"/>
      <c r="I112" s="195"/>
      <c r="J112" s="119"/>
      <c r="K112" s="119"/>
      <c r="L112" s="32"/>
      <c r="M112" s="32"/>
      <c r="N112" s="33"/>
      <c r="O112" s="33"/>
      <c r="P112" s="32"/>
      <c r="Q112" s="32"/>
      <c r="R112" s="32"/>
      <c r="T112" s="23"/>
      <c r="V112" s="195"/>
      <c r="X112" s="32"/>
      <c r="Y112" s="119"/>
      <c r="Z112" s="32"/>
      <c r="AA112" s="32"/>
      <c r="AB112" s="33"/>
      <c r="AC112" s="33"/>
      <c r="AD112" s="32"/>
      <c r="AE112" s="32"/>
      <c r="AF112" s="44"/>
      <c r="AG112" s="44"/>
      <c r="AH112" s="32"/>
      <c r="AI112" s="32"/>
      <c r="AJ112" s="32"/>
      <c r="AK112" s="32"/>
      <c r="AL112" s="33"/>
      <c r="AM112" s="33"/>
    </row>
    <row r="113" spans="1:39" x14ac:dyDescent="0.3">
      <c r="F113" s="32"/>
      <c r="H113" s="34"/>
      <c r="I113" s="34"/>
      <c r="J113" s="198"/>
      <c r="K113" s="198"/>
      <c r="L113" s="34"/>
      <c r="M113" s="34"/>
      <c r="N113" s="34"/>
      <c r="O113" s="34"/>
      <c r="P113" s="34"/>
      <c r="Q113" s="34"/>
      <c r="R113" s="34"/>
      <c r="V113" s="32"/>
      <c r="X113" s="34"/>
      <c r="Y113" s="198"/>
      <c r="Z113" s="34"/>
      <c r="AA113" s="34"/>
      <c r="AB113" s="34"/>
      <c r="AC113" s="34"/>
      <c r="AD113" s="34"/>
      <c r="AE113" s="34"/>
      <c r="AH113" s="34"/>
      <c r="AI113" s="34"/>
      <c r="AJ113" s="34"/>
      <c r="AK113" s="34"/>
      <c r="AL113" s="33"/>
      <c r="AM113" s="33"/>
    </row>
    <row r="114" spans="1:39" x14ac:dyDescent="0.3">
      <c r="A114" s="22"/>
      <c r="C114" s="23"/>
      <c r="F114" s="32"/>
      <c r="H114" s="32"/>
      <c r="I114" s="32"/>
      <c r="J114" s="198"/>
      <c r="K114" s="198"/>
      <c r="L114" s="32"/>
      <c r="M114" s="32"/>
      <c r="N114" s="33"/>
      <c r="O114" s="33"/>
      <c r="P114" s="32"/>
      <c r="Q114" s="32"/>
      <c r="R114" s="32"/>
      <c r="T114" s="23"/>
      <c r="V114" s="32"/>
      <c r="X114" s="32"/>
      <c r="Y114" s="198"/>
      <c r="Z114" s="32"/>
      <c r="AA114" s="32"/>
      <c r="AB114" s="33"/>
      <c r="AC114" s="33"/>
      <c r="AD114" s="32"/>
      <c r="AE114" s="32"/>
      <c r="AF114" s="44"/>
      <c r="AG114" s="44"/>
      <c r="AH114" s="32"/>
      <c r="AI114" s="32"/>
      <c r="AJ114" s="32"/>
      <c r="AK114" s="32"/>
      <c r="AL114" s="33"/>
      <c r="AM114" s="33"/>
    </row>
    <row r="115" spans="1:39" x14ac:dyDescent="0.3">
      <c r="F115" s="32"/>
      <c r="H115" s="34"/>
      <c r="I115" s="34"/>
      <c r="J115" s="198"/>
      <c r="K115" s="198"/>
      <c r="L115" s="34"/>
      <c r="M115" s="34"/>
      <c r="N115" s="34"/>
      <c r="O115" s="34"/>
      <c r="P115" s="34"/>
      <c r="Q115" s="34"/>
      <c r="R115" s="34"/>
      <c r="V115" s="32"/>
      <c r="X115" s="34"/>
      <c r="Y115" s="198"/>
      <c r="Z115" s="34"/>
      <c r="AA115" s="34"/>
      <c r="AB115" s="34"/>
      <c r="AC115" s="34"/>
      <c r="AD115" s="34"/>
      <c r="AE115" s="34"/>
      <c r="AH115" s="34"/>
      <c r="AI115" s="34"/>
      <c r="AJ115" s="34"/>
      <c r="AK115" s="34"/>
      <c r="AL115" s="33"/>
      <c r="AM115" s="33"/>
    </row>
    <row r="116" spans="1:39" x14ac:dyDescent="0.3">
      <c r="F116" s="32"/>
      <c r="H116" s="32"/>
      <c r="I116" s="32"/>
      <c r="J116" s="198"/>
      <c r="K116" s="198"/>
      <c r="L116" s="32"/>
      <c r="M116" s="32"/>
      <c r="N116" s="32"/>
      <c r="O116" s="32"/>
      <c r="P116" s="32"/>
      <c r="Q116" s="32"/>
      <c r="R116" s="32"/>
      <c r="V116" s="32"/>
      <c r="X116" s="32"/>
      <c r="Y116" s="198"/>
      <c r="Z116" s="32"/>
      <c r="AA116" s="32"/>
      <c r="AB116" s="32"/>
      <c r="AC116" s="32"/>
      <c r="AD116" s="32"/>
      <c r="AE116" s="32"/>
      <c r="AF116" s="44"/>
      <c r="AG116" s="44"/>
      <c r="AH116" s="32"/>
      <c r="AI116" s="32"/>
      <c r="AJ116" s="32"/>
      <c r="AK116" s="32"/>
      <c r="AL116" s="33"/>
      <c r="AM116" s="33"/>
    </row>
    <row r="117" spans="1:39" x14ac:dyDescent="0.3">
      <c r="A117" s="22"/>
      <c r="C117" s="23"/>
      <c r="F117" s="195"/>
      <c r="H117" s="195"/>
      <c r="I117" s="195"/>
      <c r="J117" s="197"/>
      <c r="K117" s="197"/>
      <c r="L117" s="32"/>
      <c r="M117" s="32"/>
      <c r="N117" s="33"/>
      <c r="O117" s="33"/>
      <c r="P117" s="195"/>
      <c r="Q117" s="195"/>
      <c r="R117" s="32"/>
      <c r="T117" s="23"/>
      <c r="V117" s="195"/>
      <c r="X117" s="195"/>
      <c r="Y117" s="206"/>
      <c r="Z117" s="32"/>
      <c r="AA117" s="32"/>
      <c r="AB117" s="33"/>
      <c r="AC117" s="33"/>
      <c r="AD117" s="32"/>
      <c r="AE117" s="32"/>
      <c r="AF117" s="44"/>
      <c r="AG117" s="44"/>
      <c r="AH117" s="195"/>
      <c r="AI117" s="195"/>
      <c r="AJ117" s="32"/>
      <c r="AK117" s="32"/>
      <c r="AL117" s="33"/>
      <c r="AM117" s="33"/>
    </row>
    <row r="118" spans="1:39" x14ac:dyDescent="0.3">
      <c r="A118" s="22"/>
      <c r="C118" s="23"/>
      <c r="F118" s="195"/>
      <c r="H118" s="195"/>
      <c r="I118" s="195"/>
      <c r="J118" s="197"/>
      <c r="K118" s="197"/>
      <c r="L118" s="32"/>
      <c r="M118" s="32"/>
      <c r="N118" s="33"/>
      <c r="O118" s="33"/>
      <c r="P118" s="195"/>
      <c r="Q118" s="195"/>
      <c r="R118" s="32"/>
      <c r="T118" s="23"/>
      <c r="V118" s="195"/>
      <c r="X118" s="32"/>
      <c r="Y118" s="200"/>
      <c r="Z118" s="32"/>
      <c r="AA118" s="32"/>
      <c r="AB118" s="33"/>
      <c r="AC118" s="33"/>
      <c r="AD118" s="32"/>
      <c r="AE118" s="32"/>
      <c r="AF118" s="44"/>
      <c r="AG118" s="44"/>
      <c r="AH118" s="195"/>
      <c r="AI118" s="195"/>
      <c r="AJ118" s="32"/>
      <c r="AK118" s="32"/>
      <c r="AL118" s="33"/>
      <c r="AM118" s="33"/>
    </row>
    <row r="119" spans="1:39" x14ac:dyDescent="0.3">
      <c r="A119" s="22"/>
      <c r="C119" s="23"/>
      <c r="F119" s="195"/>
      <c r="H119" s="195"/>
      <c r="I119" s="195"/>
      <c r="J119" s="197"/>
      <c r="K119" s="197"/>
      <c r="L119" s="32"/>
      <c r="M119" s="32"/>
      <c r="N119" s="33"/>
      <c r="O119" s="33"/>
      <c r="P119" s="195"/>
      <c r="Q119" s="195"/>
      <c r="R119" s="32"/>
      <c r="T119" s="23"/>
      <c r="V119" s="195"/>
      <c r="X119" s="32"/>
      <c r="Y119" s="200"/>
      <c r="Z119" s="32"/>
      <c r="AA119" s="32"/>
      <c r="AB119" s="33"/>
      <c r="AC119" s="33"/>
      <c r="AD119" s="32"/>
      <c r="AE119" s="32"/>
      <c r="AF119" s="44"/>
      <c r="AG119" s="44"/>
      <c r="AH119" s="195"/>
      <c r="AI119" s="195"/>
      <c r="AJ119" s="32"/>
      <c r="AK119" s="32"/>
      <c r="AL119" s="33"/>
      <c r="AM119" s="33"/>
    </row>
    <row r="120" spans="1:39" x14ac:dyDescent="0.3">
      <c r="F120" s="34"/>
      <c r="H120" s="34"/>
      <c r="I120" s="34"/>
      <c r="J120" s="198"/>
      <c r="K120" s="198"/>
      <c r="L120" s="34"/>
      <c r="M120" s="34"/>
      <c r="N120" s="34"/>
      <c r="O120" s="34"/>
      <c r="P120" s="34"/>
      <c r="Q120" s="34"/>
      <c r="R120" s="34"/>
      <c r="V120" s="34"/>
      <c r="X120" s="34"/>
      <c r="Y120" s="198"/>
      <c r="Z120" s="34"/>
      <c r="AA120" s="34"/>
      <c r="AB120" s="34"/>
      <c r="AC120" s="34"/>
      <c r="AD120" s="34"/>
      <c r="AE120" s="34"/>
      <c r="AH120" s="34"/>
      <c r="AI120" s="34"/>
      <c r="AJ120" s="34"/>
      <c r="AK120" s="34"/>
      <c r="AL120" s="33"/>
      <c r="AM120" s="33"/>
    </row>
    <row r="121" spans="1:39" x14ac:dyDescent="0.3">
      <c r="A121" s="22"/>
      <c r="C121" s="23"/>
      <c r="F121" s="32"/>
      <c r="H121" s="32"/>
      <c r="I121" s="32"/>
      <c r="J121" s="48"/>
      <c r="K121" s="48"/>
      <c r="L121" s="32"/>
      <c r="M121" s="32"/>
      <c r="N121" s="33"/>
      <c r="O121" s="33"/>
      <c r="P121" s="32"/>
      <c r="Q121" s="32"/>
      <c r="R121" s="32"/>
      <c r="T121" s="23"/>
      <c r="V121" s="32"/>
      <c r="X121" s="32"/>
      <c r="Y121" s="48"/>
      <c r="Z121" s="32"/>
      <c r="AA121" s="32"/>
      <c r="AB121" s="33"/>
      <c r="AC121" s="33"/>
      <c r="AD121" s="32"/>
      <c r="AE121" s="32"/>
      <c r="AF121" s="44"/>
      <c r="AG121" s="44"/>
      <c r="AH121" s="32"/>
      <c r="AI121" s="32"/>
      <c r="AJ121" s="32"/>
      <c r="AK121" s="32"/>
      <c r="AL121" s="33"/>
      <c r="AM121" s="33"/>
    </row>
    <row r="122" spans="1:39" x14ac:dyDescent="0.3">
      <c r="F122" s="34"/>
      <c r="H122" s="34"/>
      <c r="I122" s="34"/>
      <c r="J122" s="198"/>
      <c r="K122" s="198"/>
      <c r="L122" s="34"/>
      <c r="M122" s="34"/>
      <c r="N122" s="34"/>
      <c r="O122" s="34"/>
      <c r="P122" s="34"/>
      <c r="Q122" s="34"/>
      <c r="R122" s="34"/>
      <c r="V122" s="34"/>
      <c r="X122" s="34"/>
      <c r="Y122" s="198"/>
      <c r="Z122" s="34"/>
      <c r="AA122" s="34"/>
      <c r="AB122" s="34"/>
      <c r="AC122" s="34"/>
      <c r="AD122" s="34"/>
      <c r="AE122" s="34"/>
      <c r="AH122" s="34"/>
      <c r="AI122" s="34"/>
      <c r="AJ122" s="34"/>
      <c r="AK122" s="34"/>
      <c r="AL122" s="33"/>
      <c r="AM122" s="33"/>
    </row>
    <row r="123" spans="1:39" x14ac:dyDescent="0.3">
      <c r="A123" s="22"/>
      <c r="C123" s="23"/>
      <c r="F123" s="32"/>
      <c r="H123" s="32"/>
      <c r="I123" s="32"/>
      <c r="J123" s="48"/>
      <c r="K123" s="48"/>
      <c r="L123" s="32"/>
      <c r="M123" s="32"/>
      <c r="N123" s="33"/>
      <c r="O123" s="33"/>
      <c r="P123" s="32"/>
      <c r="Q123" s="32"/>
      <c r="R123" s="32"/>
      <c r="T123" s="23"/>
      <c r="V123" s="32"/>
      <c r="X123" s="32"/>
      <c r="Y123" s="48"/>
      <c r="Z123" s="32"/>
      <c r="AA123" s="32"/>
      <c r="AB123" s="33"/>
      <c r="AC123" s="33"/>
      <c r="AD123" s="32"/>
      <c r="AE123" s="32"/>
      <c r="AF123" s="44"/>
      <c r="AG123" s="44"/>
      <c r="AH123" s="32"/>
      <c r="AI123" s="32"/>
      <c r="AJ123" s="32"/>
      <c r="AK123" s="32"/>
      <c r="AL123" s="33"/>
      <c r="AM123" s="33"/>
    </row>
    <row r="124" spans="1:39" x14ac:dyDescent="0.3">
      <c r="A124" s="22"/>
      <c r="C124" s="23"/>
      <c r="F124" s="32"/>
      <c r="H124" s="32"/>
      <c r="I124" s="32"/>
      <c r="J124" s="48"/>
      <c r="K124" s="48"/>
      <c r="L124" s="32"/>
      <c r="M124" s="32"/>
      <c r="N124" s="33"/>
      <c r="O124" s="33"/>
      <c r="P124" s="32"/>
      <c r="Q124" s="32"/>
      <c r="R124" s="32"/>
      <c r="T124" s="23"/>
      <c r="V124" s="32"/>
      <c r="X124" s="32"/>
      <c r="Y124" s="48"/>
      <c r="Z124" s="32"/>
      <c r="AA124" s="32"/>
      <c r="AB124" s="33"/>
      <c r="AC124" s="33"/>
      <c r="AD124" s="32"/>
      <c r="AE124" s="32"/>
      <c r="AF124" s="44"/>
      <c r="AG124" s="44"/>
      <c r="AH124" s="32"/>
      <c r="AI124" s="32"/>
      <c r="AJ124" s="32"/>
      <c r="AK124" s="32"/>
      <c r="AL124" s="33"/>
      <c r="AM124" s="33"/>
    </row>
    <row r="125" spans="1:39" x14ac:dyDescent="0.3">
      <c r="F125" s="34"/>
      <c r="H125" s="34"/>
      <c r="I125" s="34"/>
      <c r="J125" s="198"/>
      <c r="K125" s="198"/>
      <c r="L125" s="34"/>
      <c r="M125" s="34"/>
      <c r="N125" s="34"/>
      <c r="O125" s="34"/>
      <c r="P125" s="34"/>
      <c r="Q125" s="34"/>
      <c r="R125" s="34"/>
      <c r="V125" s="34"/>
      <c r="X125" s="34"/>
      <c r="Y125" s="198"/>
      <c r="Z125" s="34"/>
      <c r="AA125" s="34"/>
      <c r="AB125" s="34"/>
      <c r="AC125" s="34"/>
      <c r="AD125" s="34"/>
      <c r="AE125" s="34"/>
      <c r="AH125" s="34"/>
      <c r="AI125" s="34"/>
      <c r="AJ125" s="34"/>
      <c r="AK125" s="34"/>
      <c r="AL125" s="32"/>
      <c r="AM125" s="32"/>
    </row>
    <row r="126" spans="1:39" x14ac:dyDescent="0.3">
      <c r="F126" s="32"/>
      <c r="H126" s="32"/>
      <c r="I126" s="32"/>
      <c r="J126" s="48"/>
      <c r="K126" s="48"/>
      <c r="L126" s="32"/>
      <c r="M126" s="32"/>
      <c r="N126" s="32"/>
      <c r="O126" s="32"/>
      <c r="P126" s="32"/>
      <c r="Q126" s="32"/>
      <c r="R126" s="32"/>
      <c r="V126" s="32"/>
      <c r="X126" s="32"/>
      <c r="Y126" s="48"/>
      <c r="Z126" s="32"/>
      <c r="AA126" s="32"/>
      <c r="AB126" s="32"/>
      <c r="AC126" s="32"/>
    </row>
    <row r="127" spans="1:39" x14ac:dyDescent="0.3">
      <c r="C127" s="23"/>
      <c r="F127" s="32"/>
      <c r="H127" s="32"/>
      <c r="I127" s="32"/>
      <c r="J127" s="48"/>
      <c r="K127" s="48"/>
      <c r="L127" s="32"/>
      <c r="M127" s="32"/>
      <c r="N127" s="32"/>
      <c r="O127" s="32"/>
      <c r="P127" s="32"/>
      <c r="Q127" s="32"/>
      <c r="R127" s="32"/>
      <c r="T127" s="23"/>
      <c r="V127" s="32"/>
      <c r="X127" s="32"/>
      <c r="Y127" s="48"/>
      <c r="Z127" s="32"/>
      <c r="AA127" s="32"/>
      <c r="AB127" s="32"/>
      <c r="AC127" s="32"/>
    </row>
    <row r="128" spans="1:39" x14ac:dyDescent="0.3">
      <c r="A128" s="23"/>
    </row>
    <row r="129" spans="1:39" x14ac:dyDescent="0.3">
      <c r="J129" s="22"/>
      <c r="K129" s="22"/>
      <c r="Y129" s="22"/>
    </row>
    <row r="130" spans="1:39" x14ac:dyDescent="0.3">
      <c r="H130" s="23"/>
      <c r="I130" s="23"/>
      <c r="X130" s="23"/>
    </row>
    <row r="131" spans="1:39" x14ac:dyDescent="0.3">
      <c r="J131" s="22"/>
      <c r="K131" s="22"/>
      <c r="Y131" s="22"/>
    </row>
    <row r="132" spans="1:39" x14ac:dyDescent="0.3">
      <c r="L132" s="23"/>
      <c r="M132" s="23"/>
      <c r="Z132" s="23"/>
      <c r="AA132" s="23"/>
    </row>
    <row r="133" spans="1:39" x14ac:dyDescent="0.3">
      <c r="A133" s="22"/>
      <c r="R133" s="23"/>
      <c r="AJ133" s="23"/>
      <c r="AK133" s="23"/>
    </row>
    <row r="134" spans="1:39" x14ac:dyDescent="0.3">
      <c r="A134" s="22"/>
      <c r="R134" s="23"/>
      <c r="AJ134" s="23"/>
      <c r="AK134" s="23"/>
    </row>
    <row r="135" spans="1:39" x14ac:dyDescent="0.3">
      <c r="A135" s="23"/>
      <c r="R135" s="23"/>
      <c r="AJ135" s="23"/>
      <c r="AK135" s="23"/>
    </row>
    <row r="136" spans="1:39" x14ac:dyDescent="0.3">
      <c r="L136" s="23"/>
      <c r="M136" s="23"/>
      <c r="R136" s="22"/>
      <c r="Z136" s="23"/>
      <c r="AA136" s="23"/>
      <c r="AJ136" s="22"/>
      <c r="AK136" s="22"/>
    </row>
    <row r="137" spans="1:39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</row>
    <row r="138" spans="1:39" x14ac:dyDescent="0.3">
      <c r="L138" s="30"/>
      <c r="M138" s="30"/>
      <c r="N138" s="30"/>
      <c r="O138" s="30"/>
      <c r="R138" s="30"/>
      <c r="Z138" s="30"/>
      <c r="AA138" s="30"/>
      <c r="AB138" s="30"/>
      <c r="AC138" s="30"/>
      <c r="AD138" s="30"/>
      <c r="AE138" s="30"/>
      <c r="AF138" s="30"/>
      <c r="AG138" s="30"/>
      <c r="AJ138" s="30"/>
      <c r="AK138" s="30"/>
      <c r="AL138" s="30"/>
      <c r="AM138" s="30"/>
    </row>
    <row r="139" spans="1:39" x14ac:dyDescent="0.3">
      <c r="L139" s="30"/>
      <c r="M139" s="30"/>
      <c r="N139" s="30"/>
      <c r="O139" s="30"/>
      <c r="R139" s="30"/>
      <c r="Y139" s="30"/>
      <c r="Z139" s="30"/>
      <c r="AA139" s="30"/>
      <c r="AB139" s="30"/>
      <c r="AC139" s="30"/>
      <c r="AD139" s="30"/>
      <c r="AE139" s="30"/>
      <c r="AF139" s="30"/>
      <c r="AG139" s="30"/>
      <c r="AJ139" s="30"/>
      <c r="AK139" s="30"/>
      <c r="AL139" s="30"/>
      <c r="AM139" s="30"/>
    </row>
    <row r="140" spans="1:39" x14ac:dyDescent="0.3">
      <c r="A140" s="30"/>
      <c r="C140" s="30"/>
      <c r="D140" s="30"/>
      <c r="E140" s="30"/>
      <c r="F140" s="30"/>
      <c r="J140" s="30"/>
      <c r="K140" s="30"/>
      <c r="L140" s="30"/>
      <c r="M140" s="30"/>
      <c r="N140" s="30"/>
      <c r="O140" s="30"/>
      <c r="P140" s="30"/>
      <c r="Q140" s="30"/>
      <c r="R140" s="30"/>
      <c r="T140" s="30"/>
      <c r="U140" s="30"/>
      <c r="V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spans="1:39" x14ac:dyDescent="0.3">
      <c r="A141" s="30"/>
      <c r="C141" s="30"/>
      <c r="D141" s="30"/>
      <c r="E141" s="30"/>
      <c r="F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T141" s="30"/>
      <c r="U141" s="30"/>
      <c r="V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 x14ac:dyDescent="0.3">
      <c r="C142" s="30"/>
      <c r="D142" s="30"/>
      <c r="E142" s="30"/>
      <c r="F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T142" s="30"/>
      <c r="U142" s="30"/>
      <c r="V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</row>
    <row r="144" spans="1:39" x14ac:dyDescent="0.3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spans="1:39" x14ac:dyDescent="0.3">
      <c r="A145" s="22"/>
      <c r="C145" s="23"/>
      <c r="D145" s="23"/>
      <c r="E145" s="23"/>
      <c r="T145" s="23"/>
      <c r="U145" s="23"/>
    </row>
    <row r="147" spans="1:39" x14ac:dyDescent="0.3">
      <c r="A147" s="22"/>
      <c r="C147" s="23"/>
      <c r="F147" s="195"/>
      <c r="H147" s="207"/>
      <c r="I147" s="207"/>
      <c r="J147" s="119"/>
      <c r="K147" s="119"/>
      <c r="L147" s="32"/>
      <c r="M147" s="32"/>
      <c r="N147" s="22"/>
      <c r="O147" s="22"/>
      <c r="P147" s="22"/>
      <c r="Q147" s="22"/>
      <c r="R147" s="32"/>
      <c r="T147" s="23"/>
      <c r="V147" s="32"/>
      <c r="X147" s="22"/>
      <c r="Y147" s="119"/>
      <c r="Z147" s="32"/>
      <c r="AA147" s="32"/>
      <c r="AB147" s="22"/>
      <c r="AC147" s="22"/>
      <c r="AD147" s="32"/>
      <c r="AE147" s="32"/>
      <c r="AF147" s="204"/>
      <c r="AG147" s="204"/>
      <c r="AH147" s="32"/>
      <c r="AI147" s="32"/>
      <c r="AJ147" s="32"/>
      <c r="AK147" s="32"/>
      <c r="AL147" s="208"/>
      <c r="AM147" s="208"/>
    </row>
    <row r="148" spans="1:39" x14ac:dyDescent="0.3">
      <c r="F148" s="195"/>
      <c r="H148" s="207"/>
      <c r="I148" s="207"/>
      <c r="J148" s="207"/>
      <c r="K148" s="207"/>
      <c r="R148" s="32"/>
      <c r="V148" s="32"/>
      <c r="Y148" s="207"/>
    </row>
    <row r="149" spans="1:39" x14ac:dyDescent="0.3">
      <c r="A149" s="22"/>
      <c r="C149" s="23"/>
      <c r="F149" s="195"/>
      <c r="H149" s="195"/>
      <c r="I149" s="195"/>
      <c r="J149" s="197"/>
      <c r="K149" s="197"/>
      <c r="L149" s="32"/>
      <c r="M149" s="32"/>
      <c r="N149" s="33"/>
      <c r="O149" s="33"/>
      <c r="P149" s="195"/>
      <c r="Q149" s="195"/>
      <c r="R149" s="32"/>
      <c r="T149" s="23"/>
      <c r="V149" s="32"/>
      <c r="X149" s="32"/>
      <c r="Y149" s="200"/>
      <c r="Z149" s="32"/>
      <c r="AA149" s="32"/>
      <c r="AB149" s="33"/>
      <c r="AC149" s="33"/>
      <c r="AD149" s="32"/>
      <c r="AE149" s="32"/>
      <c r="AF149" s="44"/>
      <c r="AG149" s="44"/>
      <c r="AH149" s="195"/>
      <c r="AI149" s="195"/>
      <c r="AJ149" s="32"/>
      <c r="AK149" s="32"/>
      <c r="AL149" s="33"/>
      <c r="AM149" s="33"/>
    </row>
    <row r="150" spans="1:39" x14ac:dyDescent="0.3">
      <c r="F150" s="34"/>
      <c r="H150" s="34"/>
      <c r="I150" s="34"/>
      <c r="J150" s="198"/>
      <c r="K150" s="198"/>
      <c r="L150" s="34"/>
      <c r="M150" s="34"/>
      <c r="N150" s="34"/>
      <c r="O150" s="34"/>
      <c r="P150" s="34"/>
      <c r="Q150" s="34"/>
      <c r="R150" s="34"/>
      <c r="V150" s="34"/>
      <c r="X150" s="34"/>
      <c r="Y150" s="198"/>
      <c r="Z150" s="34"/>
      <c r="AA150" s="34"/>
      <c r="AB150" s="34"/>
      <c r="AC150" s="34"/>
      <c r="AD150" s="34"/>
      <c r="AE150" s="34"/>
      <c r="AH150" s="34"/>
      <c r="AI150" s="34"/>
      <c r="AJ150" s="34"/>
      <c r="AK150" s="34"/>
    </row>
    <row r="151" spans="1:39" x14ac:dyDescent="0.3">
      <c r="A151" s="22"/>
      <c r="D151" s="23"/>
      <c r="E151" s="23"/>
      <c r="F151" s="32"/>
      <c r="H151" s="32"/>
      <c r="I151" s="32"/>
      <c r="J151" s="48"/>
      <c r="K151" s="48"/>
      <c r="L151" s="32"/>
      <c r="M151" s="32"/>
      <c r="N151" s="33"/>
      <c r="O151" s="33"/>
      <c r="P151" s="32"/>
      <c r="Q151" s="32"/>
      <c r="R151" s="32"/>
      <c r="U151" s="23"/>
      <c r="V151" s="32"/>
      <c r="X151" s="32"/>
      <c r="Y151" s="48"/>
      <c r="Z151" s="32"/>
      <c r="AA151" s="32"/>
      <c r="AB151" s="33"/>
      <c r="AC151" s="33"/>
      <c r="AD151" s="32"/>
      <c r="AE151" s="32"/>
      <c r="AF151" s="44"/>
      <c r="AG151" s="44"/>
      <c r="AH151" s="32"/>
      <c r="AI151" s="32"/>
      <c r="AJ151" s="32"/>
      <c r="AK151" s="32"/>
      <c r="AL151" s="33"/>
      <c r="AM151" s="33"/>
    </row>
    <row r="152" spans="1:39" x14ac:dyDescent="0.3">
      <c r="F152" s="34"/>
      <c r="H152" s="34"/>
      <c r="I152" s="34"/>
      <c r="J152" s="198"/>
      <c r="K152" s="198"/>
      <c r="L152" s="34"/>
      <c r="M152" s="34"/>
      <c r="N152" s="34"/>
      <c r="O152" s="34"/>
      <c r="P152" s="34"/>
      <c r="Q152" s="34"/>
      <c r="R152" s="34"/>
      <c r="V152" s="34"/>
      <c r="X152" s="34"/>
      <c r="Y152" s="198"/>
      <c r="Z152" s="34"/>
      <c r="AA152" s="34"/>
      <c r="AB152" s="34"/>
      <c r="AC152" s="34"/>
      <c r="AD152" s="34"/>
      <c r="AE152" s="34"/>
      <c r="AH152" s="34"/>
      <c r="AI152" s="34"/>
      <c r="AJ152" s="34"/>
      <c r="AK152" s="34"/>
    </row>
    <row r="153" spans="1:39" x14ac:dyDescent="0.3">
      <c r="R153" s="32"/>
    </row>
    <row r="154" spans="1:39" x14ac:dyDescent="0.3">
      <c r="R154" s="32"/>
    </row>
    <row r="155" spans="1:39" x14ac:dyDescent="0.3">
      <c r="R155" s="32"/>
    </row>
    <row r="156" spans="1:39" x14ac:dyDescent="0.3">
      <c r="A156" s="22"/>
      <c r="C156" s="23"/>
      <c r="D156" s="23"/>
      <c r="E156" s="23"/>
      <c r="H156" s="32"/>
      <c r="I156" s="32"/>
      <c r="J156" s="48"/>
      <c r="K156" s="48"/>
      <c r="L156" s="32"/>
      <c r="M156" s="32"/>
      <c r="N156" s="33"/>
      <c r="O156" s="33"/>
      <c r="P156" s="32"/>
      <c r="Q156" s="32"/>
      <c r="R156" s="32"/>
      <c r="T156" s="23"/>
      <c r="U156" s="23"/>
      <c r="X156" s="32"/>
      <c r="Y156" s="48"/>
      <c r="Z156" s="32"/>
      <c r="AA156" s="32"/>
      <c r="AB156" s="33"/>
      <c r="AC156" s="33"/>
    </row>
    <row r="157" spans="1:39" x14ac:dyDescent="0.3">
      <c r="H157" s="32"/>
      <c r="I157" s="32"/>
      <c r="J157" s="48"/>
      <c r="K157" s="48"/>
      <c r="L157" s="32"/>
      <c r="M157" s="32"/>
      <c r="N157" s="33"/>
      <c r="O157" s="33"/>
      <c r="P157" s="32"/>
      <c r="Q157" s="32"/>
      <c r="R157" s="32"/>
      <c r="X157" s="32"/>
      <c r="Y157" s="48"/>
      <c r="Z157" s="32"/>
      <c r="AA157" s="32"/>
      <c r="AB157" s="33"/>
      <c r="AC157" s="33"/>
    </row>
    <row r="158" spans="1:39" x14ac:dyDescent="0.3">
      <c r="A158" s="22"/>
      <c r="C158" s="23"/>
      <c r="F158" s="195"/>
      <c r="H158" s="195"/>
      <c r="I158" s="195"/>
      <c r="J158" s="58"/>
      <c r="K158" s="58"/>
      <c r="L158" s="195"/>
      <c r="M158" s="195"/>
      <c r="N158" s="33"/>
      <c r="O158" s="33"/>
      <c r="P158" s="32"/>
      <c r="Q158" s="32"/>
      <c r="R158" s="32"/>
      <c r="T158" s="23"/>
      <c r="V158" s="32"/>
      <c r="X158" s="32"/>
      <c r="Y158" s="58"/>
      <c r="Z158" s="32"/>
      <c r="AA158" s="32"/>
      <c r="AB158" s="33"/>
      <c r="AC158" s="33"/>
      <c r="AD158" s="32"/>
      <c r="AE158" s="32"/>
      <c r="AF158" s="44"/>
      <c r="AG158" s="44"/>
      <c r="AH158" s="32"/>
      <c r="AI158" s="32"/>
      <c r="AJ158" s="32"/>
      <c r="AK158" s="32"/>
      <c r="AL158" s="33"/>
      <c r="AM158" s="33"/>
    </row>
    <row r="159" spans="1:39" x14ac:dyDescent="0.3">
      <c r="F159" s="195"/>
      <c r="H159" s="207"/>
      <c r="I159" s="207"/>
      <c r="J159" s="207"/>
      <c r="K159" s="207"/>
      <c r="R159" s="32"/>
      <c r="V159" s="32"/>
      <c r="Y159" s="207"/>
    </row>
    <row r="160" spans="1:39" x14ac:dyDescent="0.3">
      <c r="A160" s="22"/>
      <c r="C160" s="23"/>
      <c r="F160" s="195"/>
      <c r="H160" s="195"/>
      <c r="I160" s="195"/>
      <c r="J160" s="119"/>
      <c r="K160" s="119"/>
      <c r="L160" s="32"/>
      <c r="M160" s="32"/>
      <c r="N160" s="33"/>
      <c r="O160" s="33"/>
      <c r="P160" s="32"/>
      <c r="Q160" s="32"/>
      <c r="R160" s="32"/>
      <c r="T160" s="23"/>
      <c r="V160" s="32"/>
      <c r="X160" s="32"/>
      <c r="Y160" s="119"/>
      <c r="Z160" s="32"/>
      <c r="AA160" s="32"/>
      <c r="AB160" s="33"/>
      <c r="AC160" s="33"/>
      <c r="AD160" s="32"/>
      <c r="AE160" s="32"/>
      <c r="AF160" s="44"/>
      <c r="AG160" s="44"/>
      <c r="AH160" s="32"/>
      <c r="AI160" s="32"/>
      <c r="AJ160" s="32"/>
      <c r="AK160" s="32"/>
      <c r="AL160" s="33"/>
      <c r="AM160" s="33"/>
    </row>
    <row r="161" spans="1:39" x14ac:dyDescent="0.3">
      <c r="F161" s="195"/>
      <c r="H161" s="207"/>
      <c r="I161" s="207"/>
      <c r="J161" s="207"/>
      <c r="K161" s="207"/>
      <c r="R161" s="32"/>
      <c r="V161" s="32"/>
      <c r="Y161" s="207"/>
    </row>
    <row r="162" spans="1:39" x14ac:dyDescent="0.3">
      <c r="A162" s="22"/>
      <c r="C162" s="23"/>
      <c r="F162" s="195"/>
      <c r="H162" s="195"/>
      <c r="I162" s="195"/>
      <c r="J162" s="197"/>
      <c r="K162" s="197"/>
      <c r="L162" s="32"/>
      <c r="M162" s="32"/>
      <c r="N162" s="33"/>
      <c r="O162" s="33"/>
      <c r="P162" s="32"/>
      <c r="Q162" s="32"/>
      <c r="R162" s="32"/>
      <c r="T162" s="23"/>
      <c r="V162" s="32"/>
      <c r="X162" s="32"/>
      <c r="Y162" s="200"/>
      <c r="Z162" s="32"/>
      <c r="AA162" s="32"/>
      <c r="AB162" s="33"/>
      <c r="AC162" s="33"/>
      <c r="AD162" s="32"/>
      <c r="AE162" s="32"/>
      <c r="AF162" s="44"/>
      <c r="AG162" s="44"/>
      <c r="AH162" s="32"/>
      <c r="AI162" s="32"/>
      <c r="AJ162" s="32"/>
      <c r="AK162" s="32"/>
      <c r="AL162" s="33"/>
      <c r="AM162" s="33"/>
    </row>
    <row r="163" spans="1:39" x14ac:dyDescent="0.3">
      <c r="F163" s="34"/>
      <c r="H163" s="34"/>
      <c r="I163" s="34"/>
      <c r="J163" s="198"/>
      <c r="K163" s="198"/>
      <c r="L163" s="34"/>
      <c r="M163" s="34"/>
      <c r="N163" s="34"/>
      <c r="O163" s="34"/>
      <c r="P163" s="34"/>
      <c r="Q163" s="34"/>
      <c r="R163" s="34"/>
      <c r="S163" s="32"/>
      <c r="V163" s="34"/>
      <c r="X163" s="34"/>
      <c r="Y163" s="198"/>
      <c r="Z163" s="34"/>
      <c r="AA163" s="34"/>
      <c r="AB163" s="34"/>
      <c r="AC163" s="34"/>
      <c r="AD163" s="34"/>
      <c r="AE163" s="34"/>
      <c r="AH163" s="34"/>
      <c r="AI163" s="34"/>
      <c r="AJ163" s="34"/>
      <c r="AK163" s="34"/>
    </row>
    <row r="164" spans="1:39" x14ac:dyDescent="0.3">
      <c r="A164" s="22"/>
      <c r="D164" s="23"/>
      <c r="E164" s="23"/>
      <c r="F164" s="32"/>
      <c r="H164" s="32"/>
      <c r="I164" s="32"/>
      <c r="J164" s="48"/>
      <c r="K164" s="48"/>
      <c r="L164" s="32"/>
      <c r="M164" s="32"/>
      <c r="N164" s="33"/>
      <c r="O164" s="33"/>
      <c r="P164" s="195"/>
      <c r="Q164" s="195"/>
      <c r="R164" s="32"/>
      <c r="S164" s="32"/>
      <c r="U164" s="23"/>
      <c r="V164" s="32"/>
      <c r="X164" s="32"/>
      <c r="Y164" s="48"/>
      <c r="Z164" s="32"/>
      <c r="AA164" s="32"/>
      <c r="AB164" s="33"/>
      <c r="AC164" s="33"/>
      <c r="AD164" s="32"/>
      <c r="AE164" s="32"/>
      <c r="AF164" s="44"/>
      <c r="AG164" s="44"/>
      <c r="AH164" s="195"/>
      <c r="AI164" s="195"/>
      <c r="AJ164" s="32"/>
      <c r="AK164" s="32"/>
      <c r="AL164" s="33"/>
      <c r="AM164" s="33"/>
    </row>
    <row r="165" spans="1:39" x14ac:dyDescent="0.3">
      <c r="F165" s="34"/>
      <c r="H165" s="34"/>
      <c r="I165" s="34"/>
      <c r="J165" s="198"/>
      <c r="K165" s="198"/>
      <c r="L165" s="34"/>
      <c r="M165" s="34"/>
      <c r="N165" s="34"/>
      <c r="O165" s="34"/>
      <c r="P165" s="34"/>
      <c r="Q165" s="34"/>
      <c r="R165" s="34"/>
      <c r="S165" s="32"/>
      <c r="V165" s="34"/>
      <c r="X165" s="34"/>
      <c r="Y165" s="198"/>
      <c r="Z165" s="34"/>
      <c r="AA165" s="34"/>
      <c r="AB165" s="34"/>
      <c r="AC165" s="34"/>
      <c r="AD165" s="34"/>
      <c r="AE165" s="34"/>
      <c r="AH165" s="34"/>
      <c r="AI165" s="34"/>
      <c r="AJ165" s="34"/>
      <c r="AK165" s="34"/>
    </row>
    <row r="166" spans="1:39" x14ac:dyDescent="0.3">
      <c r="R166" s="32"/>
    </row>
    <row r="167" spans="1:39" x14ac:dyDescent="0.3">
      <c r="F167" s="32"/>
      <c r="H167" s="32"/>
      <c r="I167" s="32"/>
      <c r="J167" s="48"/>
      <c r="K167" s="48"/>
      <c r="L167" s="32"/>
      <c r="M167" s="32"/>
      <c r="N167" s="32"/>
      <c r="O167" s="32"/>
      <c r="P167" s="32"/>
      <c r="Q167" s="32"/>
      <c r="R167" s="32"/>
      <c r="V167" s="32"/>
      <c r="X167" s="32"/>
      <c r="Y167" s="48"/>
      <c r="Z167" s="32"/>
      <c r="AA167" s="32"/>
      <c r="AB167" s="32"/>
      <c r="AC167" s="32"/>
    </row>
    <row r="168" spans="1:39" x14ac:dyDescent="0.3">
      <c r="C168" s="23"/>
      <c r="F168" s="32"/>
      <c r="H168" s="32"/>
      <c r="I168" s="32"/>
      <c r="J168" s="48"/>
      <c r="K168" s="48"/>
      <c r="L168" s="32"/>
      <c r="M168" s="32"/>
      <c r="N168" s="32"/>
      <c r="O168" s="32"/>
      <c r="P168" s="32"/>
      <c r="Q168" s="32"/>
      <c r="R168" s="32"/>
      <c r="T168" s="23"/>
      <c r="V168" s="32"/>
      <c r="X168" s="32"/>
      <c r="Y168" s="48"/>
      <c r="Z168" s="32"/>
      <c r="AA168" s="32"/>
      <c r="AB168" s="32"/>
      <c r="AC168" s="32"/>
    </row>
    <row r="169" spans="1:39" x14ac:dyDescent="0.3">
      <c r="C169" s="23"/>
      <c r="T169" s="23"/>
    </row>
    <row r="170" spans="1:39" x14ac:dyDescent="0.3">
      <c r="A170" s="23"/>
    </row>
    <row r="172" spans="1:39" x14ac:dyDescent="0.3">
      <c r="J172" s="22"/>
      <c r="K172" s="22"/>
      <c r="Y172" s="22"/>
    </row>
    <row r="173" spans="1:39" x14ac:dyDescent="0.3">
      <c r="H173" s="23"/>
      <c r="I173" s="23"/>
      <c r="X173" s="23"/>
    </row>
    <row r="174" spans="1:39" x14ac:dyDescent="0.3">
      <c r="J174" s="22"/>
      <c r="K174" s="22"/>
      <c r="Y174" s="22"/>
    </row>
    <row r="175" spans="1:39" x14ac:dyDescent="0.3">
      <c r="L175" s="23"/>
      <c r="M175" s="23"/>
      <c r="Z175" s="23"/>
      <c r="AA175" s="23"/>
    </row>
    <row r="176" spans="1:39" x14ac:dyDescent="0.3">
      <c r="A176" s="22"/>
      <c r="R176" s="23"/>
      <c r="AJ176" s="23"/>
      <c r="AK176" s="23"/>
    </row>
    <row r="177" spans="1:39" x14ac:dyDescent="0.3">
      <c r="A177" s="22"/>
      <c r="R177" s="23"/>
      <c r="AJ177" s="23"/>
      <c r="AK177" s="23"/>
    </row>
    <row r="178" spans="1:39" x14ac:dyDescent="0.3">
      <c r="A178" s="23"/>
      <c r="R178" s="23"/>
      <c r="AJ178" s="23"/>
      <c r="AK178" s="23"/>
    </row>
    <row r="179" spans="1:39" x14ac:dyDescent="0.3">
      <c r="L179" s="23"/>
      <c r="M179" s="23"/>
      <c r="R179" s="22"/>
      <c r="Z179" s="23"/>
      <c r="AA179" s="23"/>
      <c r="AJ179" s="22"/>
      <c r="AK179" s="22"/>
    </row>
    <row r="180" spans="1:39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</row>
    <row r="181" spans="1:39" x14ac:dyDescent="0.3">
      <c r="L181" s="30"/>
      <c r="M181" s="30"/>
      <c r="N181" s="30"/>
      <c r="O181" s="30"/>
      <c r="R181" s="30"/>
      <c r="Z181" s="30"/>
      <c r="AA181" s="30"/>
      <c r="AB181" s="30"/>
      <c r="AC181" s="30"/>
      <c r="AD181" s="30"/>
      <c r="AE181" s="30"/>
      <c r="AF181" s="30"/>
      <c r="AG181" s="30"/>
      <c r="AJ181" s="30"/>
      <c r="AK181" s="30"/>
      <c r="AL181" s="30"/>
      <c r="AM181" s="30"/>
    </row>
    <row r="182" spans="1:39" x14ac:dyDescent="0.3">
      <c r="L182" s="30"/>
      <c r="M182" s="30"/>
      <c r="N182" s="30"/>
      <c r="O182" s="30"/>
      <c r="R182" s="30"/>
      <c r="Y182" s="30"/>
      <c r="Z182" s="30"/>
      <c r="AA182" s="30"/>
      <c r="AB182" s="30"/>
      <c r="AC182" s="30"/>
      <c r="AD182" s="30"/>
      <c r="AE182" s="30"/>
      <c r="AF182" s="30"/>
      <c r="AG182" s="30"/>
      <c r="AJ182" s="30"/>
      <c r="AK182" s="30"/>
      <c r="AL182" s="30"/>
      <c r="AM182" s="30"/>
    </row>
    <row r="183" spans="1:39" x14ac:dyDescent="0.3">
      <c r="A183" s="30"/>
      <c r="C183" s="30"/>
      <c r="D183" s="30"/>
      <c r="E183" s="30"/>
      <c r="F183" s="30"/>
      <c r="J183" s="30"/>
      <c r="K183" s="30"/>
      <c r="L183" s="30"/>
      <c r="M183" s="30"/>
      <c r="N183" s="30"/>
      <c r="O183" s="30"/>
      <c r="P183" s="30"/>
      <c r="Q183" s="30"/>
      <c r="R183" s="30"/>
      <c r="T183" s="30"/>
      <c r="U183" s="30"/>
      <c r="V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</row>
    <row r="184" spans="1:39" x14ac:dyDescent="0.3">
      <c r="A184" s="30"/>
      <c r="C184" s="30"/>
      <c r="D184" s="30"/>
      <c r="E184" s="30"/>
      <c r="F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T184" s="30"/>
      <c r="U184" s="30"/>
      <c r="V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</row>
    <row r="185" spans="1:39" x14ac:dyDescent="0.3">
      <c r="C185" s="30"/>
      <c r="D185" s="30"/>
      <c r="E185" s="30"/>
      <c r="F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T185" s="30"/>
      <c r="U185" s="30"/>
      <c r="V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</row>
    <row r="186" spans="1:39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</row>
    <row r="187" spans="1:39" x14ac:dyDescent="0.3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spans="1:39" x14ac:dyDescent="0.3">
      <c r="A188" s="22"/>
      <c r="C188" s="23"/>
      <c r="D188" s="23"/>
      <c r="E188" s="23"/>
      <c r="T188" s="23"/>
      <c r="U188" s="23"/>
    </row>
    <row r="189" spans="1:39" x14ac:dyDescent="0.3">
      <c r="A189" s="22"/>
      <c r="D189" s="23"/>
      <c r="E189" s="23"/>
      <c r="U189" s="23"/>
    </row>
    <row r="191" spans="1:39" x14ac:dyDescent="0.3">
      <c r="A191" s="22"/>
      <c r="C191" s="23"/>
      <c r="F191" s="32"/>
      <c r="J191" s="59"/>
      <c r="K191" s="59"/>
      <c r="L191" s="32"/>
      <c r="M191" s="32"/>
      <c r="R191" s="32"/>
      <c r="T191" s="23"/>
      <c r="V191" s="32"/>
      <c r="Y191" s="59"/>
      <c r="Z191" s="32"/>
      <c r="AA191" s="32"/>
      <c r="AJ191" s="32"/>
      <c r="AK191" s="32"/>
    </row>
    <row r="192" spans="1:39" x14ac:dyDescent="0.3">
      <c r="F192" s="32"/>
      <c r="R192" s="32"/>
      <c r="V192" s="32"/>
      <c r="AJ192" s="32"/>
      <c r="AK192" s="32"/>
    </row>
    <row r="193" spans="1:39" x14ac:dyDescent="0.3">
      <c r="A193" s="22"/>
      <c r="C193" s="23"/>
      <c r="F193" s="195"/>
      <c r="H193" s="195"/>
      <c r="I193" s="195"/>
      <c r="J193" s="119"/>
      <c r="K193" s="119"/>
      <c r="L193" s="32"/>
      <c r="M193" s="32"/>
      <c r="N193" s="33"/>
      <c r="O193" s="33"/>
      <c r="P193" s="32"/>
      <c r="Q193" s="32"/>
      <c r="R193" s="32"/>
      <c r="T193" s="23"/>
      <c r="V193" s="32"/>
      <c r="X193" s="32"/>
      <c r="Y193" s="119"/>
      <c r="Z193" s="32"/>
      <c r="AA193" s="32"/>
      <c r="AB193" s="33"/>
      <c r="AC193" s="33"/>
      <c r="AD193" s="32"/>
      <c r="AE193" s="32"/>
      <c r="AF193" s="44"/>
      <c r="AG193" s="44"/>
      <c r="AH193" s="32"/>
      <c r="AI193" s="32"/>
      <c r="AJ193" s="32"/>
      <c r="AK193" s="32"/>
      <c r="AL193" s="33"/>
      <c r="AM193" s="33"/>
    </row>
    <row r="194" spans="1:39" x14ac:dyDescent="0.3">
      <c r="A194" s="22"/>
      <c r="C194" s="23"/>
      <c r="F194" s="195"/>
      <c r="H194" s="207"/>
      <c r="I194" s="207"/>
      <c r="J194" s="119"/>
      <c r="K194" s="119"/>
      <c r="L194" s="32"/>
      <c r="M194" s="32"/>
      <c r="N194" s="33"/>
      <c r="O194" s="33"/>
      <c r="P194" s="32"/>
      <c r="Q194" s="32"/>
      <c r="R194" s="32"/>
      <c r="T194" s="23"/>
      <c r="V194" s="32"/>
      <c r="X194" s="32"/>
      <c r="Y194" s="119"/>
      <c r="Z194" s="32"/>
      <c r="AA194" s="32"/>
      <c r="AB194" s="33"/>
      <c r="AC194" s="33"/>
      <c r="AD194" s="32"/>
      <c r="AE194" s="32"/>
      <c r="AF194" s="44"/>
      <c r="AG194" s="44"/>
      <c r="AH194" s="32"/>
      <c r="AI194" s="32"/>
      <c r="AJ194" s="32"/>
      <c r="AK194" s="32"/>
      <c r="AL194" s="33"/>
      <c r="AM194" s="33"/>
    </row>
    <row r="195" spans="1:39" x14ac:dyDescent="0.3">
      <c r="F195" s="34"/>
      <c r="H195" s="32"/>
      <c r="I195" s="32"/>
      <c r="J195" s="198"/>
      <c r="K195" s="198"/>
      <c r="L195" s="34"/>
      <c r="M195" s="34"/>
      <c r="N195" s="34"/>
      <c r="O195" s="34"/>
      <c r="P195" s="34"/>
      <c r="Q195" s="34"/>
      <c r="R195" s="34"/>
      <c r="V195" s="34"/>
      <c r="X195" s="32"/>
      <c r="Y195" s="198"/>
      <c r="Z195" s="34"/>
      <c r="AA195" s="34"/>
      <c r="AB195" s="34"/>
      <c r="AC195" s="34"/>
      <c r="AD195" s="34"/>
      <c r="AE195" s="34"/>
      <c r="AH195" s="34"/>
      <c r="AI195" s="34"/>
      <c r="AJ195" s="34"/>
      <c r="AK195" s="34"/>
    </row>
    <row r="196" spans="1:39" x14ac:dyDescent="0.3">
      <c r="A196" s="22"/>
      <c r="C196" s="23"/>
      <c r="F196" s="32"/>
      <c r="H196" s="32"/>
      <c r="I196" s="32"/>
      <c r="J196" s="48"/>
      <c r="K196" s="48"/>
      <c r="L196" s="32"/>
      <c r="M196" s="32"/>
      <c r="N196" s="33"/>
      <c r="O196" s="33"/>
      <c r="P196" s="32"/>
      <c r="Q196" s="32"/>
      <c r="R196" s="32"/>
      <c r="T196" s="23"/>
      <c r="V196" s="32"/>
      <c r="X196" s="32"/>
      <c r="Y196" s="48"/>
      <c r="Z196" s="32"/>
      <c r="AA196" s="32"/>
      <c r="AB196" s="33"/>
      <c r="AC196" s="33"/>
      <c r="AD196" s="32"/>
      <c r="AE196" s="32"/>
      <c r="AF196" s="44"/>
      <c r="AG196" s="44"/>
      <c r="AH196" s="32"/>
      <c r="AI196" s="32"/>
      <c r="AJ196" s="32"/>
      <c r="AK196" s="32"/>
      <c r="AL196" s="33"/>
      <c r="AM196" s="33"/>
    </row>
    <row r="197" spans="1:39" x14ac:dyDescent="0.3">
      <c r="F197" s="34"/>
      <c r="H197" s="32"/>
      <c r="I197" s="32"/>
      <c r="J197" s="198"/>
      <c r="K197" s="198"/>
      <c r="L197" s="34"/>
      <c r="M197" s="34"/>
      <c r="N197" s="34"/>
      <c r="O197" s="34"/>
      <c r="P197" s="34"/>
      <c r="Q197" s="34"/>
      <c r="R197" s="34"/>
      <c r="V197" s="34"/>
      <c r="X197" s="32"/>
      <c r="Y197" s="198"/>
      <c r="Z197" s="34"/>
      <c r="AA197" s="34"/>
      <c r="AB197" s="34"/>
      <c r="AC197" s="34"/>
      <c r="AD197" s="34"/>
      <c r="AE197" s="34"/>
      <c r="AH197" s="34"/>
      <c r="AI197" s="34"/>
      <c r="AJ197" s="34"/>
      <c r="AK197" s="34"/>
    </row>
    <row r="198" spans="1:39" x14ac:dyDescent="0.3">
      <c r="F198" s="32"/>
      <c r="R198" s="32"/>
      <c r="V198" s="32"/>
      <c r="AJ198" s="32"/>
      <c r="AK198" s="32"/>
    </row>
    <row r="199" spans="1:39" x14ac:dyDescent="0.3">
      <c r="A199" s="22"/>
      <c r="C199" s="23"/>
      <c r="F199" s="32"/>
      <c r="R199" s="32"/>
      <c r="T199" s="23"/>
      <c r="V199" s="32"/>
      <c r="AJ199" s="32"/>
      <c r="AK199" s="32"/>
    </row>
    <row r="200" spans="1:39" x14ac:dyDescent="0.3">
      <c r="F200" s="32"/>
      <c r="R200" s="32"/>
      <c r="V200" s="32"/>
      <c r="AJ200" s="32"/>
      <c r="AK200" s="32"/>
    </row>
    <row r="201" spans="1:39" x14ac:dyDescent="0.3">
      <c r="A201" s="22"/>
      <c r="C201" s="23"/>
      <c r="F201" s="32"/>
      <c r="H201" s="195"/>
      <c r="I201" s="195"/>
      <c r="J201" s="197"/>
      <c r="K201" s="197"/>
      <c r="L201" s="32"/>
      <c r="M201" s="32"/>
      <c r="N201" s="33"/>
      <c r="O201" s="33"/>
      <c r="P201" s="195"/>
      <c r="Q201" s="195"/>
      <c r="R201" s="32"/>
      <c r="T201" s="23"/>
      <c r="V201" s="32"/>
      <c r="X201" s="32"/>
      <c r="Y201" s="200"/>
      <c r="Z201" s="32"/>
      <c r="AA201" s="32"/>
      <c r="AB201" s="33"/>
      <c r="AC201" s="33"/>
      <c r="AD201" s="32"/>
      <c r="AE201" s="32"/>
      <c r="AF201" s="44"/>
      <c r="AG201" s="44"/>
      <c r="AH201" s="195"/>
      <c r="AI201" s="195"/>
      <c r="AJ201" s="32"/>
      <c r="AK201" s="32"/>
      <c r="AL201" s="33"/>
      <c r="AM201" s="33"/>
    </row>
    <row r="202" spans="1:39" x14ac:dyDescent="0.3">
      <c r="H202" s="34"/>
      <c r="I202" s="34"/>
      <c r="J202" s="198"/>
      <c r="K202" s="198"/>
      <c r="L202" s="34"/>
      <c r="M202" s="34"/>
      <c r="N202" s="34"/>
      <c r="O202" s="34"/>
      <c r="P202" s="34"/>
      <c r="Q202" s="34"/>
      <c r="R202" s="34"/>
      <c r="V202" s="34"/>
      <c r="X202" s="34"/>
      <c r="Y202" s="198"/>
      <c r="Z202" s="34"/>
      <c r="AA202" s="34"/>
      <c r="AB202" s="34"/>
      <c r="AC202" s="34"/>
      <c r="AD202" s="34"/>
      <c r="AE202" s="34"/>
      <c r="AH202" s="34"/>
      <c r="AI202" s="34"/>
      <c r="AJ202" s="34"/>
      <c r="AK202" s="34"/>
    </row>
    <row r="203" spans="1:39" x14ac:dyDescent="0.3">
      <c r="F203" s="34"/>
    </row>
    <row r="204" spans="1:39" x14ac:dyDescent="0.3">
      <c r="A204" s="22"/>
      <c r="C204" s="23"/>
      <c r="F204" s="32"/>
      <c r="H204" s="32"/>
      <c r="I204" s="32"/>
      <c r="J204" s="59"/>
      <c r="K204" s="59"/>
      <c r="L204" s="32"/>
      <c r="M204" s="32"/>
      <c r="N204" s="33"/>
      <c r="O204" s="33"/>
      <c r="P204" s="32"/>
      <c r="Q204" s="32"/>
      <c r="R204" s="32"/>
      <c r="T204" s="23"/>
      <c r="V204" s="32"/>
      <c r="X204" s="32"/>
      <c r="Y204" s="59"/>
      <c r="Z204" s="32"/>
      <c r="AA204" s="32"/>
      <c r="AB204" s="33"/>
      <c r="AC204" s="33"/>
      <c r="AD204" s="32"/>
      <c r="AE204" s="32"/>
      <c r="AF204" s="44"/>
      <c r="AG204" s="44"/>
      <c r="AH204" s="32"/>
      <c r="AI204" s="32"/>
      <c r="AJ204" s="32"/>
      <c r="AK204" s="32"/>
      <c r="AL204" s="33"/>
      <c r="AM204" s="33"/>
    </row>
    <row r="205" spans="1:39" x14ac:dyDescent="0.3">
      <c r="F205" s="34"/>
      <c r="H205" s="34"/>
      <c r="I205" s="34"/>
      <c r="J205" s="198"/>
      <c r="K205" s="198"/>
      <c r="L205" s="34"/>
      <c r="M205" s="34"/>
      <c r="N205" s="34"/>
      <c r="O205" s="34"/>
      <c r="P205" s="34"/>
      <c r="Q205" s="34"/>
      <c r="R205" s="34"/>
      <c r="V205" s="34"/>
      <c r="X205" s="34"/>
      <c r="Y205" s="198"/>
      <c r="Z205" s="34"/>
      <c r="AA205" s="34"/>
      <c r="AB205" s="34"/>
      <c r="AC205" s="34"/>
      <c r="AD205" s="34"/>
      <c r="AE205" s="34"/>
      <c r="AH205" s="34"/>
      <c r="AI205" s="34"/>
      <c r="AJ205" s="34"/>
      <c r="AK205" s="34"/>
    </row>
    <row r="206" spans="1:39" x14ac:dyDescent="0.3">
      <c r="R206" s="32"/>
      <c r="AF206" s="32"/>
      <c r="AG206" s="32"/>
    </row>
    <row r="207" spans="1:39" x14ac:dyDescent="0.3">
      <c r="F207" s="32"/>
      <c r="H207" s="32"/>
      <c r="I207" s="32"/>
      <c r="J207" s="48"/>
      <c r="K207" s="48"/>
      <c r="L207" s="32"/>
      <c r="M207" s="32"/>
      <c r="N207" s="32"/>
      <c r="O207" s="32"/>
      <c r="P207" s="32"/>
      <c r="Q207" s="32"/>
      <c r="R207" s="32"/>
      <c r="V207" s="32"/>
      <c r="X207" s="32"/>
      <c r="Y207" s="48"/>
      <c r="Z207" s="32"/>
      <c r="AA207" s="32"/>
      <c r="AB207" s="32"/>
      <c r="AC207" s="32"/>
      <c r="AD207" s="32"/>
      <c r="AE207" s="32"/>
      <c r="AF207" s="32"/>
      <c r="AG207" s="32"/>
    </row>
    <row r="208" spans="1:39" x14ac:dyDescent="0.3">
      <c r="C208" s="23"/>
      <c r="F208" s="32"/>
      <c r="H208" s="32"/>
      <c r="I208" s="32"/>
      <c r="J208" s="48"/>
      <c r="K208" s="48"/>
      <c r="L208" s="32"/>
      <c r="M208" s="32"/>
      <c r="N208" s="32"/>
      <c r="O208" s="32"/>
      <c r="P208" s="32"/>
      <c r="Q208" s="32"/>
      <c r="R208" s="32"/>
      <c r="T208" s="23"/>
      <c r="V208" s="32"/>
      <c r="X208" s="32"/>
      <c r="Y208" s="48"/>
      <c r="Z208" s="32"/>
      <c r="AA208" s="32"/>
      <c r="AB208" s="32"/>
      <c r="AC208" s="32"/>
      <c r="AD208" s="32"/>
      <c r="AE208" s="32"/>
      <c r="AF208" s="32"/>
      <c r="AG208" s="32"/>
    </row>
    <row r="209" spans="1:39" x14ac:dyDescent="0.3">
      <c r="A209" s="23"/>
    </row>
    <row r="211" spans="1:39" x14ac:dyDescent="0.3">
      <c r="J211" s="22"/>
      <c r="K211" s="22"/>
      <c r="Y211" s="22"/>
    </row>
    <row r="212" spans="1:39" x14ac:dyDescent="0.3">
      <c r="H212" s="23"/>
      <c r="I212" s="23"/>
      <c r="X212" s="23"/>
    </row>
    <row r="213" spans="1:39" x14ac:dyDescent="0.3">
      <c r="J213" s="22"/>
      <c r="K213" s="22"/>
      <c r="Y213" s="22"/>
    </row>
    <row r="214" spans="1:39" x14ac:dyDescent="0.3">
      <c r="L214" s="23"/>
      <c r="M214" s="23"/>
      <c r="Z214" s="23"/>
      <c r="AA214" s="23"/>
    </row>
    <row r="215" spans="1:39" x14ac:dyDescent="0.3">
      <c r="A215" s="22"/>
      <c r="R215" s="23"/>
      <c r="AJ215" s="23"/>
      <c r="AK215" s="23"/>
    </row>
    <row r="216" spans="1:39" x14ac:dyDescent="0.3">
      <c r="A216" s="22"/>
      <c r="R216" s="23"/>
      <c r="AJ216" s="23"/>
      <c r="AK216" s="23"/>
    </row>
    <row r="217" spans="1:39" x14ac:dyDescent="0.3">
      <c r="A217" s="23"/>
      <c r="R217" s="23"/>
      <c r="AJ217" s="23"/>
      <c r="AK217" s="23"/>
    </row>
    <row r="218" spans="1:39" x14ac:dyDescent="0.3">
      <c r="L218" s="23"/>
      <c r="M218" s="23"/>
      <c r="R218" s="22"/>
      <c r="Z218" s="23"/>
      <c r="AA218" s="23"/>
      <c r="AJ218" s="22"/>
      <c r="AK218" s="22"/>
    </row>
    <row r="219" spans="1:39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</row>
    <row r="220" spans="1:39" x14ac:dyDescent="0.3">
      <c r="L220" s="30"/>
      <c r="M220" s="30"/>
      <c r="N220" s="30"/>
      <c r="O220" s="30"/>
      <c r="R220" s="30"/>
      <c r="Z220" s="30"/>
      <c r="AA220" s="30"/>
      <c r="AB220" s="30"/>
      <c r="AC220" s="30"/>
      <c r="AD220" s="30"/>
      <c r="AE220" s="30"/>
      <c r="AF220" s="30"/>
      <c r="AG220" s="30"/>
      <c r="AJ220" s="30"/>
      <c r="AK220" s="30"/>
      <c r="AL220" s="30"/>
      <c r="AM220" s="30"/>
    </row>
    <row r="221" spans="1:39" x14ac:dyDescent="0.3">
      <c r="L221" s="30"/>
      <c r="M221" s="30"/>
      <c r="N221" s="30"/>
      <c r="O221" s="30"/>
      <c r="R221" s="30"/>
      <c r="Y221" s="30"/>
      <c r="Z221" s="30"/>
      <c r="AA221" s="30"/>
      <c r="AB221" s="30"/>
      <c r="AC221" s="30"/>
      <c r="AD221" s="30"/>
      <c r="AE221" s="30"/>
      <c r="AF221" s="30"/>
      <c r="AG221" s="30"/>
      <c r="AJ221" s="30"/>
      <c r="AK221" s="30"/>
      <c r="AL221" s="30"/>
      <c r="AM221" s="30"/>
    </row>
    <row r="222" spans="1:39" x14ac:dyDescent="0.3">
      <c r="A222" s="30"/>
      <c r="C222" s="30"/>
      <c r="D222" s="30"/>
      <c r="E222" s="30"/>
      <c r="F222" s="30"/>
      <c r="J222" s="30"/>
      <c r="K222" s="30"/>
      <c r="L222" s="30"/>
      <c r="M222" s="30"/>
      <c r="N222" s="30"/>
      <c r="O222" s="30"/>
      <c r="P222" s="30"/>
      <c r="Q222" s="30"/>
      <c r="R222" s="30"/>
      <c r="T222" s="30"/>
      <c r="U222" s="30"/>
      <c r="V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spans="1:39" x14ac:dyDescent="0.3">
      <c r="A223" s="30"/>
      <c r="C223" s="30"/>
      <c r="D223" s="30"/>
      <c r="E223" s="30"/>
      <c r="F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T223" s="30"/>
      <c r="U223" s="30"/>
      <c r="V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spans="1:39" x14ac:dyDescent="0.3">
      <c r="C224" s="30"/>
      <c r="D224" s="30"/>
      <c r="E224" s="30"/>
      <c r="F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T224" s="30"/>
      <c r="U224" s="30"/>
      <c r="V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spans="1:39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</row>
    <row r="226" spans="1:39" x14ac:dyDescent="0.3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1:39" x14ac:dyDescent="0.3">
      <c r="A227" s="22"/>
      <c r="C227" s="23"/>
      <c r="D227" s="23"/>
      <c r="E227" s="23"/>
      <c r="T227" s="23"/>
      <c r="U227" s="23"/>
    </row>
    <row r="228" spans="1:39" x14ac:dyDescent="0.3">
      <c r="A228" s="22"/>
      <c r="C228" s="23"/>
      <c r="T228" s="23"/>
    </row>
    <row r="230" spans="1:39" x14ac:dyDescent="0.3">
      <c r="A230" s="22"/>
      <c r="C230" s="23"/>
      <c r="F230" s="195"/>
      <c r="H230" s="195"/>
      <c r="I230" s="195"/>
      <c r="J230" s="119"/>
      <c r="K230" s="119"/>
      <c r="L230" s="32"/>
      <c r="M230" s="32"/>
      <c r="N230" s="33"/>
      <c r="O230" s="33"/>
      <c r="P230" s="22"/>
      <c r="Q230" s="22"/>
      <c r="R230" s="32"/>
      <c r="T230" s="23"/>
      <c r="V230" s="32"/>
      <c r="X230" s="195"/>
      <c r="Y230" s="119"/>
      <c r="Z230" s="32"/>
      <c r="AA230" s="32"/>
      <c r="AB230" s="33"/>
      <c r="AC230" s="33"/>
      <c r="AD230" s="32"/>
      <c r="AE230" s="32"/>
      <c r="AF230" s="44"/>
      <c r="AG230" s="44"/>
      <c r="AH230" s="22"/>
      <c r="AI230" s="22"/>
      <c r="AJ230" s="32"/>
      <c r="AK230" s="32"/>
      <c r="AL230" s="33"/>
      <c r="AM230" s="33"/>
    </row>
    <row r="231" spans="1:39" x14ac:dyDescent="0.3">
      <c r="F231" s="34"/>
      <c r="H231" s="32"/>
      <c r="I231" s="32"/>
      <c r="J231" s="198"/>
      <c r="K231" s="198"/>
      <c r="L231" s="34"/>
      <c r="M231" s="34"/>
      <c r="N231" s="34"/>
      <c r="O231" s="34"/>
      <c r="P231" s="34"/>
      <c r="Q231" s="34"/>
      <c r="R231" s="34"/>
      <c r="V231" s="34"/>
      <c r="X231" s="32"/>
      <c r="Y231" s="198"/>
      <c r="Z231" s="34"/>
      <c r="AA231" s="34"/>
      <c r="AB231" s="34"/>
      <c r="AC231" s="34"/>
      <c r="AD231" s="34"/>
      <c r="AE231" s="34"/>
      <c r="AH231" s="34"/>
      <c r="AI231" s="34"/>
      <c r="AJ231" s="34"/>
      <c r="AK231" s="34"/>
      <c r="AL231" s="33"/>
      <c r="AM231" s="33"/>
    </row>
    <row r="232" spans="1:39" x14ac:dyDescent="0.3">
      <c r="A232" s="22"/>
      <c r="C232" s="23"/>
      <c r="F232" s="195"/>
      <c r="H232" s="195"/>
      <c r="I232" s="195"/>
      <c r="J232" s="206"/>
      <c r="K232" s="206"/>
      <c r="L232" s="32"/>
      <c r="M232" s="32"/>
      <c r="N232" s="33"/>
      <c r="O232" s="33"/>
      <c r="P232" s="32"/>
      <c r="Q232" s="32"/>
      <c r="R232" s="32"/>
      <c r="S232" s="32"/>
      <c r="T232" s="23"/>
      <c r="V232" s="195"/>
      <c r="X232" s="195"/>
      <c r="Y232" s="206"/>
      <c r="Z232" s="32"/>
      <c r="AA232" s="32"/>
      <c r="AB232" s="33"/>
      <c r="AC232" s="33"/>
      <c r="AD232" s="32"/>
      <c r="AE232" s="32"/>
      <c r="AF232" s="33"/>
      <c r="AG232" s="33"/>
      <c r="AH232" s="32"/>
      <c r="AI232" s="32"/>
      <c r="AJ232" s="32"/>
      <c r="AK232" s="32"/>
      <c r="AL232" s="33"/>
      <c r="AM232" s="33"/>
    </row>
    <row r="233" spans="1:39" x14ac:dyDescent="0.3">
      <c r="A233" s="22"/>
      <c r="C233" s="23"/>
      <c r="F233" s="195"/>
      <c r="H233" s="195"/>
      <c r="I233" s="195"/>
      <c r="J233" s="119"/>
      <c r="K233" s="119"/>
      <c r="L233" s="32"/>
      <c r="M233" s="32"/>
      <c r="N233" s="33"/>
      <c r="O233" s="33"/>
      <c r="P233" s="32"/>
      <c r="Q233" s="32"/>
      <c r="R233" s="32"/>
      <c r="T233" s="23"/>
      <c r="V233" s="195"/>
      <c r="X233" s="32"/>
      <c r="Y233" s="119"/>
      <c r="Z233" s="32"/>
      <c r="AA233" s="32"/>
      <c r="AB233" s="33"/>
      <c r="AC233" s="33"/>
      <c r="AD233" s="32"/>
      <c r="AE233" s="32"/>
      <c r="AF233" s="44"/>
      <c r="AG233" s="44"/>
      <c r="AH233" s="32"/>
      <c r="AI233" s="32"/>
      <c r="AJ233" s="32"/>
      <c r="AK233" s="32"/>
      <c r="AL233" s="33"/>
      <c r="AM233" s="33"/>
    </row>
    <row r="234" spans="1:39" x14ac:dyDescent="0.3">
      <c r="A234" s="22"/>
      <c r="C234" s="23"/>
      <c r="F234" s="195"/>
      <c r="H234" s="195"/>
      <c r="I234" s="195"/>
      <c r="J234" s="119"/>
      <c r="K234" s="119"/>
      <c r="L234" s="32"/>
      <c r="M234" s="32"/>
      <c r="N234" s="33"/>
      <c r="O234" s="33"/>
      <c r="P234" s="32"/>
      <c r="Q234" s="32"/>
      <c r="R234" s="32"/>
      <c r="T234" s="23"/>
      <c r="V234" s="195"/>
      <c r="X234" s="32"/>
      <c r="Y234" s="119"/>
      <c r="Z234" s="32"/>
      <c r="AA234" s="32"/>
      <c r="AB234" s="33"/>
      <c r="AC234" s="33"/>
      <c r="AD234" s="32"/>
      <c r="AE234" s="32"/>
      <c r="AF234" s="44"/>
      <c r="AG234" s="44"/>
      <c r="AH234" s="32"/>
      <c r="AI234" s="32"/>
      <c r="AJ234" s="32"/>
      <c r="AK234" s="32"/>
      <c r="AL234" s="33"/>
      <c r="AM234" s="33"/>
    </row>
    <row r="235" spans="1:39" x14ac:dyDescent="0.3">
      <c r="F235" s="34"/>
      <c r="H235" s="34"/>
      <c r="I235" s="34"/>
      <c r="J235" s="198"/>
      <c r="K235" s="198"/>
      <c r="L235" s="34"/>
      <c r="M235" s="34"/>
      <c r="N235" s="34"/>
      <c r="O235" s="34"/>
      <c r="P235" s="34"/>
      <c r="Q235" s="34"/>
      <c r="R235" s="34"/>
      <c r="V235" s="34"/>
      <c r="X235" s="34"/>
      <c r="Y235" s="198"/>
      <c r="Z235" s="34"/>
      <c r="AA235" s="34"/>
      <c r="AB235" s="34"/>
      <c r="AC235" s="34"/>
      <c r="AD235" s="34"/>
      <c r="AE235" s="34"/>
      <c r="AH235" s="34"/>
      <c r="AI235" s="34"/>
      <c r="AJ235" s="34"/>
      <c r="AK235" s="34"/>
      <c r="AL235" s="33"/>
      <c r="AM235" s="33"/>
    </row>
    <row r="236" spans="1:39" x14ac:dyDescent="0.3">
      <c r="A236" s="22"/>
      <c r="C236" s="23"/>
      <c r="F236" s="32"/>
      <c r="H236" s="32"/>
      <c r="I236" s="32"/>
      <c r="J236" s="48"/>
      <c r="K236" s="48"/>
      <c r="L236" s="32"/>
      <c r="M236" s="32"/>
      <c r="N236" s="33"/>
      <c r="O236" s="33"/>
      <c r="P236" s="32"/>
      <c r="Q236" s="32"/>
      <c r="R236" s="32"/>
      <c r="T236" s="23"/>
      <c r="V236" s="32"/>
      <c r="X236" s="32"/>
      <c r="Y236" s="48"/>
      <c r="Z236" s="32"/>
      <c r="AA236" s="32"/>
      <c r="AB236" s="33"/>
      <c r="AC236" s="33"/>
      <c r="AD236" s="32"/>
      <c r="AE236" s="32"/>
      <c r="AF236" s="44"/>
      <c r="AG236" s="44"/>
      <c r="AH236" s="32"/>
      <c r="AI236" s="32"/>
      <c r="AJ236" s="32"/>
      <c r="AK236" s="32"/>
      <c r="AL236" s="33"/>
      <c r="AM236" s="33"/>
    </row>
    <row r="237" spans="1:39" x14ac:dyDescent="0.3">
      <c r="F237" s="34"/>
      <c r="H237" s="34"/>
      <c r="I237" s="34"/>
      <c r="J237" s="198"/>
      <c r="K237" s="198"/>
      <c r="L237" s="34"/>
      <c r="M237" s="34"/>
      <c r="N237" s="34"/>
      <c r="O237" s="34"/>
      <c r="P237" s="34"/>
      <c r="Q237" s="34"/>
      <c r="R237" s="34"/>
      <c r="V237" s="34"/>
      <c r="X237" s="34"/>
      <c r="Y237" s="198"/>
      <c r="Z237" s="34"/>
      <c r="AA237" s="34"/>
      <c r="AB237" s="34"/>
      <c r="AC237" s="34"/>
      <c r="AD237" s="34"/>
      <c r="AE237" s="34"/>
      <c r="AH237" s="34"/>
      <c r="AI237" s="34"/>
      <c r="AJ237" s="34"/>
      <c r="AK237" s="34"/>
      <c r="AL237" s="33"/>
      <c r="AM237" s="33"/>
    </row>
    <row r="238" spans="1:39" x14ac:dyDescent="0.3">
      <c r="A238" s="22"/>
      <c r="C238" s="23"/>
      <c r="F238" s="32"/>
      <c r="H238" s="32"/>
      <c r="I238" s="32"/>
      <c r="J238" s="48"/>
      <c r="K238" s="48"/>
      <c r="L238" s="32"/>
      <c r="M238" s="32"/>
      <c r="N238" s="33"/>
      <c r="O238" s="33"/>
      <c r="P238" s="32"/>
      <c r="Q238" s="32"/>
      <c r="R238" s="32"/>
      <c r="T238" s="23"/>
      <c r="V238" s="32"/>
      <c r="X238" s="32"/>
      <c r="Y238" s="48"/>
      <c r="Z238" s="32"/>
      <c r="AA238" s="32"/>
      <c r="AB238" s="33"/>
      <c r="AC238" s="33"/>
      <c r="AD238" s="32"/>
      <c r="AE238" s="32"/>
      <c r="AF238" s="44"/>
      <c r="AG238" s="44"/>
      <c r="AH238" s="32"/>
      <c r="AI238" s="32"/>
      <c r="AJ238" s="32"/>
      <c r="AK238" s="32"/>
      <c r="AL238" s="33"/>
      <c r="AM238" s="33"/>
    </row>
    <row r="239" spans="1:39" x14ac:dyDescent="0.3">
      <c r="A239" s="22"/>
      <c r="C239" s="23"/>
      <c r="F239" s="32"/>
      <c r="H239" s="195"/>
      <c r="I239" s="195"/>
      <c r="J239" s="197"/>
      <c r="K239" s="197"/>
      <c r="L239" s="32"/>
      <c r="M239" s="32"/>
      <c r="N239" s="33"/>
      <c r="O239" s="33"/>
      <c r="P239" s="32"/>
      <c r="Q239" s="32"/>
      <c r="R239" s="32"/>
      <c r="T239" s="23"/>
      <c r="V239" s="32"/>
      <c r="X239" s="32"/>
      <c r="Y239" s="200"/>
      <c r="Z239" s="32"/>
      <c r="AA239" s="32"/>
      <c r="AB239" s="33"/>
      <c r="AC239" s="33"/>
      <c r="AD239" s="32"/>
      <c r="AE239" s="32"/>
      <c r="AF239" s="44"/>
      <c r="AG239" s="44"/>
      <c r="AH239" s="32"/>
      <c r="AI239" s="32"/>
      <c r="AJ239" s="32"/>
      <c r="AK239" s="32"/>
      <c r="AL239" s="33"/>
      <c r="AM239" s="33"/>
    </row>
    <row r="240" spans="1:39" x14ac:dyDescent="0.3">
      <c r="H240" s="34"/>
      <c r="I240" s="34"/>
      <c r="J240" s="198"/>
      <c r="K240" s="198"/>
      <c r="L240" s="34"/>
      <c r="M240" s="34"/>
      <c r="N240" s="34"/>
      <c r="O240" s="34"/>
      <c r="P240" s="34"/>
      <c r="Q240" s="34"/>
      <c r="R240" s="34"/>
      <c r="V240" s="34"/>
      <c r="X240" s="34"/>
      <c r="Y240" s="198"/>
      <c r="Z240" s="34"/>
      <c r="AA240" s="34"/>
      <c r="AB240" s="34"/>
      <c r="AC240" s="34"/>
      <c r="AD240" s="34"/>
      <c r="AE240" s="34"/>
      <c r="AH240" s="34"/>
      <c r="AI240" s="34"/>
      <c r="AJ240" s="34"/>
      <c r="AK240" s="34"/>
      <c r="AL240" s="33"/>
      <c r="AM240" s="33"/>
    </row>
    <row r="241" spans="1:39" x14ac:dyDescent="0.3">
      <c r="F241" s="34"/>
    </row>
    <row r="242" spans="1:39" x14ac:dyDescent="0.3">
      <c r="A242" s="22"/>
      <c r="C242" s="23"/>
      <c r="F242" s="32"/>
      <c r="H242" s="32"/>
      <c r="I242" s="32"/>
      <c r="J242" s="198"/>
      <c r="K242" s="198"/>
      <c r="L242" s="32"/>
      <c r="M242" s="32"/>
      <c r="N242" s="33"/>
      <c r="O242" s="33"/>
      <c r="P242" s="32"/>
      <c r="Q242" s="32"/>
      <c r="R242" s="32"/>
      <c r="S242" s="32"/>
      <c r="T242" s="23"/>
      <c r="V242" s="32"/>
      <c r="X242" s="32"/>
      <c r="Y242" s="198"/>
      <c r="Z242" s="32"/>
      <c r="AA242" s="32"/>
      <c r="AB242" s="33"/>
      <c r="AC242" s="33"/>
      <c r="AD242" s="32"/>
      <c r="AE242" s="32"/>
      <c r="AF242" s="33"/>
      <c r="AG242" s="33"/>
      <c r="AH242" s="32"/>
      <c r="AI242" s="32"/>
      <c r="AJ242" s="32"/>
      <c r="AK242" s="32"/>
      <c r="AL242" s="33"/>
      <c r="AM242" s="33"/>
    </row>
    <row r="243" spans="1:39" x14ac:dyDescent="0.3">
      <c r="F243" s="34"/>
      <c r="H243" s="34"/>
      <c r="I243" s="34"/>
      <c r="J243" s="198"/>
      <c r="K243" s="198"/>
      <c r="L243" s="34"/>
      <c r="M243" s="34"/>
      <c r="N243" s="34"/>
      <c r="O243" s="34"/>
      <c r="P243" s="34"/>
      <c r="Q243" s="34"/>
      <c r="R243" s="34"/>
      <c r="S243" s="32"/>
      <c r="V243" s="34"/>
      <c r="X243" s="34"/>
      <c r="Y243" s="198"/>
      <c r="Z243" s="34"/>
      <c r="AA243" s="34"/>
      <c r="AB243" s="34"/>
      <c r="AC243" s="34"/>
      <c r="AD243" s="34"/>
      <c r="AE243" s="34"/>
      <c r="AH243" s="34"/>
      <c r="AI243" s="34"/>
      <c r="AJ243" s="34"/>
      <c r="AK243" s="34"/>
      <c r="AL243" s="33"/>
      <c r="AM243" s="33"/>
    </row>
    <row r="244" spans="1:39" x14ac:dyDescent="0.3">
      <c r="A244" s="22"/>
      <c r="C244" s="23"/>
      <c r="H244" s="195"/>
      <c r="I244" s="195"/>
      <c r="J244" s="198"/>
      <c r="K244" s="198"/>
      <c r="L244" s="32"/>
      <c r="M244" s="32"/>
      <c r="N244" s="33"/>
      <c r="O244" s="33"/>
      <c r="P244" s="32"/>
      <c r="Q244" s="32"/>
      <c r="R244" s="32"/>
      <c r="S244" s="32"/>
      <c r="T244" s="23"/>
      <c r="V244" s="195"/>
      <c r="X244" s="195"/>
      <c r="Y244" s="198"/>
      <c r="Z244" s="32"/>
      <c r="AA244" s="32"/>
      <c r="AB244" s="33"/>
      <c r="AC244" s="33"/>
      <c r="AD244" s="32"/>
      <c r="AE244" s="32"/>
      <c r="AH244" s="32"/>
      <c r="AI244" s="32"/>
      <c r="AJ244" s="32"/>
      <c r="AK244" s="32"/>
      <c r="AL244" s="33"/>
      <c r="AM244" s="33"/>
    </row>
    <row r="245" spans="1:39" x14ac:dyDescent="0.3">
      <c r="F245" s="195"/>
    </row>
    <row r="246" spans="1:39" x14ac:dyDescent="0.3">
      <c r="A246" s="22"/>
      <c r="C246" s="23"/>
      <c r="F246" s="195"/>
      <c r="H246" s="195"/>
      <c r="I246" s="195"/>
      <c r="J246" s="119"/>
      <c r="K246" s="119"/>
      <c r="L246" s="32"/>
      <c r="M246" s="32"/>
      <c r="N246" s="33"/>
      <c r="O246" s="33"/>
      <c r="P246" s="22"/>
      <c r="Q246" s="22"/>
      <c r="R246" s="32"/>
      <c r="T246" s="23"/>
      <c r="V246" s="32"/>
      <c r="X246" s="195"/>
      <c r="Y246" s="119"/>
      <c r="Z246" s="32"/>
      <c r="AA246" s="32"/>
      <c r="AB246" s="33"/>
      <c r="AC246" s="33"/>
      <c r="AD246" s="32"/>
      <c r="AE246" s="32"/>
      <c r="AF246" s="44"/>
      <c r="AG246" s="44"/>
      <c r="AH246" s="22"/>
      <c r="AI246" s="22"/>
      <c r="AJ246" s="32"/>
      <c r="AK246" s="32"/>
      <c r="AL246" s="33"/>
      <c r="AM246" s="33"/>
    </row>
    <row r="247" spans="1:39" x14ac:dyDescent="0.3">
      <c r="F247" s="34"/>
      <c r="H247" s="32"/>
      <c r="I247" s="32"/>
      <c r="J247" s="198"/>
      <c r="K247" s="198"/>
      <c r="L247" s="34"/>
      <c r="M247" s="34"/>
      <c r="N247" s="34"/>
      <c r="O247" s="34"/>
      <c r="P247" s="34"/>
      <c r="Q247" s="34"/>
      <c r="R247" s="34"/>
      <c r="V247" s="34"/>
      <c r="X247" s="32"/>
      <c r="Y247" s="198"/>
      <c r="Z247" s="34"/>
      <c r="AA247" s="34"/>
      <c r="AB247" s="34"/>
      <c r="AC247" s="34"/>
      <c r="AD247" s="34"/>
      <c r="AE247" s="34"/>
      <c r="AH247" s="34"/>
      <c r="AI247" s="34"/>
      <c r="AJ247" s="34"/>
      <c r="AK247" s="34"/>
      <c r="AL247" s="33"/>
      <c r="AM247" s="33"/>
    </row>
    <row r="248" spans="1:39" x14ac:dyDescent="0.3">
      <c r="A248" s="22"/>
      <c r="C248" s="23"/>
      <c r="F248" s="195"/>
      <c r="H248" s="195"/>
      <c r="I248" s="195"/>
      <c r="J248" s="206"/>
      <c r="K248" s="206"/>
      <c r="L248" s="32"/>
      <c r="M248" s="32"/>
      <c r="N248" s="33"/>
      <c r="O248" s="33"/>
      <c r="P248" s="32"/>
      <c r="Q248" s="32"/>
      <c r="R248" s="32"/>
      <c r="S248" s="32"/>
      <c r="T248" s="23"/>
      <c r="V248" s="195"/>
      <c r="X248" s="195"/>
      <c r="Y248" s="206"/>
      <c r="Z248" s="32"/>
      <c r="AA248" s="32"/>
      <c r="AB248" s="33"/>
      <c r="AC248" s="33"/>
      <c r="AD248" s="32"/>
      <c r="AE248" s="32"/>
      <c r="AF248" s="33"/>
      <c r="AG248" s="33"/>
      <c r="AH248" s="32"/>
      <c r="AI248" s="32"/>
      <c r="AJ248" s="32"/>
      <c r="AK248" s="32"/>
      <c r="AL248" s="33"/>
      <c r="AM248" s="33"/>
    </row>
    <row r="249" spans="1:39" x14ac:dyDescent="0.3">
      <c r="A249" s="22"/>
      <c r="C249" s="23"/>
      <c r="F249" s="195"/>
      <c r="H249" s="195"/>
      <c r="I249" s="195"/>
      <c r="J249" s="119"/>
      <c r="K249" s="119"/>
      <c r="L249" s="32"/>
      <c r="M249" s="32"/>
      <c r="N249" s="33"/>
      <c r="O249" s="33"/>
      <c r="P249" s="32"/>
      <c r="Q249" s="32"/>
      <c r="R249" s="32"/>
      <c r="T249" s="23"/>
      <c r="V249" s="195"/>
      <c r="X249" s="32"/>
      <c r="Y249" s="119"/>
      <c r="Z249" s="32"/>
      <c r="AA249" s="32"/>
      <c r="AB249" s="33"/>
      <c r="AC249" s="33"/>
      <c r="AD249" s="32"/>
      <c r="AE249" s="32"/>
      <c r="AF249" s="44"/>
      <c r="AG249" s="44"/>
      <c r="AH249" s="32"/>
      <c r="AI249" s="32"/>
      <c r="AJ249" s="32"/>
      <c r="AK249" s="32"/>
      <c r="AL249" s="33"/>
      <c r="AM249" s="33"/>
    </row>
    <row r="250" spans="1:39" x14ac:dyDescent="0.3">
      <c r="A250" s="22"/>
      <c r="C250" s="23"/>
      <c r="F250" s="195"/>
      <c r="H250" s="195"/>
      <c r="I250" s="195"/>
      <c r="J250" s="119"/>
      <c r="K250" s="119"/>
      <c r="L250" s="32"/>
      <c r="M250" s="32"/>
      <c r="N250" s="33"/>
      <c r="O250" s="33"/>
      <c r="P250" s="32"/>
      <c r="Q250" s="32"/>
      <c r="R250" s="32"/>
      <c r="T250" s="23"/>
      <c r="V250" s="195"/>
      <c r="X250" s="32"/>
      <c r="Y250" s="119"/>
      <c r="Z250" s="32"/>
      <c r="AA250" s="32"/>
      <c r="AB250" s="33"/>
      <c r="AC250" s="33"/>
      <c r="AD250" s="32"/>
      <c r="AE250" s="32"/>
      <c r="AF250" s="44"/>
      <c r="AG250" s="44"/>
      <c r="AH250" s="32"/>
      <c r="AI250" s="32"/>
      <c r="AJ250" s="32"/>
      <c r="AK250" s="32"/>
      <c r="AL250" s="33"/>
      <c r="AM250" s="33"/>
    </row>
    <row r="251" spans="1:39" x14ac:dyDescent="0.3">
      <c r="F251" s="34"/>
      <c r="H251" s="34"/>
      <c r="I251" s="34"/>
      <c r="J251" s="198"/>
      <c r="K251" s="198"/>
      <c r="L251" s="34"/>
      <c r="M251" s="34"/>
      <c r="N251" s="34"/>
      <c r="O251" s="34"/>
      <c r="P251" s="34"/>
      <c r="Q251" s="34"/>
      <c r="R251" s="34"/>
      <c r="V251" s="34"/>
      <c r="X251" s="34"/>
      <c r="Y251" s="198"/>
      <c r="Z251" s="34"/>
      <c r="AA251" s="34"/>
      <c r="AB251" s="34"/>
      <c r="AC251" s="34"/>
      <c r="AD251" s="34"/>
      <c r="AE251" s="34"/>
      <c r="AH251" s="34"/>
      <c r="AI251" s="34"/>
      <c r="AJ251" s="34"/>
      <c r="AK251" s="34"/>
      <c r="AL251" s="33"/>
      <c r="AM251" s="33"/>
    </row>
    <row r="252" spans="1:39" x14ac:dyDescent="0.3">
      <c r="A252" s="22"/>
      <c r="C252" s="23"/>
      <c r="F252" s="32"/>
      <c r="H252" s="32"/>
      <c r="I252" s="32"/>
      <c r="J252" s="48"/>
      <c r="K252" s="48"/>
      <c r="L252" s="32"/>
      <c r="M252" s="32"/>
      <c r="N252" s="33"/>
      <c r="O252" s="33"/>
      <c r="P252" s="32"/>
      <c r="Q252" s="32"/>
      <c r="R252" s="32"/>
      <c r="T252" s="23"/>
      <c r="V252" s="32"/>
      <c r="X252" s="32"/>
      <c r="Y252" s="48"/>
      <c r="Z252" s="32"/>
      <c r="AA252" s="32"/>
      <c r="AB252" s="33"/>
      <c r="AC252" s="33"/>
      <c r="AD252" s="32"/>
      <c r="AE252" s="32"/>
      <c r="AF252" s="44"/>
      <c r="AG252" s="44"/>
      <c r="AH252" s="32"/>
      <c r="AI252" s="32"/>
      <c r="AJ252" s="32"/>
      <c r="AK252" s="32"/>
      <c r="AL252" s="33"/>
      <c r="AM252" s="33"/>
    </row>
    <row r="253" spans="1:39" x14ac:dyDescent="0.3">
      <c r="F253" s="34"/>
      <c r="H253" s="34"/>
      <c r="I253" s="34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X253" s="34"/>
      <c r="Y253" s="198"/>
      <c r="Z253" s="34"/>
      <c r="AA253" s="34"/>
      <c r="AB253" s="34"/>
      <c r="AC253" s="34"/>
      <c r="AD253" s="34"/>
      <c r="AE253" s="34"/>
      <c r="AH253" s="34"/>
      <c r="AI253" s="34"/>
      <c r="AJ253" s="34"/>
      <c r="AK253" s="34"/>
      <c r="AL253" s="33"/>
      <c r="AM253" s="33"/>
    </row>
    <row r="254" spans="1:39" x14ac:dyDescent="0.3">
      <c r="A254" s="22"/>
      <c r="C254" s="23"/>
      <c r="F254" s="32"/>
      <c r="H254" s="32"/>
      <c r="I254" s="32"/>
      <c r="J254" s="48"/>
      <c r="K254" s="48"/>
      <c r="L254" s="32"/>
      <c r="M254" s="32"/>
      <c r="N254" s="33"/>
      <c r="O254" s="33"/>
      <c r="P254" s="32"/>
      <c r="Q254" s="32"/>
      <c r="R254" s="32"/>
      <c r="T254" s="23"/>
      <c r="V254" s="32"/>
      <c r="X254" s="32"/>
      <c r="Y254" s="48"/>
      <c r="Z254" s="32"/>
      <c r="AA254" s="32"/>
      <c r="AB254" s="33"/>
      <c r="AC254" s="33"/>
      <c r="AD254" s="32"/>
      <c r="AE254" s="32"/>
      <c r="AF254" s="44"/>
      <c r="AG254" s="44"/>
      <c r="AH254" s="32"/>
      <c r="AI254" s="32"/>
      <c r="AJ254" s="32"/>
      <c r="AK254" s="32"/>
      <c r="AL254" s="33"/>
      <c r="AM254" s="33"/>
    </row>
    <row r="255" spans="1:39" x14ac:dyDescent="0.3">
      <c r="A255" s="22"/>
      <c r="C255" s="23"/>
      <c r="F255" s="32"/>
      <c r="H255" s="195"/>
      <c r="I255" s="195"/>
      <c r="J255" s="197"/>
      <c r="K255" s="197"/>
      <c r="L255" s="32"/>
      <c r="M255" s="32"/>
      <c r="N255" s="33"/>
      <c r="O255" s="33"/>
      <c r="P255" s="32"/>
      <c r="Q255" s="32"/>
      <c r="R255" s="32"/>
      <c r="T255" s="23"/>
      <c r="V255" s="32"/>
      <c r="X255" s="32"/>
      <c r="Y255" s="200"/>
      <c r="Z255" s="32"/>
      <c r="AA255" s="32"/>
      <c r="AB255" s="33"/>
      <c r="AC255" s="33"/>
      <c r="AD255" s="32"/>
      <c r="AE255" s="32"/>
      <c r="AF255" s="44"/>
      <c r="AG255" s="44"/>
      <c r="AH255" s="32"/>
      <c r="AI255" s="32"/>
      <c r="AJ255" s="32"/>
      <c r="AK255" s="32"/>
      <c r="AL255" s="33"/>
      <c r="AM255" s="33"/>
    </row>
    <row r="256" spans="1:39" x14ac:dyDescent="0.3">
      <c r="H256" s="34"/>
      <c r="I256" s="34"/>
      <c r="J256" s="198"/>
      <c r="K256" s="198"/>
      <c r="L256" s="34"/>
      <c r="M256" s="34"/>
      <c r="N256" s="34"/>
      <c r="O256" s="34"/>
      <c r="P256" s="34"/>
      <c r="Q256" s="34"/>
      <c r="R256" s="34"/>
      <c r="V256" s="34"/>
      <c r="X256" s="34"/>
      <c r="Y256" s="198"/>
      <c r="Z256" s="34"/>
      <c r="AA256" s="34"/>
      <c r="AB256" s="34"/>
      <c r="AC256" s="34"/>
      <c r="AD256" s="34"/>
      <c r="AE256" s="34"/>
      <c r="AH256" s="34"/>
      <c r="AI256" s="34"/>
      <c r="AJ256" s="34"/>
      <c r="AK256" s="34"/>
      <c r="AL256" s="33"/>
      <c r="AM256" s="33"/>
    </row>
    <row r="257" spans="1:39" x14ac:dyDescent="0.3">
      <c r="F257" s="34"/>
    </row>
    <row r="258" spans="1:39" x14ac:dyDescent="0.3">
      <c r="A258" s="22"/>
      <c r="C258" s="23"/>
      <c r="F258" s="32"/>
      <c r="H258" s="32"/>
      <c r="I258" s="32"/>
      <c r="J258" s="198"/>
      <c r="K258" s="198"/>
      <c r="L258" s="32"/>
      <c r="M258" s="32"/>
      <c r="N258" s="33"/>
      <c r="O258" s="33"/>
      <c r="P258" s="32"/>
      <c r="Q258" s="32"/>
      <c r="R258" s="32"/>
      <c r="S258" s="32"/>
      <c r="T258" s="23"/>
      <c r="V258" s="32"/>
      <c r="X258" s="32"/>
      <c r="Y258" s="198"/>
      <c r="Z258" s="32"/>
      <c r="AA258" s="32"/>
      <c r="AB258" s="33"/>
      <c r="AC258" s="33"/>
      <c r="AD258" s="32"/>
      <c r="AE258" s="32"/>
      <c r="AF258" s="33"/>
      <c r="AG258" s="33"/>
      <c r="AH258" s="32"/>
      <c r="AI258" s="32"/>
      <c r="AJ258" s="32"/>
      <c r="AK258" s="32"/>
      <c r="AL258" s="33"/>
      <c r="AM258" s="33"/>
    </row>
    <row r="259" spans="1:39" x14ac:dyDescent="0.3">
      <c r="F259" s="34"/>
      <c r="H259" s="34"/>
      <c r="I259" s="34"/>
      <c r="J259" s="198"/>
      <c r="K259" s="198"/>
      <c r="L259" s="34"/>
      <c r="M259" s="34"/>
      <c r="N259" s="34"/>
      <c r="O259" s="34"/>
      <c r="P259" s="34"/>
      <c r="Q259" s="34"/>
      <c r="R259" s="34"/>
      <c r="S259" s="32"/>
      <c r="V259" s="34"/>
      <c r="X259" s="34"/>
      <c r="Y259" s="198"/>
      <c r="Z259" s="34"/>
      <c r="AA259" s="34"/>
      <c r="AB259" s="34"/>
      <c r="AC259" s="34"/>
      <c r="AD259" s="34"/>
      <c r="AE259" s="34"/>
      <c r="AH259" s="34"/>
      <c r="AI259" s="34"/>
      <c r="AJ259" s="34"/>
      <c r="AK259" s="34"/>
      <c r="AL259" s="33"/>
      <c r="AM259" s="33"/>
    </row>
    <row r="260" spans="1:39" x14ac:dyDescent="0.3">
      <c r="A260" s="22"/>
      <c r="C260" s="23"/>
      <c r="T260" s="23"/>
    </row>
    <row r="261" spans="1:39" x14ac:dyDescent="0.3">
      <c r="A261" s="22"/>
      <c r="C261" s="23"/>
      <c r="F261" s="32"/>
      <c r="H261" s="32"/>
      <c r="I261" s="32"/>
      <c r="L261" s="32"/>
      <c r="M261" s="32"/>
      <c r="N261" s="33"/>
      <c r="O261" s="33"/>
      <c r="P261" s="195"/>
      <c r="Q261" s="195"/>
      <c r="R261" s="32"/>
      <c r="T261" s="23"/>
      <c r="V261" s="32"/>
      <c r="X261" s="32"/>
      <c r="Z261" s="32"/>
      <c r="AA261" s="32"/>
      <c r="AB261" s="33"/>
      <c r="AC261" s="33"/>
      <c r="AD261" s="32"/>
      <c r="AE261" s="32"/>
      <c r="AF261" s="33"/>
      <c r="AG261" s="33"/>
      <c r="AH261" s="195"/>
      <c r="AI261" s="195"/>
      <c r="AJ261" s="32"/>
      <c r="AK261" s="32"/>
      <c r="AL261" s="33"/>
      <c r="AM261" s="33"/>
    </row>
    <row r="262" spans="1:39" x14ac:dyDescent="0.3">
      <c r="H262" s="34"/>
      <c r="I262" s="34"/>
      <c r="J262" s="198"/>
      <c r="K262" s="198"/>
      <c r="L262" s="34"/>
      <c r="M262" s="34"/>
      <c r="N262" s="34"/>
      <c r="O262" s="34"/>
      <c r="P262" s="34"/>
      <c r="Q262" s="34"/>
      <c r="R262" s="34"/>
      <c r="V262" s="34"/>
      <c r="X262" s="34"/>
      <c r="Y262" s="198"/>
      <c r="Z262" s="34"/>
      <c r="AA262" s="34"/>
      <c r="AB262" s="34"/>
      <c r="AC262" s="34"/>
      <c r="AD262" s="34"/>
      <c r="AE262" s="34"/>
      <c r="AH262" s="34"/>
      <c r="AI262" s="34"/>
      <c r="AJ262" s="34"/>
      <c r="AK262" s="34"/>
    </row>
    <row r="263" spans="1:39" x14ac:dyDescent="0.3">
      <c r="F263" s="34"/>
    </row>
    <row r="264" spans="1:39" x14ac:dyDescent="0.3">
      <c r="C264" s="23"/>
      <c r="L264" s="32"/>
      <c r="M264" s="32"/>
      <c r="N264" s="32"/>
      <c r="O264" s="32"/>
      <c r="P264" s="32"/>
      <c r="Q264" s="32"/>
      <c r="R264" s="32"/>
      <c r="S264" s="32"/>
      <c r="T264" s="23"/>
      <c r="Z264" s="32"/>
      <c r="AA264" s="32"/>
      <c r="AB264" s="32"/>
      <c r="AC264" s="32"/>
      <c r="AH264" s="32"/>
      <c r="AI264" s="32"/>
      <c r="AJ264" s="32"/>
      <c r="AK264" s="32"/>
    </row>
    <row r="265" spans="1:39" x14ac:dyDescent="0.3">
      <c r="A265" s="23"/>
    </row>
    <row r="266" spans="1:39" x14ac:dyDescent="0.3">
      <c r="J266" s="22"/>
      <c r="K266" s="22"/>
      <c r="Y266" s="22"/>
    </row>
    <row r="267" spans="1:39" x14ac:dyDescent="0.3">
      <c r="H267" s="23"/>
      <c r="I267" s="23"/>
      <c r="X267" s="23"/>
    </row>
    <row r="268" spans="1:39" x14ac:dyDescent="0.3">
      <c r="J268" s="22"/>
      <c r="K268" s="22"/>
      <c r="Y268" s="22"/>
    </row>
    <row r="269" spans="1:39" x14ac:dyDescent="0.3">
      <c r="L269" s="23"/>
      <c r="M269" s="23"/>
      <c r="Z269" s="23"/>
      <c r="AA269" s="23"/>
    </row>
    <row r="270" spans="1:39" x14ac:dyDescent="0.3">
      <c r="A270" s="22"/>
      <c r="R270" s="23"/>
      <c r="AJ270" s="23"/>
      <c r="AK270" s="23"/>
    </row>
    <row r="271" spans="1:39" x14ac:dyDescent="0.3">
      <c r="A271" s="22"/>
      <c r="R271" s="23"/>
      <c r="AJ271" s="23"/>
      <c r="AK271" s="23"/>
    </row>
    <row r="272" spans="1:39" x14ac:dyDescent="0.3">
      <c r="A272" s="23"/>
      <c r="R272" s="23"/>
      <c r="AJ272" s="23"/>
      <c r="AK272" s="23"/>
    </row>
    <row r="273" spans="1:39" x14ac:dyDescent="0.3">
      <c r="L273" s="23"/>
      <c r="M273" s="23"/>
      <c r="R273" s="22"/>
      <c r="Z273" s="23"/>
      <c r="AA273" s="23"/>
      <c r="AJ273" s="22"/>
      <c r="AK273" s="22"/>
    </row>
    <row r="274" spans="1:39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</row>
    <row r="275" spans="1:39" x14ac:dyDescent="0.3">
      <c r="L275" s="30"/>
      <c r="M275" s="30"/>
      <c r="N275" s="30"/>
      <c r="O275" s="30"/>
      <c r="R275" s="30"/>
      <c r="Z275" s="30"/>
      <c r="AA275" s="30"/>
      <c r="AB275" s="30"/>
      <c r="AC275" s="30"/>
      <c r="AD275" s="30"/>
      <c r="AE275" s="30"/>
      <c r="AF275" s="30"/>
      <c r="AG275" s="30"/>
      <c r="AJ275" s="30"/>
      <c r="AK275" s="30"/>
      <c r="AL275" s="30"/>
      <c r="AM275" s="30"/>
    </row>
    <row r="276" spans="1:39" x14ac:dyDescent="0.3">
      <c r="L276" s="30"/>
      <c r="M276" s="30"/>
      <c r="N276" s="30"/>
      <c r="O276" s="30"/>
      <c r="R276" s="30"/>
      <c r="Y276" s="30"/>
      <c r="Z276" s="30"/>
      <c r="AA276" s="30"/>
      <c r="AB276" s="30"/>
      <c r="AC276" s="30"/>
      <c r="AD276" s="30"/>
      <c r="AE276" s="30"/>
      <c r="AF276" s="30"/>
      <c r="AG276" s="30"/>
      <c r="AJ276" s="30"/>
      <c r="AK276" s="30"/>
      <c r="AL276" s="30"/>
      <c r="AM276" s="30"/>
    </row>
    <row r="277" spans="1:39" x14ac:dyDescent="0.3">
      <c r="A277" s="30"/>
      <c r="C277" s="30"/>
      <c r="D277" s="30"/>
      <c r="E277" s="30"/>
      <c r="F277" s="30"/>
      <c r="J277" s="30"/>
      <c r="K277" s="30"/>
      <c r="L277" s="30"/>
      <c r="M277" s="30"/>
      <c r="N277" s="30"/>
      <c r="O277" s="30"/>
      <c r="P277" s="30"/>
      <c r="Q277" s="30"/>
      <c r="R277" s="30"/>
      <c r="T277" s="30"/>
      <c r="U277" s="30"/>
      <c r="V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</row>
    <row r="278" spans="1:39" x14ac:dyDescent="0.3">
      <c r="A278" s="30"/>
      <c r="C278" s="30"/>
      <c r="D278" s="30"/>
      <c r="E278" s="30"/>
      <c r="F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T278" s="30"/>
      <c r="U278" s="30"/>
      <c r="V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spans="1:39" x14ac:dyDescent="0.3">
      <c r="C279" s="30"/>
      <c r="D279" s="30"/>
      <c r="E279" s="30"/>
      <c r="F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T279" s="30"/>
      <c r="U279" s="30"/>
      <c r="V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</row>
    <row r="280" spans="1:39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</row>
    <row r="281" spans="1:39" x14ac:dyDescent="0.3"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</row>
    <row r="282" spans="1:39" x14ac:dyDescent="0.3">
      <c r="A282" s="22"/>
      <c r="C282" s="23"/>
      <c r="D282" s="23"/>
      <c r="E282" s="23"/>
      <c r="T282" s="23"/>
      <c r="U282" s="23"/>
    </row>
    <row r="283" spans="1:39" x14ac:dyDescent="0.3">
      <c r="D283" s="23"/>
      <c r="E283" s="23"/>
      <c r="U283" s="23"/>
    </row>
    <row r="285" spans="1:39" x14ac:dyDescent="0.3">
      <c r="A285" s="22"/>
      <c r="C285" s="23"/>
      <c r="T285" s="23"/>
    </row>
    <row r="286" spans="1:39" x14ac:dyDescent="0.3">
      <c r="A286" s="22"/>
      <c r="C286" s="23"/>
      <c r="F286" s="195"/>
      <c r="H286" s="195"/>
      <c r="I286" s="195"/>
      <c r="J286" s="203"/>
      <c r="K286" s="203"/>
      <c r="L286" s="32"/>
      <c r="M286" s="32"/>
      <c r="N286" s="33"/>
      <c r="O286" s="33"/>
      <c r="P286" s="32"/>
      <c r="Q286" s="32"/>
      <c r="R286" s="32"/>
      <c r="T286" s="23"/>
      <c r="V286" s="195"/>
      <c r="W286" s="32"/>
      <c r="X286" s="195"/>
      <c r="Y286" s="203"/>
      <c r="Z286" s="32"/>
      <c r="AA286" s="32"/>
      <c r="AB286" s="33"/>
      <c r="AC286" s="33"/>
      <c r="AD286" s="32"/>
      <c r="AE286" s="32"/>
      <c r="AF286" s="44"/>
      <c r="AG286" s="44"/>
      <c r="AH286" s="32"/>
      <c r="AI286" s="32"/>
      <c r="AJ286" s="32"/>
      <c r="AK286" s="32"/>
      <c r="AL286" s="33"/>
      <c r="AM286" s="33"/>
    </row>
    <row r="287" spans="1:39" x14ac:dyDescent="0.3">
      <c r="A287" s="22"/>
      <c r="C287" s="23"/>
      <c r="F287" s="32"/>
      <c r="H287" s="32"/>
      <c r="I287" s="32"/>
      <c r="J287" s="198"/>
      <c r="K287" s="198"/>
      <c r="L287" s="32"/>
      <c r="M287" s="32"/>
      <c r="N287" s="33"/>
      <c r="O287" s="33"/>
      <c r="P287" s="32"/>
      <c r="Q287" s="32"/>
      <c r="R287" s="32"/>
      <c r="T287" s="23"/>
      <c r="V287" s="195"/>
      <c r="W287" s="32"/>
      <c r="X287" s="195"/>
      <c r="Y287" s="198"/>
      <c r="Z287" s="32"/>
      <c r="AA287" s="32"/>
      <c r="AB287" s="33"/>
      <c r="AC287" s="33"/>
      <c r="AD287" s="32"/>
      <c r="AE287" s="32"/>
      <c r="AF287" s="44"/>
      <c r="AG287" s="44"/>
      <c r="AH287" s="32"/>
      <c r="AI287" s="32"/>
      <c r="AJ287" s="32"/>
      <c r="AK287" s="32"/>
      <c r="AL287" s="33"/>
      <c r="AM287" s="33"/>
    </row>
    <row r="288" spans="1:39" x14ac:dyDescent="0.3">
      <c r="A288" s="22"/>
      <c r="C288" s="23"/>
      <c r="F288" s="195"/>
      <c r="H288" s="195"/>
      <c r="I288" s="195"/>
      <c r="J288" s="203"/>
      <c r="K288" s="203"/>
      <c r="L288" s="32"/>
      <c r="M288" s="32"/>
      <c r="N288" s="33"/>
      <c r="O288" s="33"/>
      <c r="P288" s="32"/>
      <c r="Q288" s="32"/>
      <c r="R288" s="32"/>
      <c r="T288" s="23"/>
      <c r="V288" s="195"/>
      <c r="W288" s="32"/>
      <c r="X288" s="195"/>
      <c r="Y288" s="203"/>
      <c r="Z288" s="32"/>
      <c r="AA288" s="32"/>
      <c r="AB288" s="33"/>
      <c r="AC288" s="33"/>
      <c r="AD288" s="32"/>
      <c r="AE288" s="32"/>
      <c r="AF288" s="44"/>
      <c r="AG288" s="44"/>
      <c r="AH288" s="32"/>
      <c r="AI288" s="32"/>
      <c r="AJ288" s="32"/>
      <c r="AK288" s="32"/>
      <c r="AL288" s="33"/>
      <c r="AM288" s="33"/>
    </row>
    <row r="289" spans="1:39" x14ac:dyDescent="0.3">
      <c r="A289" s="22"/>
      <c r="C289" s="23"/>
      <c r="F289" s="195"/>
      <c r="H289" s="195"/>
      <c r="I289" s="195"/>
      <c r="J289" s="203"/>
      <c r="K289" s="203"/>
      <c r="L289" s="32"/>
      <c r="M289" s="32"/>
      <c r="N289" s="33"/>
      <c r="O289" s="33"/>
      <c r="P289" s="32"/>
      <c r="Q289" s="32"/>
      <c r="R289" s="32"/>
      <c r="T289" s="23"/>
      <c r="V289" s="195"/>
      <c r="W289" s="32"/>
      <c r="X289" s="195"/>
      <c r="Y289" s="203"/>
      <c r="Z289" s="32"/>
      <c r="AA289" s="32"/>
      <c r="AB289" s="33"/>
      <c r="AC289" s="33"/>
      <c r="AD289" s="32"/>
      <c r="AE289" s="32"/>
      <c r="AF289" s="44"/>
      <c r="AG289" s="44"/>
      <c r="AH289" s="32"/>
      <c r="AI289" s="32"/>
      <c r="AJ289" s="32"/>
      <c r="AK289" s="32"/>
      <c r="AL289" s="33"/>
      <c r="AM289" s="33"/>
    </row>
    <row r="290" spans="1:39" x14ac:dyDescent="0.3">
      <c r="A290" s="22"/>
      <c r="C290" s="23"/>
      <c r="F290" s="195"/>
      <c r="H290" s="195"/>
      <c r="I290" s="195"/>
      <c r="J290" s="203"/>
      <c r="K290" s="203"/>
      <c r="L290" s="32"/>
      <c r="M290" s="32"/>
      <c r="N290" s="33"/>
      <c r="O290" s="33"/>
      <c r="P290" s="32"/>
      <c r="Q290" s="32"/>
      <c r="R290" s="32"/>
      <c r="T290" s="23"/>
      <c r="V290" s="195"/>
      <c r="W290" s="32"/>
      <c r="X290" s="195"/>
      <c r="Y290" s="203"/>
      <c r="Z290" s="32"/>
      <c r="AA290" s="32"/>
      <c r="AB290" s="33"/>
      <c r="AC290" s="33"/>
      <c r="AD290" s="32"/>
      <c r="AE290" s="32"/>
      <c r="AF290" s="44"/>
      <c r="AG290" s="44"/>
      <c r="AH290" s="32"/>
      <c r="AI290" s="32"/>
      <c r="AJ290" s="32"/>
      <c r="AK290" s="32"/>
      <c r="AL290" s="33"/>
      <c r="AM290" s="33"/>
    </row>
    <row r="291" spans="1:39" x14ac:dyDescent="0.3">
      <c r="A291" s="22"/>
      <c r="C291" s="23"/>
      <c r="F291" s="32"/>
      <c r="H291" s="32"/>
      <c r="I291" s="32"/>
      <c r="J291" s="203"/>
      <c r="K291" s="203"/>
      <c r="L291" s="32"/>
      <c r="M291" s="32"/>
      <c r="N291" s="33"/>
      <c r="O291" s="33"/>
      <c r="P291" s="32"/>
      <c r="Q291" s="32"/>
      <c r="R291" s="32"/>
      <c r="T291" s="23"/>
      <c r="V291" s="195"/>
      <c r="W291" s="32"/>
      <c r="X291" s="195"/>
      <c r="Y291" s="203"/>
      <c r="Z291" s="32"/>
      <c r="AA291" s="32"/>
      <c r="AB291" s="33"/>
      <c r="AC291" s="33"/>
      <c r="AD291" s="32"/>
      <c r="AE291" s="32"/>
      <c r="AF291" s="44"/>
      <c r="AG291" s="44"/>
      <c r="AH291" s="32"/>
      <c r="AI291" s="32"/>
      <c r="AJ291" s="32"/>
      <c r="AK291" s="32"/>
      <c r="AL291" s="33"/>
      <c r="AM291" s="33"/>
    </row>
    <row r="292" spans="1:39" x14ac:dyDescent="0.3">
      <c r="A292" s="22"/>
      <c r="C292" s="23"/>
      <c r="F292" s="32"/>
      <c r="H292" s="32"/>
      <c r="I292" s="32"/>
      <c r="J292" s="203"/>
      <c r="K292" s="203"/>
      <c r="L292" s="32"/>
      <c r="M292" s="32"/>
      <c r="N292" s="33"/>
      <c r="O292" s="33"/>
      <c r="P292" s="32"/>
      <c r="Q292" s="32"/>
      <c r="R292" s="32"/>
      <c r="T292" s="23"/>
      <c r="V292" s="195"/>
      <c r="W292" s="32"/>
      <c r="X292" s="195"/>
      <c r="Y292" s="203"/>
      <c r="Z292" s="32"/>
      <c r="AA292" s="32"/>
      <c r="AB292" s="33"/>
      <c r="AC292" s="33"/>
      <c r="AD292" s="32"/>
      <c r="AE292" s="32"/>
      <c r="AF292" s="44"/>
      <c r="AG292" s="44"/>
      <c r="AH292" s="32"/>
      <c r="AI292" s="32"/>
      <c r="AJ292" s="32"/>
      <c r="AK292" s="32"/>
      <c r="AL292" s="33"/>
      <c r="AM292" s="33"/>
    </row>
    <row r="293" spans="1:39" x14ac:dyDescent="0.3">
      <c r="F293" s="60"/>
      <c r="H293" s="209"/>
      <c r="I293" s="209"/>
      <c r="J293" s="203"/>
      <c r="K293" s="203"/>
      <c r="L293" s="60"/>
      <c r="M293" s="60"/>
      <c r="N293" s="34"/>
      <c r="O293" s="34"/>
      <c r="P293" s="60"/>
      <c r="Q293" s="60"/>
      <c r="R293" s="60"/>
      <c r="V293" s="60"/>
      <c r="W293" s="32"/>
      <c r="X293" s="60"/>
      <c r="Y293" s="203"/>
      <c r="Z293" s="60"/>
      <c r="AA293" s="60"/>
      <c r="AB293" s="61"/>
      <c r="AC293" s="61"/>
      <c r="AD293" s="60"/>
      <c r="AE293" s="60"/>
      <c r="AF293" s="44"/>
      <c r="AG293" s="44"/>
      <c r="AH293" s="60"/>
      <c r="AI293" s="60"/>
      <c r="AJ293" s="60"/>
      <c r="AK293" s="60"/>
      <c r="AL293" s="33"/>
      <c r="AM293" s="33"/>
    </row>
    <row r="294" spans="1:39" x14ac:dyDescent="0.3">
      <c r="A294" s="22"/>
      <c r="C294" s="23"/>
      <c r="F294" s="32"/>
      <c r="H294" s="32"/>
      <c r="I294" s="32"/>
      <c r="J294" s="203"/>
      <c r="K294" s="203"/>
      <c r="L294" s="32"/>
      <c r="M294" s="32"/>
      <c r="N294" s="44"/>
      <c r="O294" s="44"/>
      <c r="P294" s="32"/>
      <c r="Q294" s="32"/>
      <c r="R294" s="32"/>
      <c r="T294" s="30"/>
      <c r="V294" s="32"/>
      <c r="W294" s="32"/>
      <c r="X294" s="32"/>
      <c r="Y294" s="203"/>
      <c r="Z294" s="32"/>
      <c r="AA294" s="32"/>
      <c r="AB294" s="44"/>
      <c r="AC294" s="44"/>
      <c r="AD294" s="32"/>
      <c r="AE294" s="32"/>
      <c r="AF294" s="44"/>
      <c r="AG294" s="44"/>
      <c r="AH294" s="32"/>
      <c r="AI294" s="32"/>
      <c r="AJ294" s="32"/>
      <c r="AK294" s="32"/>
      <c r="AL294" s="33"/>
      <c r="AM294" s="33"/>
    </row>
    <row r="295" spans="1:39" x14ac:dyDescent="0.3">
      <c r="F295" s="29"/>
      <c r="H295" s="29"/>
      <c r="I295" s="29"/>
      <c r="L295" s="29"/>
      <c r="M295" s="29"/>
      <c r="N295" s="61"/>
      <c r="O295" s="61"/>
      <c r="P295" s="60"/>
      <c r="Q295" s="60"/>
      <c r="R295" s="60"/>
      <c r="V295" s="60"/>
      <c r="X295" s="60"/>
      <c r="Y295" s="198"/>
      <c r="Z295" s="60"/>
      <c r="AA295" s="60"/>
      <c r="AB295" s="60"/>
      <c r="AC295" s="60"/>
      <c r="AD295" s="60"/>
      <c r="AE295" s="60"/>
      <c r="AH295" s="60"/>
      <c r="AI295" s="60"/>
      <c r="AJ295" s="60"/>
      <c r="AK295" s="60"/>
      <c r="AL295" s="61"/>
      <c r="AM295" s="61"/>
    </row>
    <row r="296" spans="1:39" x14ac:dyDescent="0.3">
      <c r="AH296" s="22"/>
      <c r="AI296" s="22"/>
    </row>
    <row r="300" spans="1:39" x14ac:dyDescent="0.3">
      <c r="N300" s="32"/>
      <c r="O300" s="32"/>
      <c r="P300" s="32"/>
      <c r="Q300" s="32"/>
      <c r="R300" s="32"/>
      <c r="V300" s="32"/>
      <c r="X300" s="32"/>
      <c r="Y300" s="48"/>
      <c r="Z300" s="32"/>
      <c r="AA300" s="32"/>
      <c r="AB300" s="33"/>
      <c r="AC300" s="33"/>
      <c r="AD300" s="32"/>
      <c r="AE300" s="32"/>
      <c r="AF300" s="44"/>
      <c r="AG300" s="44"/>
      <c r="AH300" s="32"/>
      <c r="AI300" s="32"/>
      <c r="AJ300" s="32"/>
      <c r="AK300" s="32"/>
      <c r="AL300" s="33"/>
      <c r="AM300" s="33"/>
    </row>
    <row r="301" spans="1:39" x14ac:dyDescent="0.3">
      <c r="A301" s="22"/>
      <c r="C301" s="23"/>
      <c r="D301" s="23"/>
      <c r="E301" s="23"/>
      <c r="J301" s="62"/>
      <c r="K301" s="62"/>
      <c r="T301" s="23"/>
      <c r="U301" s="23"/>
      <c r="Y301" s="62"/>
      <c r="AD301" s="32"/>
      <c r="AE301" s="32"/>
      <c r="AH301" s="32"/>
      <c r="AI301" s="32"/>
      <c r="AJ301" s="32"/>
      <c r="AK301" s="32"/>
      <c r="AL301" s="33"/>
      <c r="AM301" s="33"/>
    </row>
    <row r="302" spans="1:39" x14ac:dyDescent="0.3">
      <c r="D302" s="23"/>
      <c r="E302" s="23"/>
      <c r="F302" s="32"/>
      <c r="H302" s="32"/>
      <c r="I302" s="32"/>
      <c r="J302" s="203"/>
      <c r="K302" s="203"/>
      <c r="L302" s="32"/>
      <c r="M302" s="32"/>
      <c r="N302" s="33"/>
      <c r="O302" s="33"/>
      <c r="P302" s="32"/>
      <c r="Q302" s="32"/>
      <c r="R302" s="32"/>
      <c r="U302" s="23"/>
      <c r="V302" s="32"/>
      <c r="X302" s="32"/>
      <c r="Y302" s="203"/>
      <c r="Z302" s="32"/>
      <c r="AA302" s="32"/>
      <c r="AB302" s="33"/>
      <c r="AC302" s="33"/>
      <c r="AD302" s="32"/>
      <c r="AE302" s="32"/>
      <c r="AF302" s="44"/>
      <c r="AG302" s="44"/>
      <c r="AH302" s="32"/>
      <c r="AI302" s="32"/>
      <c r="AJ302" s="32"/>
      <c r="AK302" s="32"/>
      <c r="AL302" s="33"/>
      <c r="AM302" s="33"/>
    </row>
    <row r="303" spans="1:39" x14ac:dyDescent="0.3">
      <c r="F303" s="32"/>
      <c r="H303" s="32"/>
      <c r="I303" s="32"/>
      <c r="J303" s="198"/>
      <c r="K303" s="198"/>
      <c r="L303" s="32"/>
      <c r="M303" s="32"/>
      <c r="N303" s="32"/>
      <c r="O303" s="32"/>
      <c r="P303" s="32"/>
      <c r="Q303" s="32"/>
      <c r="R303" s="32"/>
      <c r="V303" s="32"/>
      <c r="X303" s="32"/>
      <c r="Y303" s="198"/>
      <c r="Z303" s="32"/>
      <c r="AA303" s="32"/>
      <c r="AB303" s="32"/>
      <c r="AC303" s="32"/>
      <c r="AD303" s="32"/>
      <c r="AE303" s="32"/>
      <c r="AF303" s="44"/>
      <c r="AG303" s="44"/>
      <c r="AH303" s="195"/>
      <c r="AI303" s="195"/>
      <c r="AJ303" s="32"/>
      <c r="AK303" s="32"/>
      <c r="AL303" s="33"/>
      <c r="AM303" s="33"/>
    </row>
    <row r="304" spans="1:39" x14ac:dyDescent="0.3">
      <c r="A304" s="22"/>
      <c r="C304" s="23"/>
      <c r="F304" s="195"/>
      <c r="H304" s="195"/>
      <c r="I304" s="195"/>
      <c r="J304" s="200"/>
      <c r="K304" s="200"/>
      <c r="L304" s="32"/>
      <c r="M304" s="32"/>
      <c r="N304" s="33"/>
      <c r="O304" s="33"/>
      <c r="P304" s="32"/>
      <c r="Q304" s="32"/>
      <c r="R304" s="32"/>
      <c r="T304" s="23"/>
      <c r="V304" s="195"/>
      <c r="X304" s="195"/>
      <c r="Y304" s="200"/>
      <c r="Z304" s="32"/>
      <c r="AA304" s="32"/>
      <c r="AB304" s="33"/>
      <c r="AC304" s="33"/>
      <c r="AD304" s="32"/>
      <c r="AE304" s="32"/>
      <c r="AF304" s="44"/>
      <c r="AG304" s="44"/>
      <c r="AH304" s="32"/>
      <c r="AI304" s="32"/>
      <c r="AJ304" s="32"/>
      <c r="AK304" s="32"/>
      <c r="AL304" s="33"/>
      <c r="AM304" s="33"/>
    </row>
    <row r="305" spans="1:39" x14ac:dyDescent="0.3">
      <c r="F305" s="29"/>
      <c r="H305" s="29"/>
      <c r="I305" s="29"/>
      <c r="L305" s="29"/>
      <c r="M305" s="29"/>
      <c r="N305" s="29"/>
      <c r="O305" s="29"/>
      <c r="P305" s="29"/>
      <c r="Q305" s="29"/>
      <c r="R305" s="29"/>
      <c r="V305" s="29"/>
      <c r="X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</row>
    <row r="306" spans="1:39" x14ac:dyDescent="0.3">
      <c r="A306" s="22"/>
      <c r="C306" s="30"/>
      <c r="F306" s="195"/>
      <c r="H306" s="195"/>
      <c r="I306" s="195"/>
      <c r="J306" s="119"/>
      <c r="K306" s="119"/>
      <c r="L306" s="195"/>
      <c r="M306" s="195"/>
      <c r="N306" s="33"/>
      <c r="O306" s="33"/>
      <c r="P306" s="195"/>
      <c r="Q306" s="195"/>
      <c r="R306" s="195"/>
      <c r="T306" s="30"/>
      <c r="V306" s="32"/>
      <c r="X306" s="32"/>
      <c r="Y306" s="48"/>
      <c r="Z306" s="32"/>
      <c r="AA306" s="32"/>
      <c r="AB306" s="33"/>
      <c r="AC306" s="33"/>
      <c r="AD306" s="22"/>
      <c r="AE306" s="22"/>
      <c r="AF306" s="44"/>
      <c r="AG306" s="44"/>
      <c r="AH306" s="32"/>
      <c r="AI306" s="32"/>
      <c r="AJ306" s="32"/>
      <c r="AK306" s="32"/>
      <c r="AL306" s="33"/>
      <c r="AM306" s="33"/>
    </row>
    <row r="307" spans="1:39" x14ac:dyDescent="0.3">
      <c r="F307" s="60"/>
      <c r="H307" s="60"/>
      <c r="I307" s="60"/>
      <c r="J307" s="198"/>
      <c r="K307" s="198"/>
      <c r="L307" s="60"/>
      <c r="M307" s="60"/>
      <c r="N307" s="60"/>
      <c r="O307" s="60"/>
      <c r="P307" s="60"/>
      <c r="Q307" s="60"/>
      <c r="R307" s="60"/>
      <c r="V307" s="29"/>
      <c r="X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</row>
    <row r="308" spans="1:39" x14ac:dyDescent="0.3">
      <c r="F308" s="195"/>
      <c r="H308" s="195"/>
      <c r="I308" s="195"/>
      <c r="J308" s="206"/>
      <c r="K308" s="206"/>
      <c r="L308" s="32"/>
      <c r="M308" s="32"/>
      <c r="N308" s="33"/>
      <c r="O308" s="33"/>
      <c r="P308" s="32"/>
      <c r="Q308" s="32"/>
      <c r="R308" s="32"/>
    </row>
    <row r="309" spans="1:39" x14ac:dyDescent="0.3">
      <c r="A309" s="23"/>
      <c r="F309" s="195"/>
      <c r="H309" s="195"/>
      <c r="I309" s="195"/>
      <c r="J309" s="119"/>
      <c r="K309" s="119"/>
      <c r="L309" s="32"/>
      <c r="M309" s="32"/>
      <c r="N309" s="33"/>
      <c r="O309" s="33"/>
      <c r="P309" s="32"/>
      <c r="Q309" s="32"/>
      <c r="R309" s="32"/>
    </row>
    <row r="310" spans="1:39" x14ac:dyDescent="0.3">
      <c r="F310" s="195"/>
      <c r="H310" s="195"/>
      <c r="I310" s="195"/>
      <c r="J310" s="119"/>
      <c r="K310" s="119"/>
      <c r="L310" s="32"/>
      <c r="M310" s="32"/>
      <c r="N310" s="33"/>
      <c r="O310" s="33"/>
      <c r="P310" s="32"/>
      <c r="Q310" s="32"/>
      <c r="R310" s="32"/>
    </row>
    <row r="311" spans="1:39" x14ac:dyDescent="0.3">
      <c r="A311" s="23"/>
    </row>
    <row r="313" spans="1:39" x14ac:dyDescent="0.3">
      <c r="J313" s="22"/>
      <c r="K313" s="22"/>
      <c r="Y313" s="22"/>
    </row>
    <row r="314" spans="1:39" x14ac:dyDescent="0.3">
      <c r="H314" s="23"/>
      <c r="I314" s="23"/>
      <c r="X314" s="23"/>
    </row>
    <row r="315" spans="1:39" x14ac:dyDescent="0.3">
      <c r="J315" s="22"/>
      <c r="K315" s="22"/>
      <c r="Y315" s="22"/>
    </row>
    <row r="316" spans="1:39" x14ac:dyDescent="0.3">
      <c r="L316" s="23"/>
      <c r="M316" s="23"/>
      <c r="Z316" s="23"/>
      <c r="AA316" s="23"/>
    </row>
    <row r="317" spans="1:39" x14ac:dyDescent="0.3">
      <c r="A317" s="22"/>
      <c r="R317" s="23"/>
      <c r="AJ317" s="23"/>
      <c r="AK317" s="23"/>
    </row>
    <row r="318" spans="1:39" x14ac:dyDescent="0.3">
      <c r="A318" s="22"/>
      <c r="R318" s="23"/>
      <c r="AJ318" s="23"/>
      <c r="AK318" s="23"/>
    </row>
    <row r="319" spans="1:39" x14ac:dyDescent="0.3">
      <c r="A319" s="23"/>
      <c r="R319" s="23"/>
      <c r="AJ319" s="23"/>
      <c r="AK319" s="23"/>
    </row>
    <row r="320" spans="1:39" x14ac:dyDescent="0.3">
      <c r="L320" s="23"/>
      <c r="M320" s="23"/>
      <c r="R320" s="22"/>
      <c r="Z320" s="23"/>
      <c r="AA320" s="23"/>
      <c r="AJ320" s="22"/>
      <c r="AK320" s="22"/>
    </row>
    <row r="321" spans="1:39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</row>
    <row r="322" spans="1:39" x14ac:dyDescent="0.3">
      <c r="L322" s="30"/>
      <c r="M322" s="30"/>
      <c r="N322" s="30"/>
      <c r="O322" s="30"/>
      <c r="R322" s="30"/>
      <c r="Z322" s="30"/>
      <c r="AA322" s="30"/>
      <c r="AB322" s="30"/>
      <c r="AC322" s="30"/>
      <c r="AD322" s="30"/>
      <c r="AE322" s="30"/>
      <c r="AF322" s="30"/>
      <c r="AG322" s="30"/>
      <c r="AJ322" s="30"/>
      <c r="AK322" s="30"/>
      <c r="AL322" s="30"/>
      <c r="AM322" s="30"/>
    </row>
    <row r="323" spans="1:39" x14ac:dyDescent="0.3">
      <c r="L323" s="30"/>
      <c r="M323" s="30"/>
      <c r="N323" s="30"/>
      <c r="O323" s="30"/>
      <c r="R323" s="30"/>
      <c r="Y323" s="30"/>
      <c r="Z323" s="30"/>
      <c r="AA323" s="30"/>
      <c r="AB323" s="30"/>
      <c r="AC323" s="30"/>
      <c r="AD323" s="30"/>
      <c r="AE323" s="30"/>
      <c r="AF323" s="30"/>
      <c r="AG323" s="30"/>
      <c r="AJ323" s="30"/>
      <c r="AK323" s="30"/>
      <c r="AL323" s="30"/>
      <c r="AM323" s="30"/>
    </row>
    <row r="324" spans="1:39" x14ac:dyDescent="0.3">
      <c r="A324" s="30"/>
      <c r="C324" s="30"/>
      <c r="D324" s="30"/>
      <c r="E324" s="30"/>
      <c r="F324" s="30"/>
      <c r="J324" s="30"/>
      <c r="K324" s="30"/>
      <c r="L324" s="30"/>
      <c r="M324" s="30"/>
      <c r="N324" s="30"/>
      <c r="O324" s="30"/>
      <c r="P324" s="30"/>
      <c r="Q324" s="30"/>
      <c r="R324" s="30"/>
      <c r="T324" s="30"/>
      <c r="U324" s="30"/>
      <c r="V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</row>
    <row r="325" spans="1:39" x14ac:dyDescent="0.3">
      <c r="A325" s="30"/>
      <c r="C325" s="30"/>
      <c r="D325" s="30"/>
      <c r="E325" s="30"/>
      <c r="F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T325" s="30"/>
      <c r="U325" s="30"/>
      <c r="V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</row>
    <row r="326" spans="1:39" x14ac:dyDescent="0.3">
      <c r="C326" s="30"/>
      <c r="D326" s="30"/>
      <c r="E326" s="30"/>
      <c r="F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T326" s="30"/>
      <c r="U326" s="30"/>
      <c r="V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</row>
    <row r="327" spans="1:39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</row>
    <row r="328" spans="1:39" x14ac:dyDescent="0.3"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</row>
    <row r="329" spans="1:39" x14ac:dyDescent="0.3">
      <c r="A329" s="22"/>
      <c r="C329" s="23"/>
      <c r="D329" s="23"/>
      <c r="E329" s="23"/>
      <c r="T329" s="23"/>
      <c r="U329" s="23"/>
    </row>
    <row r="331" spans="1:39" x14ac:dyDescent="0.3">
      <c r="A331" s="22"/>
      <c r="C331" s="23"/>
      <c r="T331" s="23"/>
    </row>
    <row r="332" spans="1:39" x14ac:dyDescent="0.3">
      <c r="A332" s="22"/>
      <c r="C332" s="23"/>
      <c r="F332" s="195"/>
      <c r="H332" s="195"/>
      <c r="I332" s="195"/>
      <c r="J332" s="198"/>
      <c r="K332" s="198"/>
      <c r="L332" s="32"/>
      <c r="M332" s="32"/>
      <c r="N332" s="33"/>
      <c r="O332" s="33"/>
      <c r="P332" s="32"/>
      <c r="Q332" s="32"/>
      <c r="R332" s="32"/>
      <c r="T332" s="23"/>
      <c r="V332" s="195"/>
      <c r="X332" s="195"/>
      <c r="Y332" s="198"/>
      <c r="Z332" s="32"/>
      <c r="AA332" s="32"/>
      <c r="AB332" s="33"/>
      <c r="AC332" s="33"/>
      <c r="AD332" s="32"/>
      <c r="AE332" s="32"/>
      <c r="AF332" s="44"/>
      <c r="AG332" s="44"/>
      <c r="AH332" s="32"/>
      <c r="AI332" s="32"/>
      <c r="AJ332" s="32"/>
      <c r="AK332" s="32"/>
      <c r="AL332" s="33"/>
      <c r="AM332" s="33"/>
    </row>
    <row r="333" spans="1:39" x14ac:dyDescent="0.3">
      <c r="A333" s="22"/>
      <c r="C333" s="23"/>
      <c r="T333" s="23"/>
    </row>
    <row r="334" spans="1:39" x14ac:dyDescent="0.3">
      <c r="A334" s="22"/>
      <c r="C334" s="23"/>
      <c r="F334" s="195"/>
      <c r="H334" s="195"/>
      <c r="I334" s="195"/>
      <c r="J334" s="203"/>
      <c r="K334" s="203"/>
      <c r="L334" s="32"/>
      <c r="M334" s="32"/>
      <c r="N334" s="33"/>
      <c r="O334" s="33"/>
      <c r="P334" s="32"/>
      <c r="Q334" s="32"/>
      <c r="R334" s="32"/>
      <c r="T334" s="23"/>
      <c r="V334" s="32"/>
      <c r="X334" s="32"/>
      <c r="Y334" s="203"/>
      <c r="Z334" s="32"/>
      <c r="AA334" s="32"/>
      <c r="AB334" s="33"/>
      <c r="AC334" s="33"/>
      <c r="AD334" s="32"/>
      <c r="AE334" s="32"/>
      <c r="AF334" s="44"/>
      <c r="AG334" s="44"/>
      <c r="AH334" s="32"/>
      <c r="AI334" s="32"/>
      <c r="AJ334" s="32"/>
      <c r="AK334" s="32"/>
      <c r="AL334" s="33"/>
      <c r="AM334" s="33"/>
    </row>
    <row r="335" spans="1:39" x14ac:dyDescent="0.3">
      <c r="A335" s="22"/>
      <c r="C335" s="23"/>
      <c r="F335" s="195"/>
      <c r="H335" s="195"/>
      <c r="I335" s="195"/>
      <c r="J335" s="203"/>
      <c r="K335" s="203"/>
      <c r="L335" s="32"/>
      <c r="M335" s="32"/>
      <c r="N335" s="33"/>
      <c r="O335" s="33"/>
      <c r="P335" s="32"/>
      <c r="Q335" s="32"/>
      <c r="R335" s="32"/>
      <c r="T335" s="23"/>
      <c r="V335" s="32"/>
      <c r="X335" s="32"/>
      <c r="Y335" s="203"/>
      <c r="Z335" s="32"/>
      <c r="AA335" s="32"/>
      <c r="AB335" s="33"/>
      <c r="AC335" s="33"/>
      <c r="AD335" s="32"/>
      <c r="AE335" s="32"/>
      <c r="AF335" s="44"/>
      <c r="AG335" s="44"/>
      <c r="AH335" s="32"/>
      <c r="AI335" s="32"/>
      <c r="AJ335" s="32"/>
      <c r="AK335" s="32"/>
      <c r="AL335" s="33"/>
      <c r="AM335" s="33"/>
    </row>
    <row r="336" spans="1:39" x14ac:dyDescent="0.3">
      <c r="A336" s="22"/>
      <c r="C336" s="23"/>
      <c r="F336" s="195"/>
      <c r="H336" s="195"/>
      <c r="I336" s="195"/>
      <c r="J336" s="203"/>
      <c r="K336" s="203"/>
      <c r="L336" s="32"/>
      <c r="M336" s="32"/>
      <c r="N336" s="33"/>
      <c r="O336" s="33"/>
      <c r="P336" s="32"/>
      <c r="Q336" s="32"/>
      <c r="R336" s="32"/>
      <c r="T336" s="23"/>
      <c r="V336" s="32"/>
      <c r="X336" s="32"/>
      <c r="Y336" s="203"/>
      <c r="Z336" s="32"/>
      <c r="AA336" s="32"/>
      <c r="AB336" s="33"/>
      <c r="AC336" s="33"/>
      <c r="AD336" s="32"/>
      <c r="AE336" s="32"/>
      <c r="AF336" s="44"/>
      <c r="AG336" s="44"/>
      <c r="AH336" s="32"/>
      <c r="AI336" s="32"/>
      <c r="AJ336" s="32"/>
      <c r="AK336" s="32"/>
      <c r="AL336" s="33"/>
      <c r="AM336" s="33"/>
    </row>
    <row r="337" spans="1:39" x14ac:dyDescent="0.3">
      <c r="A337" s="22"/>
      <c r="C337" s="23"/>
      <c r="F337" s="195"/>
      <c r="H337" s="195"/>
      <c r="I337" s="195"/>
      <c r="J337" s="203"/>
      <c r="K337" s="203"/>
      <c r="L337" s="32"/>
      <c r="M337" s="32"/>
      <c r="N337" s="33"/>
      <c r="O337" s="33"/>
      <c r="P337" s="32"/>
      <c r="Q337" s="32"/>
      <c r="R337" s="32"/>
      <c r="T337" s="23"/>
      <c r="V337" s="32"/>
      <c r="X337" s="32"/>
      <c r="Y337" s="203"/>
      <c r="Z337" s="32"/>
      <c r="AA337" s="32"/>
      <c r="AB337" s="33"/>
      <c r="AC337" s="33"/>
      <c r="AD337" s="32"/>
      <c r="AE337" s="32"/>
      <c r="AF337" s="44"/>
      <c r="AG337" s="44"/>
      <c r="AH337" s="32"/>
      <c r="AI337" s="32"/>
      <c r="AJ337" s="32"/>
      <c r="AK337" s="32"/>
      <c r="AL337" s="33"/>
      <c r="AM337" s="33"/>
    </row>
    <row r="338" spans="1:39" x14ac:dyDescent="0.3">
      <c r="A338" s="22"/>
      <c r="C338" s="23"/>
      <c r="J338" s="62"/>
      <c r="K338" s="62"/>
      <c r="T338" s="23"/>
      <c r="Y338" s="62"/>
    </row>
    <row r="339" spans="1:39" x14ac:dyDescent="0.3">
      <c r="A339" s="22"/>
      <c r="C339" s="23"/>
      <c r="F339" s="195"/>
      <c r="H339" s="195"/>
      <c r="I339" s="195"/>
      <c r="J339" s="203"/>
      <c r="K339" s="203"/>
      <c r="L339" s="32"/>
      <c r="M339" s="32"/>
      <c r="N339" s="33"/>
      <c r="O339" s="33"/>
      <c r="P339" s="32"/>
      <c r="Q339" s="32"/>
      <c r="R339" s="32"/>
      <c r="T339" s="23"/>
      <c r="V339" s="32"/>
      <c r="X339" s="32"/>
      <c r="Y339" s="203"/>
      <c r="Z339" s="32"/>
      <c r="AA339" s="32"/>
      <c r="AB339" s="33"/>
      <c r="AC339" s="33"/>
      <c r="AD339" s="32"/>
      <c r="AE339" s="32"/>
      <c r="AF339" s="44"/>
      <c r="AG339" s="44"/>
      <c r="AH339" s="32"/>
      <c r="AI339" s="32"/>
      <c r="AJ339" s="32"/>
      <c r="AK339" s="32"/>
      <c r="AL339" s="33"/>
      <c r="AM339" s="33"/>
    </row>
    <row r="340" spans="1:39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32"/>
      <c r="X340" s="32"/>
      <c r="Y340" s="203"/>
      <c r="Z340" s="32"/>
      <c r="AA340" s="32"/>
      <c r="AB340" s="33"/>
      <c r="AC340" s="33"/>
      <c r="AD340" s="32"/>
      <c r="AE340" s="32"/>
      <c r="AF340" s="44"/>
      <c r="AG340" s="44"/>
      <c r="AH340" s="32"/>
      <c r="AI340" s="32"/>
      <c r="AJ340" s="32"/>
      <c r="AK340" s="32"/>
      <c r="AL340" s="33"/>
      <c r="AM340" s="33"/>
    </row>
    <row r="341" spans="1:39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32"/>
      <c r="X341" s="32"/>
      <c r="Y341" s="203"/>
      <c r="Z341" s="32"/>
      <c r="AA341" s="32"/>
      <c r="AB341" s="33"/>
      <c r="AC341" s="33"/>
      <c r="AD341" s="32"/>
      <c r="AE341" s="32"/>
      <c r="AF341" s="44"/>
      <c r="AG341" s="44"/>
      <c r="AH341" s="32"/>
      <c r="AI341" s="32"/>
      <c r="AJ341" s="32"/>
      <c r="AK341" s="32"/>
      <c r="AL341" s="33"/>
      <c r="AM341" s="33"/>
    </row>
    <row r="342" spans="1:39" x14ac:dyDescent="0.3">
      <c r="A342" s="22"/>
      <c r="C342" s="23"/>
      <c r="J342" s="62"/>
      <c r="K342" s="62"/>
      <c r="T342" s="23"/>
      <c r="Y342" s="62"/>
    </row>
    <row r="343" spans="1:39" x14ac:dyDescent="0.3">
      <c r="A343" s="22"/>
      <c r="C343" s="23"/>
      <c r="F343" s="195"/>
      <c r="H343" s="195"/>
      <c r="I343" s="195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32"/>
      <c r="X343" s="32"/>
      <c r="Y343" s="203"/>
      <c r="Z343" s="32"/>
      <c r="AA343" s="32"/>
      <c r="AB343" s="33"/>
      <c r="AC343" s="33"/>
      <c r="AD343" s="32"/>
      <c r="AE343" s="32"/>
      <c r="AF343" s="44"/>
      <c r="AG343" s="44"/>
      <c r="AH343" s="32"/>
      <c r="AI343" s="32"/>
      <c r="AJ343" s="32"/>
      <c r="AK343" s="32"/>
      <c r="AL343" s="33"/>
      <c r="AM343" s="33"/>
    </row>
    <row r="344" spans="1:39" x14ac:dyDescent="0.3">
      <c r="A344" s="22"/>
      <c r="C344" s="23"/>
      <c r="F344" s="195"/>
      <c r="H344" s="195"/>
      <c r="I344" s="195"/>
      <c r="J344" s="203"/>
      <c r="K344" s="203"/>
      <c r="L344" s="32"/>
      <c r="M344" s="32"/>
      <c r="N344" s="33"/>
      <c r="O344" s="33"/>
      <c r="P344" s="32"/>
      <c r="Q344" s="32"/>
      <c r="R344" s="32"/>
      <c r="T344" s="23"/>
      <c r="V344" s="32"/>
      <c r="X344" s="32"/>
      <c r="Y344" s="203"/>
      <c r="Z344" s="32"/>
      <c r="AA344" s="32"/>
      <c r="AB344" s="33"/>
      <c r="AC344" s="33"/>
      <c r="AD344" s="32"/>
      <c r="AE344" s="32"/>
      <c r="AF344" s="44"/>
      <c r="AG344" s="44"/>
      <c r="AH344" s="32"/>
      <c r="AI344" s="32"/>
      <c r="AJ344" s="32"/>
      <c r="AK344" s="32"/>
      <c r="AL344" s="33"/>
      <c r="AM344" s="33"/>
    </row>
    <row r="345" spans="1:39" x14ac:dyDescent="0.3">
      <c r="A345" s="22"/>
      <c r="C345" s="23"/>
      <c r="J345" s="62"/>
      <c r="K345" s="62"/>
      <c r="T345" s="23"/>
      <c r="Y345" s="62"/>
    </row>
    <row r="346" spans="1:39" x14ac:dyDescent="0.3">
      <c r="A346" s="22"/>
      <c r="C346" s="23"/>
      <c r="F346" s="195"/>
      <c r="H346" s="195"/>
      <c r="I346" s="195"/>
      <c r="J346" s="203"/>
      <c r="K346" s="203"/>
      <c r="L346" s="32"/>
      <c r="M346" s="32"/>
      <c r="N346" s="33"/>
      <c r="O346" s="33"/>
      <c r="P346" s="32"/>
      <c r="Q346" s="32"/>
      <c r="R346" s="32"/>
      <c r="T346" s="23"/>
      <c r="V346" s="32"/>
      <c r="X346" s="32"/>
      <c r="Y346" s="203"/>
      <c r="Z346" s="32"/>
      <c r="AA346" s="32"/>
      <c r="AB346" s="33"/>
      <c r="AC346" s="33"/>
      <c r="AD346" s="32"/>
      <c r="AE346" s="32"/>
      <c r="AF346" s="44"/>
      <c r="AG346" s="44"/>
      <c r="AH346" s="32"/>
      <c r="AI346" s="32"/>
      <c r="AJ346" s="32"/>
      <c r="AK346" s="32"/>
      <c r="AL346" s="33"/>
      <c r="AM346" s="33"/>
    </row>
    <row r="347" spans="1:39" x14ac:dyDescent="0.3">
      <c r="A347" s="22"/>
      <c r="C347" s="23"/>
      <c r="F347" s="195"/>
      <c r="H347" s="195"/>
      <c r="I347" s="195"/>
      <c r="J347" s="203"/>
      <c r="K347" s="203"/>
      <c r="L347" s="32"/>
      <c r="M347" s="32"/>
      <c r="N347" s="33"/>
      <c r="O347" s="33"/>
      <c r="P347" s="32"/>
      <c r="Q347" s="32"/>
      <c r="R347" s="32"/>
      <c r="T347" s="23"/>
      <c r="V347" s="32"/>
      <c r="X347" s="32"/>
      <c r="Y347" s="203"/>
      <c r="Z347" s="32"/>
      <c r="AA347" s="32"/>
      <c r="AB347" s="33"/>
      <c r="AC347" s="33"/>
      <c r="AD347" s="32"/>
      <c r="AE347" s="32"/>
      <c r="AF347" s="44"/>
      <c r="AG347" s="44"/>
      <c r="AH347" s="32"/>
      <c r="AI347" s="32"/>
      <c r="AJ347" s="32"/>
      <c r="AK347" s="32"/>
      <c r="AL347" s="33"/>
      <c r="AM347" s="33"/>
    </row>
    <row r="348" spans="1:39" x14ac:dyDescent="0.3">
      <c r="A348" s="22"/>
      <c r="C348" s="23"/>
      <c r="F348" s="195"/>
      <c r="H348" s="195"/>
      <c r="I348" s="195"/>
      <c r="J348" s="203"/>
      <c r="K348" s="203"/>
      <c r="L348" s="32"/>
      <c r="M348" s="32"/>
      <c r="N348" s="33"/>
      <c r="O348" s="33"/>
      <c r="P348" s="32"/>
      <c r="Q348" s="32"/>
      <c r="R348" s="32"/>
      <c r="T348" s="23"/>
      <c r="V348" s="32"/>
      <c r="X348" s="32"/>
      <c r="Y348" s="203"/>
      <c r="Z348" s="32"/>
      <c r="AA348" s="32"/>
      <c r="AB348" s="33"/>
      <c r="AC348" s="33"/>
      <c r="AD348" s="32"/>
      <c r="AE348" s="32"/>
      <c r="AF348" s="44"/>
      <c r="AG348" s="44"/>
      <c r="AH348" s="32"/>
      <c r="AI348" s="32"/>
      <c r="AJ348" s="32"/>
      <c r="AK348" s="32"/>
      <c r="AL348" s="33"/>
      <c r="AM348" s="33"/>
    </row>
    <row r="349" spans="1:39" x14ac:dyDescent="0.3">
      <c r="F349" s="34"/>
      <c r="H349" s="34"/>
      <c r="I349" s="34"/>
      <c r="J349" s="203"/>
      <c r="K349" s="203"/>
      <c r="L349" s="34"/>
      <c r="M349" s="34"/>
      <c r="N349" s="34"/>
      <c r="O349" s="34"/>
      <c r="P349" s="34"/>
      <c r="Q349" s="34"/>
      <c r="R349" s="34"/>
      <c r="V349" s="34"/>
      <c r="X349" s="34"/>
      <c r="Y349" s="203"/>
      <c r="Z349" s="34"/>
      <c r="AA349" s="34"/>
      <c r="AB349" s="34"/>
      <c r="AC349" s="34"/>
      <c r="AD349" s="34"/>
      <c r="AE349" s="34"/>
      <c r="AH349" s="34"/>
      <c r="AI349" s="34"/>
      <c r="AJ349" s="34"/>
      <c r="AK349" s="34"/>
    </row>
    <row r="350" spans="1:39" x14ac:dyDescent="0.3">
      <c r="A350" s="22"/>
      <c r="C350" s="30"/>
      <c r="F350" s="32"/>
      <c r="H350" s="32"/>
      <c r="I350" s="32"/>
      <c r="J350" s="62"/>
      <c r="K350" s="62"/>
      <c r="L350" s="32"/>
      <c r="M350" s="32"/>
      <c r="N350" s="44"/>
      <c r="O350" s="44"/>
      <c r="P350" s="32"/>
      <c r="Q350" s="32"/>
      <c r="R350" s="32"/>
      <c r="T350" s="30"/>
      <c r="V350" s="32"/>
      <c r="X350" s="32"/>
      <c r="Y350" s="62"/>
      <c r="Z350" s="32"/>
      <c r="AA350" s="32"/>
      <c r="AB350" s="32"/>
      <c r="AC350" s="32"/>
      <c r="AD350" s="32"/>
      <c r="AE350" s="32"/>
      <c r="AF350" s="44"/>
      <c r="AG350" s="44"/>
      <c r="AH350" s="32"/>
      <c r="AI350" s="32"/>
      <c r="AJ350" s="32"/>
      <c r="AK350" s="32"/>
      <c r="AL350" s="33"/>
      <c r="AM350" s="33"/>
    </row>
    <row r="351" spans="1:39" x14ac:dyDescent="0.3">
      <c r="F351" s="34"/>
      <c r="H351" s="34"/>
      <c r="I351" s="34"/>
      <c r="J351" s="203"/>
      <c r="K351" s="203"/>
      <c r="L351" s="34"/>
      <c r="M351" s="34"/>
      <c r="N351" s="34"/>
      <c r="O351" s="34"/>
      <c r="P351" s="34"/>
      <c r="Q351" s="34"/>
      <c r="R351" s="34"/>
      <c r="V351" s="34"/>
      <c r="X351" s="34"/>
      <c r="Y351" s="203"/>
      <c r="Z351" s="34"/>
      <c r="AA351" s="34"/>
      <c r="AB351" s="34"/>
      <c r="AC351" s="34"/>
      <c r="AD351" s="34"/>
      <c r="AE351" s="34"/>
      <c r="AH351" s="34"/>
      <c r="AI351" s="34"/>
      <c r="AJ351" s="34"/>
      <c r="AK351" s="34"/>
    </row>
    <row r="352" spans="1:39" x14ac:dyDescent="0.3">
      <c r="A352" s="22"/>
      <c r="C352" s="23"/>
      <c r="J352" s="62"/>
      <c r="K352" s="62"/>
      <c r="T352" s="23"/>
      <c r="Y352" s="62"/>
    </row>
    <row r="353" spans="1:39" x14ac:dyDescent="0.3">
      <c r="A353" s="22"/>
      <c r="C353" s="23"/>
      <c r="J353" s="62"/>
      <c r="K353" s="62"/>
      <c r="T353" s="23"/>
      <c r="Y353" s="62"/>
    </row>
    <row r="354" spans="1:39" x14ac:dyDescent="0.3">
      <c r="A354" s="22"/>
      <c r="C354" s="23"/>
      <c r="F354" s="195"/>
      <c r="H354" s="195"/>
      <c r="I354" s="195"/>
      <c r="J354" s="203"/>
      <c r="K354" s="203"/>
      <c r="L354" s="32"/>
      <c r="M354" s="32"/>
      <c r="N354" s="33"/>
      <c r="O354" s="33"/>
      <c r="P354" s="32"/>
      <c r="Q354" s="32"/>
      <c r="R354" s="32"/>
      <c r="T354" s="23"/>
      <c r="V354" s="32"/>
      <c r="X354" s="32"/>
      <c r="Y354" s="203"/>
      <c r="Z354" s="32"/>
      <c r="AA354" s="32"/>
      <c r="AB354" s="33"/>
      <c r="AC354" s="33"/>
      <c r="AD354" s="32"/>
      <c r="AE354" s="32"/>
      <c r="AF354" s="44"/>
      <c r="AG354" s="44"/>
      <c r="AH354" s="32"/>
      <c r="AI354" s="32"/>
      <c r="AJ354" s="32"/>
      <c r="AK354" s="32"/>
      <c r="AL354" s="33"/>
      <c r="AM354" s="33"/>
    </row>
    <row r="355" spans="1:39" x14ac:dyDescent="0.3">
      <c r="A355" s="22"/>
      <c r="C355" s="23"/>
      <c r="F355" s="195"/>
      <c r="H355" s="195"/>
      <c r="I355" s="195"/>
      <c r="J355" s="203"/>
      <c r="K355" s="203"/>
      <c r="L355" s="32"/>
      <c r="M355" s="32"/>
      <c r="N355" s="33"/>
      <c r="O355" s="33"/>
      <c r="P355" s="32"/>
      <c r="Q355" s="32"/>
      <c r="R355" s="32"/>
      <c r="T355" s="23"/>
      <c r="V355" s="32"/>
      <c r="X355" s="32"/>
      <c r="Y355" s="203"/>
      <c r="Z355" s="32"/>
      <c r="AA355" s="32"/>
      <c r="AB355" s="33"/>
      <c r="AC355" s="33"/>
      <c r="AD355" s="32"/>
      <c r="AE355" s="32"/>
      <c r="AF355" s="44"/>
      <c r="AG355" s="44"/>
      <c r="AH355" s="32"/>
      <c r="AI355" s="32"/>
      <c r="AJ355" s="32"/>
      <c r="AK355" s="32"/>
      <c r="AL355" s="33"/>
      <c r="AM355" s="33"/>
    </row>
    <row r="356" spans="1:39" x14ac:dyDescent="0.3">
      <c r="A356" s="22"/>
      <c r="C356" s="23"/>
      <c r="F356" s="195"/>
      <c r="H356" s="195"/>
      <c r="I356" s="195"/>
      <c r="J356" s="203"/>
      <c r="K356" s="203"/>
      <c r="L356" s="32"/>
      <c r="M356" s="32"/>
      <c r="N356" s="33"/>
      <c r="O356" s="33"/>
      <c r="P356" s="32"/>
      <c r="Q356" s="32"/>
      <c r="R356" s="32"/>
      <c r="T356" s="23"/>
      <c r="V356" s="32"/>
      <c r="X356" s="32"/>
      <c r="Y356" s="203"/>
      <c r="Z356" s="32"/>
      <c r="AA356" s="32"/>
      <c r="AB356" s="33"/>
      <c r="AC356" s="33"/>
      <c r="AD356" s="32"/>
      <c r="AE356" s="32"/>
      <c r="AF356" s="44"/>
      <c r="AG356" s="44"/>
      <c r="AH356" s="32"/>
      <c r="AI356" s="32"/>
      <c r="AJ356" s="32"/>
      <c r="AK356" s="32"/>
      <c r="AL356" s="33"/>
      <c r="AM356" s="33"/>
    </row>
    <row r="357" spans="1:39" x14ac:dyDescent="0.3">
      <c r="A357" s="22"/>
      <c r="C357" s="23"/>
      <c r="F357" s="195"/>
      <c r="H357" s="195"/>
      <c r="I357" s="195"/>
      <c r="J357" s="203"/>
      <c r="K357" s="203"/>
      <c r="L357" s="32"/>
      <c r="M357" s="32"/>
      <c r="N357" s="33"/>
      <c r="O357" s="33"/>
      <c r="P357" s="32"/>
      <c r="Q357" s="32"/>
      <c r="R357" s="32"/>
      <c r="T357" s="23"/>
      <c r="V357" s="32"/>
      <c r="X357" s="32"/>
      <c r="Y357" s="203"/>
      <c r="Z357" s="32"/>
      <c r="AA357" s="32"/>
      <c r="AB357" s="33"/>
      <c r="AC357" s="33"/>
      <c r="AD357" s="32"/>
      <c r="AE357" s="32"/>
      <c r="AF357" s="44"/>
      <c r="AG357" s="44"/>
      <c r="AH357" s="32"/>
      <c r="AI357" s="32"/>
      <c r="AJ357" s="32"/>
      <c r="AK357" s="32"/>
      <c r="AL357" s="33"/>
      <c r="AM357" s="33"/>
    </row>
    <row r="358" spans="1:39" x14ac:dyDescent="0.3">
      <c r="A358" s="22"/>
      <c r="C358" s="23"/>
      <c r="F358" s="195"/>
      <c r="H358" s="195"/>
      <c r="I358" s="195"/>
      <c r="J358" s="203"/>
      <c r="K358" s="203"/>
      <c r="L358" s="32"/>
      <c r="M358" s="32"/>
      <c r="N358" s="33"/>
      <c r="O358" s="33"/>
      <c r="P358" s="32"/>
      <c r="Q358" s="32"/>
      <c r="R358" s="32"/>
      <c r="T358" s="23"/>
      <c r="V358" s="32"/>
      <c r="X358" s="32"/>
      <c r="Y358" s="203"/>
      <c r="Z358" s="32"/>
      <c r="AA358" s="32"/>
      <c r="AB358" s="33"/>
      <c r="AC358" s="33"/>
      <c r="AD358" s="32"/>
      <c r="AE358" s="32"/>
      <c r="AF358" s="44"/>
      <c r="AG358" s="44"/>
      <c r="AH358" s="32"/>
      <c r="AI358" s="32"/>
      <c r="AJ358" s="32"/>
      <c r="AK358" s="32"/>
      <c r="AL358" s="33"/>
      <c r="AM358" s="33"/>
    </row>
    <row r="359" spans="1:39" x14ac:dyDescent="0.3">
      <c r="A359" s="22"/>
      <c r="C359" s="23"/>
      <c r="F359" s="195"/>
      <c r="H359" s="195"/>
      <c r="I359" s="195"/>
      <c r="J359" s="203"/>
      <c r="K359" s="203"/>
      <c r="L359" s="32"/>
      <c r="M359" s="32"/>
      <c r="N359" s="33"/>
      <c r="O359" s="33"/>
      <c r="P359" s="32"/>
      <c r="Q359" s="32"/>
      <c r="R359" s="32"/>
      <c r="T359" s="23"/>
      <c r="V359" s="32"/>
      <c r="X359" s="32"/>
      <c r="Y359" s="203"/>
      <c r="Z359" s="32"/>
      <c r="AA359" s="32"/>
      <c r="AB359" s="33"/>
      <c r="AC359" s="33"/>
      <c r="AD359" s="32"/>
      <c r="AE359" s="32"/>
      <c r="AF359" s="44"/>
      <c r="AG359" s="44"/>
      <c r="AH359" s="32"/>
      <c r="AI359" s="32"/>
      <c r="AJ359" s="32"/>
      <c r="AK359" s="32"/>
      <c r="AL359" s="33"/>
      <c r="AM359" s="33"/>
    </row>
    <row r="360" spans="1:39" x14ac:dyDescent="0.3">
      <c r="A360" s="22"/>
      <c r="C360" s="23"/>
      <c r="F360" s="195"/>
      <c r="H360" s="195"/>
      <c r="I360" s="195"/>
      <c r="J360" s="203"/>
      <c r="K360" s="203"/>
      <c r="L360" s="32"/>
      <c r="M360" s="32"/>
      <c r="N360" s="33"/>
      <c r="O360" s="33"/>
      <c r="P360" s="32"/>
      <c r="Q360" s="32"/>
      <c r="R360" s="32"/>
      <c r="T360" s="23"/>
      <c r="V360" s="32"/>
      <c r="X360" s="32"/>
      <c r="Y360" s="203"/>
      <c r="Z360" s="32"/>
      <c r="AA360" s="32"/>
      <c r="AB360" s="33"/>
      <c r="AC360" s="33"/>
      <c r="AD360" s="32"/>
      <c r="AE360" s="32"/>
      <c r="AF360" s="44"/>
      <c r="AG360" s="44"/>
      <c r="AH360" s="32"/>
      <c r="AI360" s="32"/>
      <c r="AJ360" s="32"/>
      <c r="AK360" s="32"/>
      <c r="AL360" s="33"/>
      <c r="AM360" s="33"/>
    </row>
    <row r="361" spans="1:39" x14ac:dyDescent="0.3">
      <c r="A361" s="22"/>
      <c r="C361" s="23"/>
      <c r="J361" s="62"/>
      <c r="K361" s="62"/>
      <c r="T361" s="23"/>
      <c r="Y361" s="62"/>
    </row>
    <row r="362" spans="1:39" x14ac:dyDescent="0.3">
      <c r="A362" s="22"/>
      <c r="C362" s="23"/>
      <c r="F362" s="195"/>
      <c r="H362" s="195"/>
      <c r="I362" s="195"/>
      <c r="J362" s="203"/>
      <c r="K362" s="203"/>
      <c r="L362" s="32"/>
      <c r="M362" s="32"/>
      <c r="N362" s="33"/>
      <c r="O362" s="33"/>
      <c r="P362" s="32"/>
      <c r="Q362" s="32"/>
      <c r="R362" s="32"/>
      <c r="T362" s="23"/>
      <c r="V362" s="32"/>
      <c r="X362" s="32"/>
      <c r="Y362" s="203"/>
      <c r="Z362" s="32"/>
      <c r="AA362" s="32"/>
      <c r="AB362" s="33"/>
      <c r="AC362" s="33"/>
      <c r="AD362" s="32"/>
      <c r="AE362" s="32"/>
      <c r="AF362" s="44"/>
      <c r="AG362" s="44"/>
      <c r="AH362" s="32"/>
      <c r="AI362" s="32"/>
      <c r="AJ362" s="32"/>
      <c r="AK362" s="32"/>
      <c r="AL362" s="33"/>
      <c r="AM362" s="33"/>
    </row>
    <row r="363" spans="1:39" x14ac:dyDescent="0.3">
      <c r="A363" s="22"/>
      <c r="C363" s="23"/>
      <c r="F363" s="195"/>
      <c r="H363" s="195"/>
      <c r="I363" s="195"/>
      <c r="J363" s="203"/>
      <c r="K363" s="203"/>
      <c r="L363" s="32"/>
      <c r="M363" s="32"/>
      <c r="N363" s="33"/>
      <c r="O363" s="33"/>
      <c r="P363" s="32"/>
      <c r="Q363" s="32"/>
      <c r="R363" s="32"/>
      <c r="T363" s="23"/>
      <c r="V363" s="32"/>
      <c r="X363" s="32"/>
      <c r="Y363" s="203"/>
      <c r="Z363" s="32"/>
      <c r="AA363" s="32"/>
      <c r="AB363" s="33"/>
      <c r="AC363" s="33"/>
      <c r="AD363" s="32"/>
      <c r="AE363" s="32"/>
      <c r="AF363" s="44"/>
      <c r="AG363" s="44"/>
      <c r="AH363" s="32"/>
      <c r="AI363" s="32"/>
      <c r="AJ363" s="32"/>
      <c r="AK363" s="32"/>
      <c r="AL363" s="33"/>
      <c r="AM363" s="33"/>
    </row>
    <row r="364" spans="1:39" x14ac:dyDescent="0.3">
      <c r="A364" s="22"/>
      <c r="C364" s="23"/>
      <c r="F364" s="195"/>
      <c r="H364" s="195"/>
      <c r="I364" s="195"/>
      <c r="J364" s="203"/>
      <c r="K364" s="203"/>
      <c r="L364" s="32"/>
      <c r="M364" s="32"/>
      <c r="N364" s="33"/>
      <c r="O364" s="33"/>
      <c r="P364" s="32"/>
      <c r="Q364" s="32"/>
      <c r="R364" s="32"/>
      <c r="T364" s="23"/>
      <c r="V364" s="32"/>
      <c r="X364" s="32"/>
      <c r="Y364" s="203"/>
      <c r="Z364" s="32"/>
      <c r="AA364" s="32"/>
      <c r="AB364" s="33"/>
      <c r="AC364" s="33"/>
      <c r="AD364" s="32"/>
      <c r="AE364" s="32"/>
      <c r="AF364" s="44"/>
      <c r="AG364" s="44"/>
      <c r="AH364" s="32"/>
      <c r="AI364" s="32"/>
      <c r="AJ364" s="32"/>
      <c r="AK364" s="32"/>
      <c r="AL364" s="33"/>
      <c r="AM364" s="33"/>
    </row>
    <row r="365" spans="1:39" x14ac:dyDescent="0.3">
      <c r="A365" s="22"/>
      <c r="C365" s="23"/>
      <c r="F365" s="195"/>
      <c r="H365" s="195"/>
      <c r="I365" s="195"/>
      <c r="J365" s="203"/>
      <c r="K365" s="203"/>
      <c r="L365" s="32"/>
      <c r="M365" s="32"/>
      <c r="N365" s="33"/>
      <c r="O365" s="33"/>
      <c r="P365" s="32"/>
      <c r="Q365" s="32"/>
      <c r="R365" s="32"/>
      <c r="T365" s="23"/>
      <c r="V365" s="32"/>
      <c r="X365" s="32"/>
      <c r="Y365" s="203"/>
      <c r="Z365" s="32"/>
      <c r="AA365" s="32"/>
      <c r="AB365" s="33"/>
      <c r="AC365" s="33"/>
      <c r="AD365" s="32"/>
      <c r="AE365" s="32"/>
      <c r="AF365" s="44"/>
      <c r="AG365" s="44"/>
      <c r="AH365" s="32"/>
      <c r="AI365" s="32"/>
      <c r="AJ365" s="32"/>
      <c r="AK365" s="32"/>
      <c r="AL365" s="33"/>
      <c r="AM365" s="33"/>
    </row>
    <row r="366" spans="1:39" x14ac:dyDescent="0.3">
      <c r="A366" s="22"/>
      <c r="C366" s="23"/>
      <c r="J366" s="62"/>
      <c r="K366" s="62"/>
      <c r="T366" s="23"/>
      <c r="Y366" s="62"/>
    </row>
    <row r="367" spans="1:39" x14ac:dyDescent="0.3">
      <c r="A367" s="22"/>
      <c r="C367" s="23"/>
      <c r="F367" s="195"/>
      <c r="H367" s="195"/>
      <c r="I367" s="195"/>
      <c r="J367" s="203"/>
      <c r="K367" s="203"/>
      <c r="L367" s="32"/>
      <c r="M367" s="32"/>
      <c r="N367" s="33"/>
      <c r="O367" s="33"/>
      <c r="P367" s="32"/>
      <c r="Q367" s="32"/>
      <c r="R367" s="32"/>
      <c r="T367" s="23"/>
      <c r="V367" s="32"/>
      <c r="X367" s="32"/>
      <c r="Y367" s="203"/>
      <c r="Z367" s="32"/>
      <c r="AA367" s="32"/>
      <c r="AB367" s="33"/>
      <c r="AC367" s="33"/>
      <c r="AD367" s="32"/>
      <c r="AE367" s="32"/>
      <c r="AF367" s="44"/>
      <c r="AG367" s="44"/>
      <c r="AH367" s="32"/>
      <c r="AI367" s="32"/>
      <c r="AJ367" s="32"/>
      <c r="AK367" s="32"/>
      <c r="AL367" s="33"/>
      <c r="AM367" s="33"/>
    </row>
    <row r="368" spans="1:39" x14ac:dyDescent="0.3">
      <c r="A368" s="22"/>
      <c r="C368" s="23"/>
      <c r="F368" s="195"/>
      <c r="H368" s="195"/>
      <c r="I368" s="195"/>
      <c r="J368" s="203"/>
      <c r="K368" s="203"/>
      <c r="L368" s="32"/>
      <c r="M368" s="32"/>
      <c r="N368" s="33"/>
      <c r="O368" s="33"/>
      <c r="P368" s="32"/>
      <c r="Q368" s="32"/>
      <c r="R368" s="32"/>
      <c r="T368" s="23"/>
      <c r="V368" s="32"/>
      <c r="X368" s="32"/>
      <c r="Y368" s="203"/>
      <c r="Z368" s="32"/>
      <c r="AA368" s="32"/>
      <c r="AB368" s="33"/>
      <c r="AC368" s="33"/>
      <c r="AD368" s="32"/>
      <c r="AE368" s="32"/>
      <c r="AF368" s="44"/>
      <c r="AG368" s="44"/>
      <c r="AH368" s="32"/>
      <c r="AI368" s="32"/>
      <c r="AJ368" s="32"/>
      <c r="AK368" s="32"/>
      <c r="AL368" s="33"/>
      <c r="AM368" s="33"/>
    </row>
    <row r="369" spans="1:39" x14ac:dyDescent="0.3">
      <c r="A369" s="22"/>
      <c r="C369" s="23"/>
      <c r="F369" s="195"/>
      <c r="H369" s="195"/>
      <c r="I369" s="195"/>
      <c r="J369" s="203"/>
      <c r="K369" s="203"/>
      <c r="L369" s="32"/>
      <c r="M369" s="32"/>
      <c r="N369" s="33"/>
      <c r="O369" s="33"/>
      <c r="P369" s="32"/>
      <c r="Q369" s="32"/>
      <c r="R369" s="32"/>
      <c r="T369" s="23"/>
      <c r="V369" s="32"/>
      <c r="X369" s="32"/>
      <c r="Y369" s="203"/>
      <c r="Z369" s="32"/>
      <c r="AA369" s="32"/>
      <c r="AB369" s="33"/>
      <c r="AC369" s="33"/>
      <c r="AD369" s="32"/>
      <c r="AE369" s="32"/>
      <c r="AF369" s="44"/>
      <c r="AG369" s="44"/>
      <c r="AH369" s="32"/>
      <c r="AI369" s="32"/>
      <c r="AJ369" s="32"/>
      <c r="AK369" s="32"/>
      <c r="AL369" s="33"/>
      <c r="AM369" s="33"/>
    </row>
    <row r="370" spans="1:39" x14ac:dyDescent="0.3">
      <c r="A370" s="22"/>
      <c r="C370" s="23"/>
      <c r="F370" s="195"/>
      <c r="H370" s="195"/>
      <c r="I370" s="195"/>
      <c r="J370" s="203"/>
      <c r="K370" s="203"/>
      <c r="L370" s="32"/>
      <c r="M370" s="32"/>
      <c r="N370" s="33"/>
      <c r="O370" s="33"/>
      <c r="P370" s="32"/>
      <c r="Q370" s="32"/>
      <c r="R370" s="32"/>
      <c r="T370" s="23"/>
      <c r="V370" s="32"/>
      <c r="X370" s="32"/>
      <c r="Y370" s="203"/>
      <c r="Z370" s="32"/>
      <c r="AA370" s="32"/>
      <c r="AB370" s="33"/>
      <c r="AC370" s="33"/>
      <c r="AD370" s="32"/>
      <c r="AE370" s="32"/>
      <c r="AF370" s="44"/>
      <c r="AG370" s="44"/>
      <c r="AH370" s="32"/>
      <c r="AI370" s="32"/>
      <c r="AJ370" s="32"/>
      <c r="AK370" s="32"/>
      <c r="AL370" s="33"/>
      <c r="AM370" s="33"/>
    </row>
    <row r="371" spans="1:39" x14ac:dyDescent="0.3">
      <c r="A371" s="22"/>
      <c r="C371" s="23"/>
      <c r="F371" s="195"/>
      <c r="H371" s="195"/>
      <c r="I371" s="195"/>
      <c r="J371" s="203"/>
      <c r="K371" s="203"/>
      <c r="L371" s="32"/>
      <c r="M371" s="32"/>
      <c r="N371" s="33"/>
      <c r="O371" s="33"/>
      <c r="P371" s="32"/>
      <c r="Q371" s="32"/>
      <c r="R371" s="32"/>
      <c r="T371" s="23"/>
      <c r="V371" s="32"/>
      <c r="X371" s="32"/>
      <c r="Y371" s="203"/>
      <c r="Z371" s="32"/>
      <c r="AA371" s="32"/>
      <c r="AB371" s="33"/>
      <c r="AC371" s="33"/>
      <c r="AD371" s="32"/>
      <c r="AE371" s="32"/>
      <c r="AF371" s="44"/>
      <c r="AG371" s="44"/>
      <c r="AH371" s="32"/>
      <c r="AI371" s="32"/>
      <c r="AJ371" s="32"/>
      <c r="AK371" s="32"/>
      <c r="AL371" s="33"/>
      <c r="AM371" s="33"/>
    </row>
    <row r="372" spans="1:39" x14ac:dyDescent="0.3">
      <c r="F372" s="34"/>
      <c r="H372" s="34"/>
      <c r="I372" s="34"/>
      <c r="J372" s="198"/>
      <c r="K372" s="198"/>
      <c r="L372" s="34"/>
      <c r="M372" s="34"/>
      <c r="N372" s="34"/>
      <c r="O372" s="34"/>
      <c r="P372" s="34"/>
      <c r="Q372" s="34"/>
      <c r="R372" s="34"/>
      <c r="V372" s="34"/>
      <c r="X372" s="34"/>
      <c r="Y372" s="203"/>
      <c r="Z372" s="34"/>
      <c r="AA372" s="34"/>
      <c r="AB372" s="34"/>
      <c r="AC372" s="34"/>
      <c r="AD372" s="34"/>
      <c r="AE372" s="34"/>
      <c r="AH372" s="34"/>
      <c r="AI372" s="34"/>
      <c r="AJ372" s="34"/>
      <c r="AK372" s="34"/>
    </row>
    <row r="373" spans="1:39" x14ac:dyDescent="0.3">
      <c r="A373" s="22"/>
      <c r="C373" s="23"/>
      <c r="F373" s="32"/>
      <c r="H373" s="32"/>
      <c r="I373" s="32"/>
      <c r="L373" s="32"/>
      <c r="M373" s="32"/>
      <c r="N373" s="44"/>
      <c r="O373" s="44"/>
      <c r="P373" s="32"/>
      <c r="Q373" s="32"/>
      <c r="R373" s="32"/>
      <c r="T373" s="23"/>
      <c r="V373" s="32"/>
      <c r="X373" s="32"/>
      <c r="Z373" s="32"/>
      <c r="AA373" s="32"/>
      <c r="AB373" s="33"/>
      <c r="AC373" s="33"/>
      <c r="AD373" s="32"/>
      <c r="AE373" s="32"/>
      <c r="AF373" s="44"/>
      <c r="AG373" s="44"/>
      <c r="AH373" s="32"/>
      <c r="AI373" s="32"/>
      <c r="AJ373" s="32"/>
      <c r="AK373" s="32"/>
      <c r="AL373" s="33"/>
      <c r="AM373" s="33"/>
    </row>
    <row r="374" spans="1:39" x14ac:dyDescent="0.3">
      <c r="F374" s="34"/>
      <c r="H374" s="34"/>
      <c r="I374" s="34"/>
      <c r="J374" s="198"/>
      <c r="K374" s="198"/>
      <c r="L374" s="34"/>
      <c r="M374" s="34"/>
      <c r="N374" s="34"/>
      <c r="O374" s="34"/>
      <c r="P374" s="34"/>
      <c r="Q374" s="34"/>
      <c r="R374" s="34"/>
      <c r="V374" s="34"/>
      <c r="X374" s="34"/>
      <c r="Y374" s="198"/>
      <c r="Z374" s="34"/>
      <c r="AA374" s="34"/>
      <c r="AB374" s="34"/>
      <c r="AC374" s="34"/>
      <c r="AD374" s="34"/>
      <c r="AE374" s="34"/>
      <c r="AH374" s="34"/>
      <c r="AI374" s="34"/>
      <c r="AJ374" s="34"/>
      <c r="AK374" s="34"/>
    </row>
    <row r="375" spans="1:39" x14ac:dyDescent="0.3">
      <c r="A375" s="22"/>
      <c r="C375" s="23"/>
      <c r="T375" s="23"/>
    </row>
    <row r="376" spans="1:39" x14ac:dyDescent="0.3">
      <c r="A376" s="22"/>
      <c r="C376" s="23"/>
      <c r="F376" s="195"/>
      <c r="H376" s="195"/>
      <c r="I376" s="195"/>
      <c r="J376" s="119"/>
      <c r="K376" s="119"/>
      <c r="L376" s="32"/>
      <c r="M376" s="32"/>
      <c r="N376" s="33"/>
      <c r="O376" s="33"/>
      <c r="P376" s="32"/>
      <c r="Q376" s="32"/>
      <c r="R376" s="32"/>
      <c r="T376" s="23"/>
      <c r="V376" s="32"/>
      <c r="X376" s="32"/>
      <c r="Y376" s="119"/>
      <c r="Z376" s="32"/>
      <c r="AA376" s="32"/>
      <c r="AB376" s="33"/>
      <c r="AC376" s="33"/>
      <c r="AD376" s="32"/>
      <c r="AE376" s="32"/>
      <c r="AF376" s="44"/>
      <c r="AG376" s="44"/>
      <c r="AH376" s="32"/>
      <c r="AI376" s="32"/>
      <c r="AJ376" s="32"/>
      <c r="AK376" s="32"/>
      <c r="AL376" s="33"/>
      <c r="AM376" s="33"/>
    </row>
    <row r="377" spans="1:39" x14ac:dyDescent="0.3">
      <c r="A377" s="22"/>
      <c r="C377" s="23"/>
      <c r="F377" s="195"/>
      <c r="H377" s="195"/>
      <c r="I377" s="195"/>
      <c r="J377" s="119"/>
      <c r="K377" s="119"/>
      <c r="L377" s="32"/>
      <c r="M377" s="32"/>
      <c r="N377" s="33"/>
      <c r="O377" s="33"/>
      <c r="P377" s="32"/>
      <c r="Q377" s="32"/>
      <c r="R377" s="32"/>
      <c r="T377" s="23"/>
      <c r="V377" s="32"/>
      <c r="X377" s="32"/>
      <c r="Y377" s="119"/>
      <c r="Z377" s="32"/>
      <c r="AA377" s="32"/>
      <c r="AB377" s="33"/>
      <c r="AC377" s="33"/>
      <c r="AD377" s="32"/>
      <c r="AE377" s="32"/>
      <c r="AF377" s="44"/>
      <c r="AG377" s="44"/>
      <c r="AH377" s="32"/>
      <c r="AI377" s="32"/>
      <c r="AJ377" s="32"/>
      <c r="AK377" s="32"/>
      <c r="AL377" s="33"/>
      <c r="AM377" s="33"/>
    </row>
    <row r="378" spans="1:39" x14ac:dyDescent="0.3">
      <c r="F378" s="34"/>
      <c r="H378" s="32"/>
      <c r="I378" s="32"/>
      <c r="J378" s="198"/>
      <c r="K378" s="198"/>
      <c r="L378" s="34"/>
      <c r="M378" s="34"/>
      <c r="N378" s="34"/>
      <c r="O378" s="34"/>
      <c r="P378" s="34"/>
      <c r="Q378" s="34"/>
      <c r="R378" s="34"/>
      <c r="V378" s="34"/>
      <c r="X378" s="32"/>
      <c r="Y378" s="198"/>
      <c r="Z378" s="34"/>
      <c r="AA378" s="34"/>
      <c r="AB378" s="34"/>
      <c r="AC378" s="34"/>
      <c r="AD378" s="34"/>
      <c r="AE378" s="34"/>
      <c r="AH378" s="34"/>
      <c r="AI378" s="34"/>
      <c r="AJ378" s="34"/>
      <c r="AK378" s="34"/>
    </row>
    <row r="379" spans="1:39" x14ac:dyDescent="0.3">
      <c r="F379" s="32"/>
      <c r="H379" s="32"/>
      <c r="I379" s="32"/>
      <c r="J379" s="198"/>
      <c r="K379" s="198"/>
      <c r="L379" s="32"/>
      <c r="M379" s="32"/>
      <c r="N379" s="32"/>
      <c r="O379" s="32"/>
      <c r="P379" s="32"/>
      <c r="Q379" s="32"/>
      <c r="R379" s="32"/>
      <c r="V379" s="32"/>
      <c r="X379" s="32"/>
      <c r="Y379" s="198"/>
      <c r="Z379" s="32"/>
      <c r="AA379" s="32"/>
      <c r="AB379" s="32"/>
      <c r="AC379" s="32"/>
      <c r="AD379" s="32"/>
      <c r="AE379" s="32"/>
      <c r="AH379" s="32"/>
      <c r="AI379" s="32"/>
      <c r="AJ379" s="32"/>
      <c r="AK379" s="32"/>
    </row>
    <row r="380" spans="1:39" x14ac:dyDescent="0.3">
      <c r="A380" s="22"/>
      <c r="C380" s="23"/>
      <c r="F380" s="32"/>
      <c r="H380" s="32"/>
      <c r="I380" s="32"/>
      <c r="L380" s="32"/>
      <c r="M380" s="32"/>
      <c r="N380" s="33"/>
      <c r="O380" s="33"/>
      <c r="P380" s="32"/>
      <c r="Q380" s="32"/>
      <c r="R380" s="32"/>
      <c r="T380" s="23"/>
      <c r="V380" s="32"/>
      <c r="X380" s="32"/>
      <c r="Z380" s="32"/>
      <c r="AA380" s="32"/>
      <c r="AB380" s="33"/>
      <c r="AC380" s="33"/>
      <c r="AD380" s="32"/>
      <c r="AE380" s="32"/>
      <c r="AF380" s="44"/>
      <c r="AG380" s="44"/>
      <c r="AH380" s="195"/>
      <c r="AI380" s="195"/>
      <c r="AJ380" s="32"/>
      <c r="AK380" s="32"/>
      <c r="AL380" s="33"/>
      <c r="AM380" s="33"/>
    </row>
    <row r="381" spans="1:39" x14ac:dyDescent="0.3">
      <c r="H381" s="34"/>
      <c r="I381" s="34"/>
      <c r="J381" s="198"/>
      <c r="K381" s="198"/>
      <c r="L381" s="34"/>
      <c r="M381" s="34"/>
      <c r="N381" s="34"/>
      <c r="O381" s="34"/>
      <c r="P381" s="34"/>
      <c r="Q381" s="34"/>
      <c r="R381" s="34"/>
      <c r="V381" s="34"/>
      <c r="X381" s="34"/>
      <c r="Y381" s="198"/>
      <c r="Z381" s="34"/>
      <c r="AA381" s="34"/>
      <c r="AB381" s="34"/>
      <c r="AC381" s="34"/>
      <c r="AD381" s="34"/>
      <c r="AE381" s="34"/>
      <c r="AH381" s="34"/>
      <c r="AI381" s="34"/>
      <c r="AJ381" s="34"/>
      <c r="AK381" s="34"/>
    </row>
    <row r="382" spans="1:39" x14ac:dyDescent="0.3">
      <c r="F382" s="34"/>
    </row>
    <row r="383" spans="1:39" x14ac:dyDescent="0.3">
      <c r="A383" s="23"/>
      <c r="T383" s="23"/>
    </row>
    <row r="384" spans="1:39" x14ac:dyDescent="0.3">
      <c r="A384" s="23"/>
      <c r="T384" s="23"/>
    </row>
    <row r="385" spans="1:37" x14ac:dyDescent="0.3">
      <c r="A385" s="23"/>
      <c r="T385" s="23"/>
    </row>
    <row r="386" spans="1:37" x14ac:dyDescent="0.3">
      <c r="A386" s="23"/>
      <c r="T386" s="23"/>
    </row>
    <row r="387" spans="1:37" x14ac:dyDescent="0.3">
      <c r="A387" s="23"/>
      <c r="T387" s="23"/>
    </row>
    <row r="388" spans="1:37" x14ac:dyDescent="0.3">
      <c r="A388" s="23"/>
      <c r="T388" s="23"/>
    </row>
    <row r="389" spans="1:37" x14ac:dyDescent="0.3">
      <c r="A389" s="23"/>
      <c r="T389" s="23"/>
    </row>
    <row r="390" spans="1:37" x14ac:dyDescent="0.3">
      <c r="A390" s="23"/>
      <c r="T390" s="23"/>
    </row>
    <row r="391" spans="1:37" x14ac:dyDescent="0.3">
      <c r="A391" s="23"/>
      <c r="T391" s="23"/>
    </row>
    <row r="393" spans="1:37" x14ac:dyDescent="0.3">
      <c r="A393" s="23"/>
    </row>
    <row r="394" spans="1:37" x14ac:dyDescent="0.3">
      <c r="J394" s="22"/>
      <c r="K394" s="22"/>
      <c r="Y394" s="22"/>
    </row>
    <row r="395" spans="1:37" x14ac:dyDescent="0.3">
      <c r="H395" s="23"/>
      <c r="I395" s="23"/>
      <c r="X395" s="23"/>
    </row>
    <row r="396" spans="1:37" x14ac:dyDescent="0.3">
      <c r="J396" s="22"/>
      <c r="K396" s="22"/>
      <c r="Y396" s="22"/>
    </row>
    <row r="397" spans="1:37" x14ac:dyDescent="0.3">
      <c r="L397" s="23"/>
      <c r="M397" s="23"/>
      <c r="Z397" s="23"/>
      <c r="AA397" s="23"/>
    </row>
    <row r="398" spans="1:37" x14ac:dyDescent="0.3">
      <c r="A398" s="22"/>
      <c r="R398" s="23"/>
      <c r="AJ398" s="23"/>
      <c r="AK398" s="23"/>
    </row>
    <row r="399" spans="1:37" x14ac:dyDescent="0.3">
      <c r="A399" s="22"/>
      <c r="R399" s="23"/>
      <c r="AJ399" s="23"/>
      <c r="AK399" s="23"/>
    </row>
    <row r="400" spans="1:37" x14ac:dyDescent="0.3">
      <c r="A400" s="23"/>
      <c r="R400" s="23"/>
      <c r="AJ400" s="23"/>
      <c r="AK400" s="23"/>
    </row>
    <row r="401" spans="1:39" x14ac:dyDescent="0.3">
      <c r="L401" s="23"/>
      <c r="M401" s="23"/>
      <c r="R401" s="22"/>
      <c r="Z401" s="23"/>
      <c r="AA401" s="23"/>
      <c r="AJ401" s="22"/>
      <c r="AK401" s="22"/>
    </row>
    <row r="402" spans="1:39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</row>
    <row r="403" spans="1:39" x14ac:dyDescent="0.3">
      <c r="L403" s="30"/>
      <c r="M403" s="30"/>
      <c r="N403" s="30"/>
      <c r="O403" s="30"/>
      <c r="R403" s="30"/>
      <c r="Z403" s="30"/>
      <c r="AA403" s="30"/>
      <c r="AB403" s="30"/>
      <c r="AC403" s="30"/>
      <c r="AD403" s="30"/>
      <c r="AE403" s="30"/>
      <c r="AF403" s="30"/>
      <c r="AG403" s="30"/>
      <c r="AJ403" s="30"/>
      <c r="AK403" s="30"/>
      <c r="AL403" s="30"/>
      <c r="AM403" s="30"/>
    </row>
    <row r="404" spans="1:39" x14ac:dyDescent="0.3">
      <c r="L404" s="30"/>
      <c r="M404" s="30"/>
      <c r="N404" s="30"/>
      <c r="O404" s="30"/>
      <c r="R404" s="30"/>
      <c r="Y404" s="30"/>
      <c r="Z404" s="30"/>
      <c r="AA404" s="30"/>
      <c r="AB404" s="30"/>
      <c r="AC404" s="30"/>
      <c r="AD404" s="30"/>
      <c r="AE404" s="30"/>
      <c r="AF404" s="30"/>
      <c r="AG404" s="30"/>
      <c r="AJ404" s="30"/>
      <c r="AK404" s="30"/>
      <c r="AL404" s="30"/>
      <c r="AM404" s="30"/>
    </row>
    <row r="405" spans="1:39" x14ac:dyDescent="0.3">
      <c r="A405" s="30"/>
      <c r="C405" s="30"/>
      <c r="D405" s="30"/>
      <c r="E405" s="30"/>
      <c r="F405" s="30"/>
      <c r="J405" s="30"/>
      <c r="K405" s="30"/>
      <c r="L405" s="30"/>
      <c r="M405" s="30"/>
      <c r="N405" s="30"/>
      <c r="O405" s="30"/>
      <c r="P405" s="30"/>
      <c r="Q405" s="30"/>
      <c r="R405" s="30"/>
      <c r="T405" s="30"/>
      <c r="U405" s="30"/>
      <c r="V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</row>
    <row r="406" spans="1:39" x14ac:dyDescent="0.3">
      <c r="A406" s="30"/>
      <c r="C406" s="30"/>
      <c r="D406" s="30"/>
      <c r="E406" s="30"/>
      <c r="F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T406" s="30"/>
      <c r="U406" s="30"/>
      <c r="V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</row>
    <row r="407" spans="1:39" x14ac:dyDescent="0.3">
      <c r="C407" s="30"/>
      <c r="D407" s="30"/>
      <c r="E407" s="30"/>
      <c r="F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T407" s="30"/>
      <c r="U407" s="30"/>
      <c r="V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</row>
    <row r="408" spans="1:39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</row>
    <row r="409" spans="1:39" x14ac:dyDescent="0.3"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</row>
    <row r="410" spans="1:39" x14ac:dyDescent="0.3">
      <c r="A410" s="22"/>
      <c r="C410" s="23"/>
      <c r="D410" s="23"/>
      <c r="E410" s="23"/>
      <c r="T410" s="23"/>
      <c r="U410" s="23"/>
    </row>
    <row r="411" spans="1:39" x14ac:dyDescent="0.3">
      <c r="A411" s="22"/>
      <c r="D411" s="23"/>
      <c r="E411" s="23"/>
      <c r="U411" s="23"/>
    </row>
    <row r="413" spans="1:39" x14ac:dyDescent="0.3">
      <c r="A413" s="22"/>
      <c r="C413" s="23"/>
      <c r="F413" s="32"/>
      <c r="J413" s="59"/>
      <c r="K413" s="59"/>
      <c r="L413" s="32"/>
      <c r="M413" s="32"/>
      <c r="R413" s="32"/>
      <c r="T413" s="23"/>
      <c r="V413" s="32"/>
      <c r="Y413" s="59"/>
      <c r="Z413" s="32"/>
      <c r="AA413" s="32"/>
      <c r="AF413" s="32"/>
      <c r="AG413" s="32"/>
      <c r="AJ413" s="32"/>
      <c r="AK413" s="32"/>
    </row>
    <row r="414" spans="1:39" x14ac:dyDescent="0.3">
      <c r="A414" s="22"/>
      <c r="C414" s="23"/>
      <c r="F414" s="32"/>
      <c r="R414" s="32"/>
      <c r="T414" s="23"/>
      <c r="V414" s="32"/>
      <c r="AF414" s="32"/>
      <c r="AG414" s="32"/>
      <c r="AJ414" s="32"/>
      <c r="AK414" s="32"/>
    </row>
    <row r="415" spans="1:39" x14ac:dyDescent="0.3">
      <c r="AH415" s="32"/>
      <c r="AI415" s="32"/>
      <c r="AJ415" s="32"/>
      <c r="AK415" s="32"/>
      <c r="AL415" s="33"/>
      <c r="AM415" s="33"/>
    </row>
    <row r="416" spans="1:39" x14ac:dyDescent="0.3">
      <c r="A416" s="22"/>
      <c r="C416" s="23"/>
      <c r="F416" s="195"/>
      <c r="H416" s="195"/>
      <c r="I416" s="195"/>
      <c r="J416" s="206"/>
      <c r="K416" s="206"/>
      <c r="L416" s="32"/>
      <c r="M416" s="32"/>
      <c r="N416" s="33"/>
      <c r="O416" s="33"/>
      <c r="P416" s="32"/>
      <c r="Q416" s="32"/>
      <c r="R416" s="32"/>
      <c r="T416" s="23"/>
      <c r="V416" s="32"/>
      <c r="X416" s="32"/>
      <c r="Y416" s="206"/>
      <c r="Z416" s="32"/>
      <c r="AA416" s="32"/>
      <c r="AB416" s="33"/>
      <c r="AC416" s="33"/>
      <c r="AD416" s="32"/>
      <c r="AE416" s="32"/>
      <c r="AF416" s="44"/>
      <c r="AG416" s="44"/>
      <c r="AH416" s="32"/>
      <c r="AI416" s="32"/>
      <c r="AJ416" s="32"/>
      <c r="AK416" s="32"/>
      <c r="AL416" s="33"/>
      <c r="AM416" s="33"/>
    </row>
    <row r="417" spans="1:39" x14ac:dyDescent="0.3">
      <c r="F417" s="32"/>
      <c r="H417" s="32"/>
      <c r="I417" s="32"/>
      <c r="J417" s="48"/>
      <c r="K417" s="48"/>
      <c r="L417" s="32"/>
      <c r="M417" s="32"/>
      <c r="P417" s="32"/>
      <c r="Q417" s="32"/>
      <c r="R417" s="32"/>
      <c r="V417" s="32"/>
      <c r="X417" s="32"/>
      <c r="Y417" s="48"/>
      <c r="Z417" s="32"/>
      <c r="AA417" s="32"/>
      <c r="AH417" s="32"/>
      <c r="AI417" s="32"/>
      <c r="AJ417" s="32"/>
      <c r="AK417" s="32"/>
      <c r="AL417" s="33"/>
      <c r="AM417" s="33"/>
    </row>
    <row r="418" spans="1:39" x14ac:dyDescent="0.3">
      <c r="F418" s="32"/>
      <c r="R418" s="32"/>
      <c r="V418" s="32"/>
      <c r="AJ418" s="32"/>
      <c r="AK418" s="32"/>
      <c r="AL418" s="33"/>
      <c r="AM418" s="33"/>
    </row>
    <row r="419" spans="1:39" x14ac:dyDescent="0.3">
      <c r="A419" s="22"/>
      <c r="C419" s="23"/>
      <c r="F419" s="32"/>
      <c r="J419" s="59"/>
      <c r="K419" s="59"/>
      <c r="L419" s="32"/>
      <c r="M419" s="32"/>
      <c r="N419" s="33"/>
      <c r="O419" s="33"/>
      <c r="R419" s="32"/>
      <c r="T419" s="23"/>
      <c r="V419" s="32"/>
      <c r="Y419" s="59"/>
      <c r="Z419" s="32"/>
      <c r="AA419" s="32"/>
      <c r="AB419" s="33"/>
      <c r="AC419" s="33"/>
      <c r="AJ419" s="32"/>
      <c r="AK419" s="32"/>
      <c r="AL419" s="33"/>
      <c r="AM419" s="33"/>
    </row>
    <row r="420" spans="1:39" x14ac:dyDescent="0.3">
      <c r="A420" s="22"/>
      <c r="C420" s="23"/>
      <c r="F420" s="32"/>
      <c r="H420" s="32"/>
      <c r="I420" s="32"/>
      <c r="J420" s="59"/>
      <c r="K420" s="59"/>
      <c r="L420" s="32"/>
      <c r="M420" s="32"/>
      <c r="N420" s="33"/>
      <c r="O420" s="33"/>
      <c r="P420" s="32"/>
      <c r="Q420" s="32"/>
      <c r="R420" s="32"/>
      <c r="T420" s="23"/>
      <c r="V420" s="32"/>
      <c r="X420" s="32"/>
      <c r="Y420" s="59"/>
      <c r="Z420" s="32"/>
      <c r="AA420" s="32"/>
      <c r="AB420" s="33"/>
      <c r="AC420" s="33"/>
      <c r="AH420" s="32"/>
      <c r="AI420" s="32"/>
      <c r="AJ420" s="32"/>
      <c r="AK420" s="32"/>
      <c r="AL420" s="33"/>
      <c r="AM420" s="33"/>
    </row>
    <row r="421" spans="1:39" x14ac:dyDescent="0.3">
      <c r="A421" s="22"/>
      <c r="C421" s="23"/>
      <c r="T421" s="23"/>
      <c r="AL421" s="33"/>
      <c r="AM421" s="33"/>
    </row>
    <row r="422" spans="1:39" x14ac:dyDescent="0.3">
      <c r="A422" s="22"/>
      <c r="C422" s="23"/>
      <c r="T422" s="23"/>
      <c r="AL422" s="33"/>
      <c r="AM422" s="33"/>
    </row>
    <row r="423" spans="1:39" x14ac:dyDescent="0.3">
      <c r="AL423" s="33"/>
      <c r="AM423" s="33"/>
    </row>
    <row r="424" spans="1:39" x14ac:dyDescent="0.3">
      <c r="A424" s="22"/>
      <c r="C424" s="23"/>
      <c r="F424" s="195"/>
      <c r="H424" s="195"/>
      <c r="I424" s="195"/>
      <c r="J424" s="206"/>
      <c r="K424" s="206"/>
      <c r="L424" s="32"/>
      <c r="M424" s="32"/>
      <c r="N424" s="33"/>
      <c r="O424" s="33"/>
      <c r="P424" s="32"/>
      <c r="Q424" s="32"/>
      <c r="R424" s="32"/>
      <c r="T424" s="23"/>
      <c r="V424" s="32"/>
      <c r="X424" s="32"/>
      <c r="Y424" s="206"/>
      <c r="Z424" s="32"/>
      <c r="AA424" s="32"/>
      <c r="AB424" s="33"/>
      <c r="AC424" s="33"/>
      <c r="AD424" s="32"/>
      <c r="AE424" s="32"/>
      <c r="AF424" s="44"/>
      <c r="AG424" s="44"/>
      <c r="AH424" s="32"/>
      <c r="AI424" s="32"/>
      <c r="AJ424" s="32"/>
      <c r="AK424" s="32"/>
      <c r="AL424" s="33"/>
      <c r="AM424" s="33"/>
    </row>
    <row r="425" spans="1:39" x14ac:dyDescent="0.3">
      <c r="F425" s="34"/>
      <c r="H425" s="34"/>
      <c r="I425" s="34"/>
      <c r="J425" s="198"/>
      <c r="K425" s="198"/>
      <c r="L425" s="34"/>
      <c r="M425" s="34"/>
      <c r="N425" s="34"/>
      <c r="O425" s="34"/>
      <c r="P425" s="34"/>
      <c r="Q425" s="34"/>
      <c r="R425" s="34"/>
      <c r="V425" s="34"/>
      <c r="X425" s="34"/>
      <c r="Y425" s="198"/>
      <c r="Z425" s="34"/>
      <c r="AA425" s="34"/>
      <c r="AB425" s="34"/>
      <c r="AC425" s="34"/>
      <c r="AD425" s="34"/>
      <c r="AE425" s="34"/>
      <c r="AH425" s="34"/>
      <c r="AI425" s="34"/>
      <c r="AJ425" s="34"/>
      <c r="AK425" s="34"/>
      <c r="AL425" s="33"/>
      <c r="AM425" s="33"/>
    </row>
    <row r="426" spans="1:39" x14ac:dyDescent="0.3">
      <c r="H426" s="32"/>
      <c r="I426" s="32"/>
      <c r="X426" s="32"/>
      <c r="AL426" s="33"/>
      <c r="AM426" s="33"/>
    </row>
    <row r="427" spans="1:39" x14ac:dyDescent="0.3">
      <c r="A427" s="22"/>
      <c r="C427" s="23"/>
      <c r="F427" s="32"/>
      <c r="H427" s="32"/>
      <c r="I427" s="32"/>
      <c r="L427" s="32"/>
      <c r="M427" s="32"/>
      <c r="N427" s="33"/>
      <c r="O427" s="33"/>
      <c r="P427" s="195"/>
      <c r="Q427" s="195"/>
      <c r="R427" s="32"/>
      <c r="T427" s="23"/>
      <c r="V427" s="32"/>
      <c r="X427" s="32"/>
      <c r="Z427" s="32"/>
      <c r="AA427" s="32"/>
      <c r="AB427" s="33"/>
      <c r="AC427" s="33"/>
      <c r="AD427" s="32"/>
      <c r="AE427" s="32"/>
      <c r="AF427" s="44"/>
      <c r="AG427" s="44"/>
      <c r="AH427" s="195"/>
      <c r="AI427" s="195"/>
      <c r="AJ427" s="32"/>
      <c r="AK427" s="32"/>
      <c r="AL427" s="33"/>
      <c r="AM427" s="33"/>
    </row>
    <row r="428" spans="1:39" x14ac:dyDescent="0.3">
      <c r="H428" s="34"/>
      <c r="I428" s="34"/>
      <c r="J428" s="198"/>
      <c r="K428" s="198"/>
      <c r="L428" s="34"/>
      <c r="M428" s="34"/>
      <c r="N428" s="34"/>
      <c r="O428" s="34"/>
      <c r="P428" s="34"/>
      <c r="Q428" s="34"/>
      <c r="R428" s="34"/>
      <c r="V428" s="34"/>
      <c r="X428" s="34"/>
      <c r="Y428" s="198"/>
      <c r="Z428" s="34"/>
      <c r="AA428" s="34"/>
      <c r="AB428" s="34"/>
      <c r="AC428" s="34"/>
      <c r="AD428" s="34"/>
      <c r="AE428" s="34"/>
      <c r="AH428" s="34"/>
      <c r="AI428" s="34"/>
      <c r="AJ428" s="34"/>
      <c r="AK428" s="34"/>
      <c r="AL428" s="33"/>
      <c r="AM428" s="33"/>
    </row>
    <row r="429" spans="1:39" x14ac:dyDescent="0.3">
      <c r="F429" s="34"/>
    </row>
    <row r="430" spans="1:39" x14ac:dyDescent="0.3">
      <c r="F430" s="32"/>
      <c r="H430" s="32"/>
      <c r="I430" s="32"/>
      <c r="J430" s="48"/>
      <c r="K430" s="48"/>
      <c r="L430" s="32"/>
      <c r="M430" s="32"/>
      <c r="N430" s="32"/>
      <c r="O430" s="32"/>
      <c r="P430" s="32"/>
      <c r="Q430" s="32"/>
      <c r="R430" s="32"/>
      <c r="V430" s="32"/>
      <c r="X430" s="32"/>
      <c r="Y430" s="48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</row>
    <row r="431" spans="1:39" x14ac:dyDescent="0.3">
      <c r="A431" s="23"/>
    </row>
    <row r="432" spans="1:39" x14ac:dyDescent="0.3">
      <c r="J432" s="22"/>
      <c r="K432" s="22"/>
      <c r="Y432" s="22"/>
    </row>
    <row r="433" spans="1:39" x14ac:dyDescent="0.3">
      <c r="H433" s="23"/>
      <c r="I433" s="23"/>
      <c r="X433" s="23"/>
    </row>
    <row r="434" spans="1:39" x14ac:dyDescent="0.3">
      <c r="J434" s="22"/>
      <c r="K434" s="22"/>
      <c r="Y434" s="22"/>
    </row>
    <row r="435" spans="1:39" x14ac:dyDescent="0.3">
      <c r="L435" s="23"/>
      <c r="M435" s="23"/>
      <c r="Z435" s="23"/>
      <c r="AA435" s="23"/>
    </row>
    <row r="436" spans="1:39" x14ac:dyDescent="0.3">
      <c r="A436" s="22"/>
      <c r="R436" s="23"/>
      <c r="AJ436" s="23"/>
      <c r="AK436" s="23"/>
    </row>
    <row r="437" spans="1:39" x14ac:dyDescent="0.3">
      <c r="A437" s="22"/>
      <c r="R437" s="23"/>
      <c r="AJ437" s="23"/>
      <c r="AK437" s="23"/>
    </row>
    <row r="438" spans="1:39" x14ac:dyDescent="0.3">
      <c r="A438" s="23"/>
      <c r="R438" s="23"/>
      <c r="AJ438" s="23"/>
      <c r="AK438" s="23"/>
    </row>
    <row r="439" spans="1:39" x14ac:dyDescent="0.3">
      <c r="L439" s="23"/>
      <c r="M439" s="23"/>
      <c r="R439" s="22"/>
      <c r="Z439" s="23"/>
      <c r="AA439" s="23"/>
      <c r="AJ439" s="22"/>
      <c r="AK439" s="22"/>
    </row>
    <row r="440" spans="1:39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</row>
    <row r="441" spans="1:39" x14ac:dyDescent="0.3">
      <c r="L441" s="30"/>
      <c r="M441" s="30"/>
      <c r="N441" s="30"/>
      <c r="O441" s="30"/>
      <c r="R441" s="30"/>
      <c r="Z441" s="30"/>
      <c r="AA441" s="30"/>
      <c r="AB441" s="30"/>
      <c r="AC441" s="30"/>
      <c r="AD441" s="30"/>
      <c r="AE441" s="30"/>
      <c r="AF441" s="30"/>
      <c r="AG441" s="30"/>
      <c r="AJ441" s="30"/>
      <c r="AK441" s="30"/>
      <c r="AL441" s="30"/>
      <c r="AM441" s="30"/>
    </row>
    <row r="442" spans="1:39" x14ac:dyDescent="0.3">
      <c r="L442" s="30"/>
      <c r="M442" s="30"/>
      <c r="N442" s="30"/>
      <c r="O442" s="30"/>
      <c r="R442" s="30"/>
      <c r="Y442" s="30"/>
      <c r="Z442" s="30"/>
      <c r="AA442" s="30"/>
      <c r="AB442" s="30"/>
      <c r="AC442" s="30"/>
      <c r="AD442" s="30"/>
      <c r="AE442" s="30"/>
      <c r="AF442" s="30"/>
      <c r="AG442" s="30"/>
      <c r="AJ442" s="30"/>
      <c r="AK442" s="30"/>
      <c r="AL442" s="30"/>
      <c r="AM442" s="30"/>
    </row>
    <row r="443" spans="1:39" x14ac:dyDescent="0.3">
      <c r="A443" s="30"/>
      <c r="C443" s="30"/>
      <c r="D443" s="30"/>
      <c r="E443" s="30"/>
      <c r="F443" s="30"/>
      <c r="J443" s="30"/>
      <c r="K443" s="30"/>
      <c r="L443" s="30"/>
      <c r="M443" s="30"/>
      <c r="N443" s="30"/>
      <c r="O443" s="30"/>
      <c r="P443" s="30"/>
      <c r="Q443" s="30"/>
      <c r="R443" s="30"/>
      <c r="T443" s="30"/>
      <c r="U443" s="30"/>
      <c r="V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</row>
    <row r="444" spans="1:39" x14ac:dyDescent="0.3">
      <c r="A444" s="30"/>
      <c r="C444" s="30"/>
      <c r="D444" s="30"/>
      <c r="E444" s="30"/>
      <c r="F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T444" s="30"/>
      <c r="U444" s="30"/>
      <c r="V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</row>
    <row r="445" spans="1:39" x14ac:dyDescent="0.3">
      <c r="C445" s="30"/>
      <c r="D445" s="30"/>
      <c r="E445" s="30"/>
      <c r="F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T445" s="30"/>
      <c r="U445" s="30"/>
      <c r="V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</row>
    <row r="446" spans="1:39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</row>
    <row r="447" spans="1:39" x14ac:dyDescent="0.3"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</row>
    <row r="448" spans="1:39" x14ac:dyDescent="0.3">
      <c r="A448" s="22"/>
      <c r="C448" s="23"/>
      <c r="D448" s="23"/>
      <c r="E448" s="23"/>
      <c r="T448" s="23"/>
      <c r="U448" s="23"/>
      <c r="V448" s="32"/>
      <c r="W448" s="32"/>
      <c r="X448" s="32"/>
      <c r="Y448" s="206"/>
    </row>
    <row r="450" spans="1:39" x14ac:dyDescent="0.3">
      <c r="A450" s="22"/>
      <c r="C450" s="23"/>
      <c r="T450" s="23"/>
      <c r="V450" s="32"/>
      <c r="W450" s="32"/>
      <c r="X450" s="32"/>
      <c r="Y450" s="206"/>
    </row>
    <row r="451" spans="1:39" x14ac:dyDescent="0.3">
      <c r="A451" s="22"/>
      <c r="C451" s="23"/>
      <c r="F451" s="195"/>
      <c r="H451" s="195"/>
      <c r="I451" s="195"/>
      <c r="J451" s="203"/>
      <c r="K451" s="203"/>
      <c r="L451" s="32"/>
      <c r="M451" s="32"/>
      <c r="N451" s="33"/>
      <c r="O451" s="33"/>
      <c r="P451" s="32"/>
      <c r="Q451" s="32"/>
      <c r="R451" s="32"/>
      <c r="T451" s="23"/>
      <c r="V451" s="32"/>
      <c r="W451" s="32"/>
      <c r="X451" s="32"/>
      <c r="Y451" s="203"/>
      <c r="Z451" s="32"/>
      <c r="AA451" s="32"/>
      <c r="AB451" s="33"/>
      <c r="AC451" s="33"/>
      <c r="AD451" s="32"/>
      <c r="AE451" s="32"/>
      <c r="AF451" s="44"/>
      <c r="AG451" s="44"/>
      <c r="AH451" s="32"/>
      <c r="AI451" s="32"/>
      <c r="AJ451" s="32"/>
      <c r="AK451" s="32"/>
      <c r="AL451" s="33"/>
      <c r="AM451" s="33"/>
    </row>
    <row r="452" spans="1:39" x14ac:dyDescent="0.3">
      <c r="A452" s="22"/>
      <c r="C452" s="23"/>
      <c r="F452" s="195"/>
      <c r="H452" s="195"/>
      <c r="I452" s="195"/>
      <c r="J452" s="203"/>
      <c r="K452" s="203"/>
      <c r="L452" s="32"/>
      <c r="M452" s="32"/>
      <c r="N452" s="33"/>
      <c r="O452" s="33"/>
      <c r="P452" s="32"/>
      <c r="Q452" s="32"/>
      <c r="R452" s="32"/>
      <c r="T452" s="23"/>
      <c r="V452" s="32"/>
      <c r="W452" s="32"/>
      <c r="X452" s="32"/>
      <c r="Y452" s="203"/>
      <c r="Z452" s="32"/>
      <c r="AA452" s="32"/>
      <c r="AB452" s="33"/>
      <c r="AC452" s="33"/>
      <c r="AD452" s="32"/>
      <c r="AE452" s="32"/>
      <c r="AF452" s="44"/>
      <c r="AG452" s="44"/>
      <c r="AH452" s="32"/>
      <c r="AI452" s="32"/>
      <c r="AJ452" s="32"/>
      <c r="AK452" s="32"/>
      <c r="AL452" s="33"/>
      <c r="AM452" s="33"/>
    </row>
    <row r="453" spans="1:39" x14ac:dyDescent="0.3">
      <c r="A453" s="22"/>
      <c r="C453" s="23"/>
      <c r="F453" s="195"/>
      <c r="H453" s="195"/>
      <c r="I453" s="195"/>
      <c r="J453" s="203"/>
      <c r="K453" s="203"/>
      <c r="L453" s="32"/>
      <c r="M453" s="32"/>
      <c r="N453" s="33"/>
      <c r="O453" s="33"/>
      <c r="P453" s="32"/>
      <c r="Q453" s="32"/>
      <c r="R453" s="32"/>
      <c r="T453" s="23"/>
      <c r="V453" s="32"/>
      <c r="W453" s="32"/>
      <c r="X453" s="32"/>
      <c r="Y453" s="203"/>
      <c r="Z453" s="32"/>
      <c r="AA453" s="32"/>
      <c r="AB453" s="33"/>
      <c r="AC453" s="33"/>
      <c r="AD453" s="32"/>
      <c r="AE453" s="32"/>
      <c r="AF453" s="44"/>
      <c r="AG453" s="44"/>
      <c r="AH453" s="32"/>
      <c r="AI453" s="32"/>
      <c r="AJ453" s="32"/>
      <c r="AK453" s="32"/>
      <c r="AL453" s="33"/>
      <c r="AM453" s="33"/>
    </row>
    <row r="454" spans="1:39" x14ac:dyDescent="0.3">
      <c r="A454" s="22"/>
      <c r="C454" s="23"/>
      <c r="F454" s="195"/>
      <c r="H454" s="195"/>
      <c r="I454" s="195"/>
      <c r="J454" s="203"/>
      <c r="K454" s="203"/>
      <c r="L454" s="32"/>
      <c r="M454" s="32"/>
      <c r="N454" s="33"/>
      <c r="O454" s="33"/>
      <c r="P454" s="32"/>
      <c r="Q454" s="32"/>
      <c r="R454" s="32"/>
      <c r="T454" s="23"/>
      <c r="V454" s="32"/>
      <c r="W454" s="32"/>
      <c r="X454" s="32"/>
      <c r="Y454" s="203"/>
      <c r="Z454" s="32"/>
      <c r="AA454" s="32"/>
      <c r="AB454" s="33"/>
      <c r="AC454" s="33"/>
      <c r="AD454" s="32"/>
      <c r="AE454" s="32"/>
      <c r="AF454" s="44"/>
      <c r="AG454" s="44"/>
      <c r="AH454" s="32"/>
      <c r="AI454" s="32"/>
      <c r="AJ454" s="32"/>
      <c r="AK454" s="32"/>
      <c r="AL454" s="33"/>
      <c r="AM454" s="33"/>
    </row>
    <row r="455" spans="1:39" x14ac:dyDescent="0.3">
      <c r="J455" s="62"/>
      <c r="K455" s="62"/>
      <c r="V455" s="32"/>
      <c r="W455" s="32"/>
      <c r="X455" s="32"/>
      <c r="Y455" s="203"/>
    </row>
    <row r="456" spans="1:39" x14ac:dyDescent="0.3">
      <c r="A456" s="22"/>
      <c r="C456" s="23"/>
      <c r="F456" s="195"/>
      <c r="H456" s="195"/>
      <c r="I456" s="195"/>
      <c r="J456" s="203"/>
      <c r="K456" s="203"/>
      <c r="L456" s="32"/>
      <c r="M456" s="32"/>
      <c r="N456" s="33"/>
      <c r="O456" s="33"/>
      <c r="P456" s="32"/>
      <c r="Q456" s="32"/>
      <c r="R456" s="32"/>
      <c r="T456" s="23"/>
      <c r="V456" s="32"/>
      <c r="W456" s="32"/>
      <c r="X456" s="32"/>
      <c r="Y456" s="203"/>
      <c r="Z456" s="32"/>
      <c r="AA456" s="32"/>
      <c r="AB456" s="33"/>
      <c r="AC456" s="33"/>
      <c r="AD456" s="32"/>
      <c r="AE456" s="32"/>
      <c r="AF456" s="44"/>
      <c r="AG456" s="44"/>
      <c r="AH456" s="32"/>
      <c r="AI456" s="32"/>
      <c r="AJ456" s="32"/>
      <c r="AK456" s="32"/>
      <c r="AL456" s="44"/>
      <c r="AM456" s="44"/>
    </row>
    <row r="457" spans="1:39" x14ac:dyDescent="0.3">
      <c r="A457" s="22"/>
      <c r="C457" s="23"/>
      <c r="J457" s="62"/>
      <c r="K457" s="62"/>
      <c r="T457" s="23"/>
      <c r="V457" s="32"/>
      <c r="W457" s="32"/>
      <c r="X457" s="32"/>
      <c r="Y457" s="203"/>
    </row>
    <row r="458" spans="1:39" x14ac:dyDescent="0.3">
      <c r="A458" s="22"/>
      <c r="C458" s="23"/>
      <c r="F458" s="195"/>
      <c r="H458" s="195"/>
      <c r="I458" s="195"/>
      <c r="J458" s="203"/>
      <c r="K458" s="203"/>
      <c r="L458" s="32"/>
      <c r="M458" s="32"/>
      <c r="N458" s="33"/>
      <c r="O458" s="33"/>
      <c r="P458" s="32"/>
      <c r="Q458" s="32"/>
      <c r="R458" s="32"/>
      <c r="T458" s="23"/>
      <c r="V458" s="32"/>
      <c r="W458" s="32"/>
      <c r="X458" s="32"/>
      <c r="Y458" s="203"/>
      <c r="Z458" s="32"/>
      <c r="AA458" s="32"/>
      <c r="AB458" s="33"/>
      <c r="AC458" s="33"/>
      <c r="AD458" s="32"/>
      <c r="AE458" s="32"/>
      <c r="AF458" s="44"/>
      <c r="AG458" s="44"/>
      <c r="AH458" s="32"/>
      <c r="AI458" s="32"/>
      <c r="AJ458" s="32"/>
      <c r="AK458" s="32"/>
      <c r="AL458" s="44"/>
      <c r="AM458" s="44"/>
    </row>
    <row r="459" spans="1:39" x14ac:dyDescent="0.3">
      <c r="J459" s="62"/>
      <c r="K459" s="62"/>
      <c r="Y459" s="62"/>
    </row>
    <row r="460" spans="1:39" x14ac:dyDescent="0.3">
      <c r="A460" s="22"/>
      <c r="C460" s="23"/>
      <c r="J460" s="62"/>
      <c r="K460" s="62"/>
      <c r="T460" s="23"/>
      <c r="V460" s="32"/>
      <c r="W460" s="32"/>
      <c r="X460" s="32"/>
      <c r="Y460" s="203"/>
    </row>
    <row r="461" spans="1:39" x14ac:dyDescent="0.3">
      <c r="A461" s="22"/>
      <c r="C461" s="23"/>
      <c r="F461" s="195"/>
      <c r="H461" s="195"/>
      <c r="I461" s="195"/>
      <c r="J461" s="203"/>
      <c r="K461" s="203"/>
      <c r="L461" s="32"/>
      <c r="M461" s="32"/>
      <c r="N461" s="33"/>
      <c r="O461" s="33"/>
      <c r="P461" s="32"/>
      <c r="Q461" s="32"/>
      <c r="R461" s="32"/>
      <c r="T461" s="23"/>
      <c r="V461" s="32"/>
      <c r="W461" s="32"/>
      <c r="X461" s="32"/>
      <c r="Y461" s="203"/>
      <c r="Z461" s="32"/>
      <c r="AA461" s="32"/>
      <c r="AB461" s="33"/>
      <c r="AC461" s="33"/>
      <c r="AD461" s="32"/>
      <c r="AE461" s="32"/>
      <c r="AF461" s="44"/>
      <c r="AG461" s="44"/>
      <c r="AH461" s="32"/>
      <c r="AI461" s="32"/>
      <c r="AJ461" s="32"/>
      <c r="AK461" s="32"/>
      <c r="AL461" s="44"/>
      <c r="AM461" s="44"/>
    </row>
    <row r="462" spans="1:39" x14ac:dyDescent="0.3">
      <c r="A462" s="22"/>
      <c r="C462" s="23"/>
      <c r="F462" s="195"/>
      <c r="H462" s="195"/>
      <c r="I462" s="195"/>
      <c r="J462" s="203"/>
      <c r="K462" s="203"/>
      <c r="L462" s="32"/>
      <c r="M462" s="32"/>
      <c r="N462" s="33"/>
      <c r="O462" s="33"/>
      <c r="P462" s="32"/>
      <c r="Q462" s="32"/>
      <c r="R462" s="32"/>
      <c r="T462" s="23"/>
      <c r="V462" s="32"/>
      <c r="W462" s="32"/>
      <c r="X462" s="32"/>
      <c r="Y462" s="203"/>
      <c r="Z462" s="32"/>
      <c r="AA462" s="32"/>
      <c r="AB462" s="33"/>
      <c r="AC462" s="33"/>
      <c r="AD462" s="32"/>
      <c r="AE462" s="32"/>
      <c r="AF462" s="44"/>
      <c r="AG462" s="44"/>
      <c r="AH462" s="32"/>
      <c r="AI462" s="32"/>
      <c r="AJ462" s="32"/>
      <c r="AK462" s="32"/>
      <c r="AL462" s="44"/>
      <c r="AM462" s="44"/>
    </row>
    <row r="463" spans="1:39" x14ac:dyDescent="0.3">
      <c r="F463" s="34"/>
      <c r="H463" s="34"/>
      <c r="I463" s="34"/>
      <c r="J463" s="203"/>
      <c r="K463" s="203"/>
      <c r="L463" s="34"/>
      <c r="M463" s="34"/>
      <c r="N463" s="34"/>
      <c r="O463" s="34"/>
      <c r="P463" s="34"/>
      <c r="Q463" s="34"/>
      <c r="R463" s="34"/>
      <c r="V463" s="34"/>
      <c r="X463" s="34"/>
      <c r="Y463" s="198"/>
      <c r="Z463" s="34"/>
      <c r="AA463" s="34"/>
      <c r="AB463" s="34"/>
      <c r="AC463" s="34"/>
      <c r="AD463" s="34"/>
      <c r="AE463" s="34"/>
      <c r="AH463" s="34"/>
      <c r="AI463" s="34"/>
      <c r="AJ463" s="34"/>
      <c r="AK463" s="34"/>
    </row>
    <row r="464" spans="1:39" x14ac:dyDescent="0.3">
      <c r="A464" s="22"/>
      <c r="C464" s="23"/>
      <c r="F464" s="32"/>
      <c r="H464" s="32"/>
      <c r="I464" s="32"/>
      <c r="L464" s="32"/>
      <c r="M464" s="32"/>
      <c r="N464" s="33"/>
      <c r="O464" s="33"/>
      <c r="P464" s="195"/>
      <c r="Q464" s="195"/>
      <c r="R464" s="32"/>
      <c r="T464" s="23"/>
      <c r="V464" s="32"/>
      <c r="W464" s="32"/>
      <c r="X464" s="32"/>
      <c r="Y464" s="206"/>
      <c r="Z464" s="32"/>
      <c r="AA464" s="32"/>
      <c r="AB464" s="33"/>
      <c r="AC464" s="33"/>
      <c r="AD464" s="32"/>
      <c r="AE464" s="32"/>
      <c r="AF464" s="44"/>
      <c r="AG464" s="44"/>
      <c r="AH464" s="195"/>
      <c r="AI464" s="195"/>
      <c r="AJ464" s="32"/>
      <c r="AK464" s="32"/>
      <c r="AL464" s="44"/>
      <c r="AM464" s="44"/>
    </row>
    <row r="465" spans="1:39" x14ac:dyDescent="0.3">
      <c r="H465" s="34"/>
      <c r="I465" s="34"/>
      <c r="J465" s="198"/>
      <c r="K465" s="198"/>
      <c r="L465" s="34"/>
      <c r="M465" s="34"/>
      <c r="N465" s="34"/>
      <c r="O465" s="34"/>
      <c r="P465" s="34"/>
      <c r="Q465" s="34"/>
      <c r="R465" s="34"/>
      <c r="V465" s="34"/>
      <c r="X465" s="34"/>
      <c r="Y465" s="198"/>
      <c r="Z465" s="34"/>
      <c r="AA465" s="34"/>
      <c r="AB465" s="34"/>
      <c r="AC465" s="34"/>
      <c r="AD465" s="34"/>
      <c r="AE465" s="34"/>
      <c r="AH465" s="34"/>
      <c r="AI465" s="34"/>
      <c r="AJ465" s="34"/>
      <c r="AK465" s="34"/>
    </row>
    <row r="466" spans="1:39" x14ac:dyDescent="0.3">
      <c r="F466" s="34"/>
    </row>
    <row r="467" spans="1:39" x14ac:dyDescent="0.3">
      <c r="C467" s="22"/>
      <c r="T467" s="22"/>
    </row>
    <row r="468" spans="1:39" x14ac:dyDescent="0.3">
      <c r="A468" s="23"/>
    </row>
    <row r="469" spans="1:39" x14ac:dyDescent="0.3">
      <c r="J469" s="22"/>
      <c r="K469" s="22"/>
      <c r="Y469" s="22"/>
    </row>
    <row r="470" spans="1:39" x14ac:dyDescent="0.3">
      <c r="H470" s="23"/>
      <c r="I470" s="23"/>
      <c r="X470" s="23"/>
    </row>
    <row r="471" spans="1:39" x14ac:dyDescent="0.3">
      <c r="J471" s="22"/>
      <c r="K471" s="22"/>
      <c r="Y471" s="22"/>
    </row>
    <row r="472" spans="1:39" x14ac:dyDescent="0.3">
      <c r="L472" s="23"/>
      <c r="M472" s="23"/>
      <c r="Z472" s="23"/>
      <c r="AA472" s="23"/>
    </row>
    <row r="473" spans="1:39" x14ac:dyDescent="0.3">
      <c r="A473" s="22"/>
      <c r="R473" s="23"/>
      <c r="AJ473" s="23"/>
      <c r="AK473" s="23"/>
    </row>
    <row r="474" spans="1:39" x14ac:dyDescent="0.3">
      <c r="A474" s="22"/>
      <c r="R474" s="23"/>
      <c r="AJ474" s="23"/>
      <c r="AK474" s="23"/>
    </row>
    <row r="475" spans="1:39" x14ac:dyDescent="0.3">
      <c r="A475" s="23"/>
      <c r="R475" s="23"/>
      <c r="AJ475" s="23"/>
      <c r="AK475" s="23"/>
    </row>
    <row r="476" spans="1:39" x14ac:dyDescent="0.3">
      <c r="L476" s="23"/>
      <c r="M476" s="23"/>
      <c r="R476" s="22"/>
      <c r="Z476" s="23"/>
      <c r="AA476" s="23"/>
      <c r="AJ476" s="22"/>
      <c r="AK476" s="22"/>
    </row>
    <row r="477" spans="1:39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</row>
    <row r="478" spans="1:39" x14ac:dyDescent="0.3">
      <c r="L478" s="30"/>
      <c r="M478" s="30"/>
      <c r="N478" s="30"/>
      <c r="O478" s="30"/>
      <c r="R478" s="30"/>
      <c r="Z478" s="30"/>
      <c r="AA478" s="30"/>
      <c r="AB478" s="30"/>
      <c r="AC478" s="30"/>
      <c r="AD478" s="30"/>
      <c r="AE478" s="30"/>
      <c r="AF478" s="30"/>
      <c r="AG478" s="30"/>
      <c r="AJ478" s="30"/>
      <c r="AK478" s="30"/>
      <c r="AL478" s="30"/>
      <c r="AM478" s="30"/>
    </row>
    <row r="479" spans="1:39" x14ac:dyDescent="0.3">
      <c r="L479" s="30"/>
      <c r="M479" s="30"/>
      <c r="N479" s="30"/>
      <c r="O479" s="30"/>
      <c r="R479" s="30"/>
      <c r="Y479" s="30"/>
      <c r="Z479" s="30"/>
      <c r="AA479" s="30"/>
      <c r="AB479" s="30"/>
      <c r="AC479" s="30"/>
      <c r="AD479" s="30"/>
      <c r="AE479" s="30"/>
      <c r="AF479" s="30"/>
      <c r="AG479" s="30"/>
      <c r="AJ479" s="30"/>
      <c r="AK479" s="30"/>
      <c r="AL479" s="30"/>
      <c r="AM479" s="30"/>
    </row>
    <row r="480" spans="1:39" x14ac:dyDescent="0.3">
      <c r="A480" s="30"/>
      <c r="C480" s="30"/>
      <c r="D480" s="30"/>
      <c r="E480" s="30"/>
      <c r="F480" s="30"/>
      <c r="J480" s="30"/>
      <c r="K480" s="30"/>
      <c r="L480" s="30"/>
      <c r="M480" s="30"/>
      <c r="N480" s="30"/>
      <c r="O480" s="30"/>
      <c r="P480" s="30"/>
      <c r="Q480" s="30"/>
      <c r="R480" s="30"/>
      <c r="T480" s="30"/>
      <c r="U480" s="30"/>
      <c r="V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</row>
    <row r="481" spans="1:39" x14ac:dyDescent="0.3">
      <c r="A481" s="30"/>
      <c r="C481" s="30"/>
      <c r="D481" s="30"/>
      <c r="E481" s="30"/>
      <c r="F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T481" s="30"/>
      <c r="U481" s="30"/>
      <c r="V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</row>
    <row r="482" spans="1:39" x14ac:dyDescent="0.3">
      <c r="C482" s="30"/>
      <c r="D482" s="30"/>
      <c r="E482" s="30"/>
      <c r="F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T482" s="30"/>
      <c r="U482" s="30"/>
      <c r="V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</row>
    <row r="483" spans="1:39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</row>
    <row r="484" spans="1:39" x14ac:dyDescent="0.3"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</row>
    <row r="485" spans="1:39" x14ac:dyDescent="0.3">
      <c r="A485" s="22"/>
      <c r="C485" s="23"/>
      <c r="D485" s="23"/>
      <c r="E485" s="23"/>
      <c r="T485" s="23"/>
      <c r="U485" s="23"/>
    </row>
    <row r="487" spans="1:39" x14ac:dyDescent="0.3">
      <c r="A487" s="22"/>
      <c r="C487" s="23"/>
      <c r="T487" s="23"/>
    </row>
    <row r="488" spans="1:39" x14ac:dyDescent="0.3">
      <c r="A488" s="22"/>
      <c r="C488" s="23"/>
      <c r="T488" s="23"/>
    </row>
    <row r="489" spans="1:39" x14ac:dyDescent="0.3">
      <c r="A489" s="22"/>
      <c r="C489" s="23"/>
      <c r="F489" s="195"/>
      <c r="H489" s="195"/>
      <c r="I489" s="195"/>
      <c r="J489" s="203"/>
      <c r="K489" s="203"/>
      <c r="L489" s="32"/>
      <c r="M489" s="32"/>
      <c r="N489" s="33"/>
      <c r="O489" s="33"/>
      <c r="P489" s="32"/>
      <c r="Q489" s="32"/>
      <c r="R489" s="32"/>
      <c r="T489" s="23"/>
      <c r="V489" s="32"/>
      <c r="W489" s="32"/>
      <c r="X489" s="32"/>
      <c r="Y489" s="203"/>
      <c r="Z489" s="32"/>
      <c r="AA489" s="32"/>
      <c r="AB489" s="33"/>
      <c r="AC489" s="33"/>
      <c r="AD489" s="32"/>
      <c r="AE489" s="32"/>
      <c r="AF489" s="44"/>
      <c r="AG489" s="44"/>
      <c r="AH489" s="32"/>
      <c r="AI489" s="32"/>
      <c r="AJ489" s="32"/>
      <c r="AK489" s="32"/>
      <c r="AL489" s="44"/>
      <c r="AM489" s="44"/>
    </row>
    <row r="490" spans="1:39" x14ac:dyDescent="0.3">
      <c r="A490" s="22"/>
      <c r="C490" s="23"/>
      <c r="F490" s="32"/>
      <c r="H490" s="32"/>
      <c r="I490" s="32"/>
      <c r="J490" s="62"/>
      <c r="K490" s="62"/>
      <c r="L490" s="32"/>
      <c r="M490" s="32"/>
      <c r="N490" s="33"/>
      <c r="O490" s="33"/>
      <c r="P490" s="32"/>
      <c r="Q490" s="32"/>
      <c r="R490" s="32"/>
      <c r="T490" s="23"/>
      <c r="V490" s="32"/>
      <c r="W490" s="32"/>
      <c r="X490" s="32"/>
      <c r="Y490" s="62"/>
      <c r="Z490" s="32"/>
      <c r="AA490" s="32"/>
      <c r="AB490" s="33"/>
      <c r="AC490" s="33"/>
      <c r="AD490" s="32"/>
      <c r="AE490" s="32"/>
      <c r="AF490" s="44"/>
      <c r="AG490" s="44"/>
      <c r="AH490" s="32"/>
      <c r="AI490" s="32"/>
      <c r="AJ490" s="32"/>
      <c r="AK490" s="32"/>
      <c r="AL490" s="44"/>
      <c r="AM490" s="44"/>
    </row>
    <row r="491" spans="1:39" x14ac:dyDescent="0.3">
      <c r="A491" s="22"/>
      <c r="C491" s="23"/>
      <c r="F491" s="32"/>
      <c r="H491" s="32"/>
      <c r="I491" s="32"/>
      <c r="J491" s="62"/>
      <c r="K491" s="62"/>
      <c r="L491" s="32"/>
      <c r="M491" s="32"/>
      <c r="N491" s="33"/>
      <c r="O491" s="33"/>
      <c r="P491" s="32"/>
      <c r="Q491" s="32"/>
      <c r="R491" s="32"/>
      <c r="T491" s="23"/>
      <c r="V491" s="32"/>
      <c r="W491" s="32"/>
      <c r="X491" s="32"/>
      <c r="Y491" s="62"/>
      <c r="Z491" s="32"/>
      <c r="AA491" s="32"/>
      <c r="AB491" s="33"/>
      <c r="AC491" s="33"/>
      <c r="AD491" s="32"/>
      <c r="AE491" s="32"/>
      <c r="AF491" s="44"/>
      <c r="AG491" s="44"/>
      <c r="AH491" s="32"/>
      <c r="AI491" s="32"/>
      <c r="AJ491" s="32"/>
      <c r="AK491" s="32"/>
      <c r="AL491" s="44"/>
      <c r="AM491" s="44"/>
    </row>
    <row r="492" spans="1:39" x14ac:dyDescent="0.3">
      <c r="A492" s="22"/>
      <c r="C492" s="23"/>
      <c r="F492" s="32"/>
      <c r="H492" s="32"/>
      <c r="I492" s="32"/>
      <c r="J492" s="62"/>
      <c r="K492" s="62"/>
      <c r="T492" s="23"/>
      <c r="V492" s="32"/>
      <c r="Y492" s="62"/>
    </row>
    <row r="493" spans="1:39" x14ac:dyDescent="0.3">
      <c r="A493" s="22"/>
      <c r="C493" s="23"/>
      <c r="F493" s="195"/>
      <c r="H493" s="195"/>
      <c r="I493" s="195"/>
      <c r="J493" s="203"/>
      <c r="K493" s="203"/>
      <c r="L493" s="32"/>
      <c r="M493" s="32"/>
      <c r="N493" s="33"/>
      <c r="O493" s="33"/>
      <c r="P493" s="32"/>
      <c r="Q493" s="32"/>
      <c r="R493" s="32"/>
      <c r="T493" s="23"/>
      <c r="V493" s="32"/>
      <c r="W493" s="32"/>
      <c r="X493" s="32"/>
      <c r="Y493" s="203"/>
      <c r="Z493" s="32"/>
      <c r="AA493" s="32"/>
      <c r="AB493" s="33"/>
      <c r="AC493" s="33"/>
      <c r="AD493" s="32"/>
      <c r="AE493" s="32"/>
      <c r="AF493" s="44"/>
      <c r="AG493" s="44"/>
      <c r="AH493" s="32"/>
      <c r="AI493" s="32"/>
      <c r="AJ493" s="32"/>
      <c r="AK493" s="32"/>
      <c r="AL493" s="44"/>
      <c r="AM493" s="44"/>
    </row>
    <row r="494" spans="1:39" x14ac:dyDescent="0.3">
      <c r="A494" s="22"/>
      <c r="C494" s="23"/>
      <c r="F494" s="32"/>
      <c r="H494" s="32"/>
      <c r="I494" s="32"/>
      <c r="J494" s="62"/>
      <c r="K494" s="62"/>
      <c r="T494" s="23"/>
      <c r="V494" s="32"/>
      <c r="W494" s="32"/>
      <c r="X494" s="32"/>
      <c r="Y494" s="62"/>
      <c r="AB494" s="33"/>
      <c r="AC494" s="33"/>
      <c r="AD494" s="32"/>
      <c r="AE494" s="32"/>
      <c r="AF494" s="44"/>
      <c r="AG494" s="44"/>
      <c r="AH494" s="32"/>
      <c r="AI494" s="32"/>
      <c r="AJ494" s="32"/>
      <c r="AK494" s="32"/>
      <c r="AL494" s="44"/>
      <c r="AM494" s="44"/>
    </row>
    <row r="495" spans="1:39" x14ac:dyDescent="0.3">
      <c r="A495" s="22"/>
      <c r="C495" s="23"/>
      <c r="F495" s="195"/>
      <c r="H495" s="195"/>
      <c r="I495" s="195"/>
      <c r="J495" s="203"/>
      <c r="K495" s="203"/>
      <c r="L495" s="32"/>
      <c r="M495" s="32"/>
      <c r="N495" s="33"/>
      <c r="O495" s="33"/>
      <c r="P495" s="32"/>
      <c r="Q495" s="32"/>
      <c r="R495" s="32"/>
      <c r="T495" s="23"/>
      <c r="V495" s="32"/>
      <c r="W495" s="32"/>
      <c r="X495" s="32"/>
      <c r="Y495" s="203"/>
      <c r="Z495" s="32"/>
      <c r="AA495" s="32"/>
      <c r="AB495" s="33"/>
      <c r="AC495" s="33"/>
      <c r="AD495" s="32"/>
      <c r="AE495" s="32"/>
      <c r="AF495" s="44"/>
      <c r="AG495" s="44"/>
      <c r="AH495" s="32"/>
      <c r="AI495" s="32"/>
      <c r="AJ495" s="32"/>
      <c r="AK495" s="32"/>
      <c r="AL495" s="44"/>
      <c r="AM495" s="44"/>
    </row>
    <row r="496" spans="1:39" x14ac:dyDescent="0.3">
      <c r="A496" s="22"/>
      <c r="C496" s="23"/>
      <c r="F496" s="32"/>
      <c r="H496" s="32"/>
      <c r="I496" s="32"/>
      <c r="J496" s="62"/>
      <c r="K496" s="62"/>
      <c r="L496" s="32"/>
      <c r="M496" s="32"/>
      <c r="N496" s="33"/>
      <c r="O496" s="33"/>
      <c r="P496" s="32"/>
      <c r="Q496" s="32"/>
      <c r="R496" s="32"/>
      <c r="T496" s="23"/>
      <c r="V496" s="32"/>
      <c r="W496" s="32"/>
      <c r="X496" s="32"/>
      <c r="Y496" s="62"/>
      <c r="Z496" s="32"/>
      <c r="AA496" s="32"/>
      <c r="AB496" s="33"/>
      <c r="AC496" s="33"/>
      <c r="AD496" s="32"/>
      <c r="AE496" s="32"/>
      <c r="AF496" s="44"/>
      <c r="AG496" s="44"/>
      <c r="AH496" s="32"/>
      <c r="AI496" s="32"/>
      <c r="AJ496" s="32"/>
      <c r="AK496" s="32"/>
      <c r="AL496" s="44"/>
      <c r="AM496" s="44"/>
    </row>
    <row r="497" spans="1:39" x14ac:dyDescent="0.3">
      <c r="F497" s="32"/>
      <c r="H497" s="32"/>
      <c r="I497" s="32"/>
      <c r="J497" s="62"/>
      <c r="K497" s="62"/>
      <c r="Y497" s="62"/>
    </row>
    <row r="498" spans="1:39" x14ac:dyDescent="0.3">
      <c r="A498" s="22"/>
      <c r="C498" s="23"/>
      <c r="F498" s="32"/>
      <c r="H498" s="195"/>
      <c r="I498" s="195"/>
      <c r="J498" s="203"/>
      <c r="K498" s="203"/>
      <c r="L498" s="32"/>
      <c r="M498" s="32"/>
      <c r="N498" s="33"/>
      <c r="O498" s="33"/>
      <c r="P498" s="32"/>
      <c r="Q498" s="32"/>
      <c r="R498" s="32"/>
      <c r="T498" s="23"/>
      <c r="V498" s="32"/>
      <c r="W498" s="32"/>
      <c r="X498" s="32"/>
      <c r="Y498" s="203"/>
      <c r="Z498" s="32"/>
      <c r="AA498" s="32"/>
      <c r="AB498" s="33"/>
      <c r="AC498" s="33"/>
      <c r="AD498" s="32"/>
      <c r="AE498" s="32"/>
      <c r="AF498" s="44"/>
      <c r="AG498" s="44"/>
      <c r="AH498" s="32"/>
      <c r="AI498" s="32"/>
      <c r="AJ498" s="32"/>
      <c r="AK498" s="32"/>
      <c r="AL498" s="44"/>
      <c r="AM498" s="44"/>
    </row>
    <row r="499" spans="1:39" x14ac:dyDescent="0.3">
      <c r="F499" s="34"/>
      <c r="H499" s="34"/>
      <c r="I499" s="34"/>
      <c r="J499" s="203"/>
      <c r="K499" s="203"/>
      <c r="L499" s="34"/>
      <c r="M499" s="34"/>
      <c r="N499" s="34"/>
      <c r="O499" s="34"/>
      <c r="P499" s="34"/>
      <c r="Q499" s="34"/>
      <c r="R499" s="34"/>
      <c r="V499" s="34"/>
      <c r="X499" s="34"/>
      <c r="Y499" s="203"/>
      <c r="Z499" s="34"/>
      <c r="AA499" s="34"/>
      <c r="AB499" s="34"/>
      <c r="AC499" s="34"/>
      <c r="AD499" s="34"/>
      <c r="AE499" s="34"/>
      <c r="AH499" s="34"/>
      <c r="AI499" s="34"/>
      <c r="AJ499" s="34"/>
      <c r="AK499" s="34"/>
    </row>
    <row r="500" spans="1:39" x14ac:dyDescent="0.3">
      <c r="A500" s="22"/>
      <c r="C500" s="23"/>
      <c r="F500" s="32"/>
      <c r="H500" s="32"/>
      <c r="I500" s="32"/>
      <c r="J500" s="62"/>
      <c r="K500" s="62"/>
      <c r="L500" s="32"/>
      <c r="M500" s="32"/>
      <c r="N500" s="22"/>
      <c r="O500" s="22"/>
      <c r="P500" s="32"/>
      <c r="Q500" s="32"/>
      <c r="R500" s="32"/>
      <c r="T500" s="23"/>
      <c r="V500" s="32"/>
      <c r="X500" s="32"/>
      <c r="Y500" s="62"/>
      <c r="Z500" s="32"/>
      <c r="AA500" s="32"/>
      <c r="AB500" s="44"/>
      <c r="AC500" s="44"/>
      <c r="AD500" s="32"/>
      <c r="AE500" s="32"/>
      <c r="AF500" s="44"/>
      <c r="AG500" s="44"/>
      <c r="AH500" s="32"/>
      <c r="AI500" s="32"/>
      <c r="AJ500" s="32"/>
      <c r="AK500" s="32"/>
      <c r="AL500" s="44"/>
      <c r="AM500" s="44"/>
    </row>
    <row r="501" spans="1:39" x14ac:dyDescent="0.3">
      <c r="F501" s="34"/>
      <c r="H501" s="34"/>
      <c r="I501" s="34"/>
      <c r="J501" s="203"/>
      <c r="K501" s="203"/>
      <c r="L501" s="34"/>
      <c r="M501" s="34"/>
      <c r="N501" s="34"/>
      <c r="O501" s="34"/>
      <c r="P501" s="34"/>
      <c r="Q501" s="34"/>
      <c r="R501" s="34"/>
      <c r="V501" s="34"/>
      <c r="X501" s="34"/>
      <c r="Y501" s="203"/>
      <c r="Z501" s="34"/>
      <c r="AA501" s="34"/>
      <c r="AB501" s="34"/>
      <c r="AC501" s="34"/>
      <c r="AD501" s="34"/>
      <c r="AE501" s="34"/>
      <c r="AH501" s="34"/>
      <c r="AI501" s="34"/>
      <c r="AJ501" s="34"/>
      <c r="AK501" s="34"/>
    </row>
    <row r="502" spans="1:39" x14ac:dyDescent="0.3">
      <c r="J502" s="62"/>
      <c r="K502" s="62"/>
      <c r="Y502" s="62"/>
    </row>
    <row r="503" spans="1:39" x14ac:dyDescent="0.3">
      <c r="A503" s="22"/>
      <c r="C503" s="23"/>
      <c r="J503" s="62"/>
      <c r="K503" s="62"/>
      <c r="T503" s="23"/>
      <c r="Y503" s="62"/>
    </row>
    <row r="504" spans="1:39" x14ac:dyDescent="0.3">
      <c r="A504" s="22"/>
      <c r="C504" s="23"/>
      <c r="J504" s="62"/>
      <c r="K504" s="62"/>
      <c r="T504" s="23"/>
      <c r="Y504" s="62"/>
    </row>
    <row r="505" spans="1:39" x14ac:dyDescent="0.3">
      <c r="A505" s="22"/>
      <c r="C505" s="23"/>
      <c r="F505" s="195"/>
      <c r="H505" s="195"/>
      <c r="I505" s="195"/>
      <c r="J505" s="203"/>
      <c r="K505" s="203"/>
      <c r="L505" s="32"/>
      <c r="M505" s="32"/>
      <c r="N505" s="33"/>
      <c r="O505" s="33"/>
      <c r="P505" s="32"/>
      <c r="Q505" s="32"/>
      <c r="R505" s="32"/>
      <c r="T505" s="23"/>
      <c r="V505" s="32"/>
      <c r="W505" s="32"/>
      <c r="X505" s="32"/>
      <c r="Y505" s="203"/>
      <c r="Z505" s="32"/>
      <c r="AA505" s="32"/>
      <c r="AB505" s="33"/>
      <c r="AC505" s="33"/>
      <c r="AD505" s="32"/>
      <c r="AE505" s="32"/>
      <c r="AF505" s="44"/>
      <c r="AG505" s="44"/>
      <c r="AH505" s="32"/>
      <c r="AI505" s="32"/>
      <c r="AJ505" s="32"/>
      <c r="AK505" s="32"/>
      <c r="AL505" s="44"/>
      <c r="AM505" s="44"/>
    </row>
    <row r="506" spans="1:39" x14ac:dyDescent="0.3">
      <c r="A506" s="22"/>
      <c r="C506" s="23"/>
      <c r="J506" s="62"/>
      <c r="K506" s="62"/>
      <c r="T506" s="23"/>
      <c r="Y506" s="62"/>
    </row>
    <row r="507" spans="1:39" x14ac:dyDescent="0.3">
      <c r="A507" s="22"/>
      <c r="C507" s="23"/>
      <c r="F507" s="195"/>
      <c r="H507" s="195"/>
      <c r="I507" s="195"/>
      <c r="J507" s="203"/>
      <c r="K507" s="203"/>
      <c r="L507" s="32"/>
      <c r="M507" s="32"/>
      <c r="N507" s="33"/>
      <c r="O507" s="33"/>
      <c r="P507" s="32"/>
      <c r="Q507" s="32"/>
      <c r="R507" s="32"/>
      <c r="T507" s="23"/>
      <c r="V507" s="32"/>
      <c r="W507" s="32"/>
      <c r="X507" s="32"/>
      <c r="Y507" s="203"/>
      <c r="Z507" s="32"/>
      <c r="AA507" s="32"/>
      <c r="AB507" s="33"/>
      <c r="AC507" s="33"/>
      <c r="AD507" s="32"/>
      <c r="AE507" s="32"/>
      <c r="AF507" s="44"/>
      <c r="AG507" s="44"/>
      <c r="AH507" s="32"/>
      <c r="AI507" s="32"/>
      <c r="AJ507" s="32"/>
      <c r="AK507" s="32"/>
      <c r="AL507" s="44"/>
      <c r="AM507" s="44"/>
    </row>
    <row r="508" spans="1:39" x14ac:dyDescent="0.3">
      <c r="F508" s="34"/>
      <c r="H508" s="34"/>
      <c r="I508" s="34"/>
      <c r="J508" s="203"/>
      <c r="K508" s="203"/>
      <c r="L508" s="34"/>
      <c r="M508" s="34"/>
      <c r="N508" s="34"/>
      <c r="O508" s="34"/>
      <c r="P508" s="34"/>
      <c r="Q508" s="34"/>
      <c r="R508" s="34"/>
      <c r="V508" s="34"/>
      <c r="X508" s="34"/>
      <c r="Y508" s="203"/>
      <c r="Z508" s="34"/>
      <c r="AA508" s="34"/>
      <c r="AB508" s="34"/>
      <c r="AC508" s="34"/>
      <c r="AD508" s="34"/>
      <c r="AE508" s="34"/>
      <c r="AH508" s="34"/>
      <c r="AI508" s="34"/>
      <c r="AJ508" s="34"/>
      <c r="AK508" s="34"/>
    </row>
    <row r="509" spans="1:39" x14ac:dyDescent="0.3">
      <c r="A509" s="22"/>
      <c r="C509" s="23"/>
      <c r="F509" s="32"/>
      <c r="H509" s="32"/>
      <c r="I509" s="32"/>
      <c r="J509" s="62"/>
      <c r="K509" s="62"/>
      <c r="L509" s="32"/>
      <c r="M509" s="32"/>
      <c r="N509" s="44"/>
      <c r="O509" s="44"/>
      <c r="P509" s="32"/>
      <c r="Q509" s="32"/>
      <c r="R509" s="32"/>
      <c r="T509" s="23"/>
      <c r="V509" s="32"/>
      <c r="X509" s="32"/>
      <c r="Y509" s="62"/>
      <c r="Z509" s="32"/>
      <c r="AA509" s="32"/>
      <c r="AB509" s="44"/>
      <c r="AC509" s="44"/>
      <c r="AD509" s="32"/>
      <c r="AE509" s="32"/>
      <c r="AF509" s="44"/>
      <c r="AG509" s="44"/>
      <c r="AH509" s="32"/>
      <c r="AI509" s="32"/>
      <c r="AJ509" s="32"/>
      <c r="AK509" s="32"/>
      <c r="AL509" s="44"/>
      <c r="AM509" s="44"/>
    </row>
    <row r="510" spans="1:39" x14ac:dyDescent="0.3">
      <c r="F510" s="34"/>
      <c r="H510" s="34"/>
      <c r="I510" s="34"/>
      <c r="J510" s="203"/>
      <c r="K510" s="203"/>
      <c r="L510" s="34"/>
      <c r="M510" s="34"/>
      <c r="N510" s="34"/>
      <c r="O510" s="34"/>
      <c r="P510" s="34"/>
      <c r="Q510" s="34"/>
      <c r="R510" s="34"/>
      <c r="V510" s="34"/>
      <c r="X510" s="34"/>
      <c r="Y510" s="198"/>
      <c r="Z510" s="34"/>
      <c r="AA510" s="34"/>
      <c r="AB510" s="34"/>
      <c r="AC510" s="34"/>
      <c r="AD510" s="34"/>
      <c r="AE510" s="34"/>
      <c r="AH510" s="34"/>
      <c r="AI510" s="34"/>
      <c r="AJ510" s="34"/>
      <c r="AK510" s="34"/>
    </row>
    <row r="511" spans="1:39" x14ac:dyDescent="0.3">
      <c r="J511" s="62"/>
      <c r="K511" s="62"/>
    </row>
    <row r="512" spans="1:39" x14ac:dyDescent="0.3">
      <c r="A512" s="22"/>
      <c r="C512" s="23"/>
      <c r="F512" s="32"/>
      <c r="H512" s="32"/>
      <c r="I512" s="32"/>
      <c r="J512" s="62"/>
      <c r="K512" s="62"/>
      <c r="L512" s="32"/>
      <c r="M512" s="32"/>
      <c r="N512" s="33"/>
      <c r="O512" s="33"/>
      <c r="P512" s="195"/>
      <c r="Q512" s="195"/>
      <c r="R512" s="32"/>
      <c r="T512" s="23"/>
      <c r="V512" s="32"/>
      <c r="X512" s="32"/>
      <c r="Z512" s="32"/>
      <c r="AA512" s="32"/>
      <c r="AB512" s="44"/>
      <c r="AC512" s="44"/>
      <c r="AD512" s="32"/>
      <c r="AE512" s="32"/>
      <c r="AF512" s="44"/>
      <c r="AG512" s="44"/>
      <c r="AH512" s="195"/>
      <c r="AI512" s="195"/>
      <c r="AJ512" s="32"/>
      <c r="AK512" s="32"/>
      <c r="AL512" s="44"/>
      <c r="AM512" s="44"/>
    </row>
    <row r="513" spans="1:39" x14ac:dyDescent="0.3">
      <c r="H513" s="34"/>
      <c r="I513" s="34"/>
      <c r="J513" s="203"/>
      <c r="K513" s="203"/>
      <c r="L513" s="34"/>
      <c r="M513" s="34"/>
      <c r="N513" s="34"/>
      <c r="O513" s="34"/>
      <c r="P513" s="34"/>
      <c r="Q513" s="34"/>
      <c r="R513" s="34"/>
      <c r="V513" s="34"/>
      <c r="X513" s="34"/>
      <c r="Y513" s="198"/>
      <c r="Z513" s="34"/>
      <c r="AA513" s="34"/>
      <c r="AB513" s="34"/>
      <c r="AC513" s="34"/>
      <c r="AD513" s="34"/>
      <c r="AE513" s="34"/>
      <c r="AH513" s="34"/>
      <c r="AI513" s="34"/>
      <c r="AJ513" s="34"/>
      <c r="AK513" s="34"/>
    </row>
    <row r="514" spans="1:39" x14ac:dyDescent="0.3">
      <c r="F514" s="34"/>
    </row>
    <row r="515" spans="1:39" x14ac:dyDescent="0.3">
      <c r="C515" s="22"/>
      <c r="T515" s="22"/>
    </row>
    <row r="516" spans="1:39" x14ac:dyDescent="0.3">
      <c r="A516" s="23"/>
    </row>
    <row r="517" spans="1:39" x14ac:dyDescent="0.3">
      <c r="J517" s="22"/>
      <c r="K517" s="22"/>
      <c r="Y517" s="22"/>
    </row>
    <row r="518" spans="1:39" x14ac:dyDescent="0.3">
      <c r="H518" s="23"/>
      <c r="I518" s="23"/>
      <c r="X518" s="23"/>
    </row>
    <row r="519" spans="1:39" x14ac:dyDescent="0.3">
      <c r="J519" s="22"/>
      <c r="K519" s="22"/>
      <c r="Y519" s="22"/>
    </row>
    <row r="520" spans="1:39" x14ac:dyDescent="0.3">
      <c r="L520" s="23"/>
      <c r="M520" s="23"/>
      <c r="Z520" s="23"/>
      <c r="AA520" s="23"/>
    </row>
    <row r="521" spans="1:39" x14ac:dyDescent="0.3">
      <c r="A521" s="22"/>
      <c r="R521" s="23"/>
      <c r="AJ521" s="23"/>
      <c r="AK521" s="23"/>
    </row>
    <row r="522" spans="1:39" x14ac:dyDescent="0.3">
      <c r="A522" s="22"/>
      <c r="R522" s="23"/>
      <c r="AJ522" s="23"/>
      <c r="AK522" s="23"/>
    </row>
    <row r="523" spans="1:39" x14ac:dyDescent="0.3">
      <c r="A523" s="23"/>
      <c r="R523" s="23"/>
      <c r="AJ523" s="23"/>
      <c r="AK523" s="23"/>
    </row>
    <row r="524" spans="1:39" x14ac:dyDescent="0.3">
      <c r="L524" s="23"/>
      <c r="M524" s="23"/>
      <c r="R524" s="22"/>
      <c r="Z524" s="23"/>
      <c r="AA524" s="23"/>
      <c r="AJ524" s="22"/>
      <c r="AK524" s="22"/>
    </row>
    <row r="525" spans="1:39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</row>
    <row r="526" spans="1:39" x14ac:dyDescent="0.3">
      <c r="L526" s="30"/>
      <c r="M526" s="30"/>
      <c r="N526" s="30"/>
      <c r="O526" s="30"/>
      <c r="R526" s="30"/>
      <c r="Z526" s="30"/>
      <c r="AA526" s="30"/>
      <c r="AB526" s="30"/>
      <c r="AC526" s="30"/>
      <c r="AD526" s="30"/>
      <c r="AE526" s="30"/>
      <c r="AF526" s="30"/>
      <c r="AG526" s="30"/>
      <c r="AJ526" s="30"/>
      <c r="AK526" s="30"/>
      <c r="AL526" s="30"/>
      <c r="AM526" s="30"/>
    </row>
    <row r="527" spans="1:39" x14ac:dyDescent="0.3">
      <c r="L527" s="30"/>
      <c r="M527" s="30"/>
      <c r="N527" s="30"/>
      <c r="O527" s="30"/>
      <c r="R527" s="30"/>
      <c r="Y527" s="30"/>
      <c r="Z527" s="30"/>
      <c r="AA527" s="30"/>
      <c r="AB527" s="30"/>
      <c r="AC527" s="30"/>
      <c r="AD527" s="30"/>
      <c r="AE527" s="30"/>
      <c r="AF527" s="30"/>
      <c r="AG527" s="30"/>
      <c r="AJ527" s="30"/>
      <c r="AK527" s="30"/>
      <c r="AL527" s="30"/>
      <c r="AM527" s="30"/>
    </row>
    <row r="528" spans="1:39" x14ac:dyDescent="0.3">
      <c r="A528" s="30"/>
      <c r="C528" s="30"/>
      <c r="D528" s="30"/>
      <c r="E528" s="30"/>
      <c r="F528" s="30"/>
      <c r="J528" s="30"/>
      <c r="K528" s="30"/>
      <c r="L528" s="30"/>
      <c r="M528" s="30"/>
      <c r="N528" s="30"/>
      <c r="O528" s="30"/>
      <c r="P528" s="30"/>
      <c r="Q528" s="30"/>
      <c r="R528" s="30"/>
      <c r="T528" s="30"/>
      <c r="U528" s="30"/>
      <c r="V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</row>
    <row r="529" spans="1:39" x14ac:dyDescent="0.3">
      <c r="A529" s="30"/>
      <c r="C529" s="30"/>
      <c r="D529" s="30"/>
      <c r="E529" s="30"/>
      <c r="F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T529" s="30"/>
      <c r="U529" s="30"/>
      <c r="V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</row>
    <row r="530" spans="1:39" x14ac:dyDescent="0.3">
      <c r="C530" s="30"/>
      <c r="D530" s="30"/>
      <c r="E530" s="30"/>
      <c r="F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T530" s="30"/>
      <c r="U530" s="30"/>
      <c r="V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</row>
    <row r="531" spans="1:39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</row>
    <row r="532" spans="1:39" x14ac:dyDescent="0.3"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</row>
    <row r="533" spans="1:39" x14ac:dyDescent="0.3">
      <c r="A533" s="22"/>
      <c r="C533" s="23"/>
      <c r="D533" s="23"/>
      <c r="E533" s="23"/>
      <c r="T533" s="23"/>
      <c r="U533" s="23"/>
    </row>
    <row r="535" spans="1:39" x14ac:dyDescent="0.3">
      <c r="A535" s="22"/>
      <c r="C535" s="23"/>
      <c r="D535" s="23"/>
      <c r="E535" s="23"/>
      <c r="T535" s="23"/>
      <c r="U535" s="23"/>
    </row>
    <row r="536" spans="1:39" x14ac:dyDescent="0.3">
      <c r="A536" s="22"/>
      <c r="C536" s="23"/>
      <c r="T536" s="23"/>
    </row>
    <row r="537" spans="1:39" x14ac:dyDescent="0.3">
      <c r="A537" s="22"/>
      <c r="C537" s="23"/>
      <c r="T537" s="23"/>
    </row>
    <row r="538" spans="1:39" x14ac:dyDescent="0.3">
      <c r="A538" s="22"/>
      <c r="C538" s="23"/>
      <c r="H538" s="195"/>
      <c r="I538" s="195"/>
      <c r="J538" s="203"/>
      <c r="K538" s="203"/>
      <c r="L538" s="32"/>
      <c r="M538" s="32"/>
      <c r="N538" s="33"/>
      <c r="O538" s="33"/>
      <c r="P538" s="32"/>
      <c r="Q538" s="32"/>
      <c r="R538" s="32"/>
      <c r="T538" s="23"/>
      <c r="V538" s="32"/>
      <c r="W538" s="32"/>
      <c r="X538" s="32"/>
      <c r="Y538" s="203"/>
      <c r="Z538" s="32"/>
      <c r="AA538" s="32"/>
      <c r="AB538" s="33"/>
      <c r="AC538" s="33"/>
      <c r="AD538" s="32"/>
      <c r="AE538" s="32"/>
      <c r="AF538" s="44"/>
      <c r="AG538" s="44"/>
      <c r="AH538" s="32"/>
      <c r="AI538" s="32"/>
      <c r="AJ538" s="32"/>
      <c r="AK538" s="32"/>
      <c r="AL538" s="33"/>
      <c r="AM538" s="33"/>
    </row>
    <row r="539" spans="1:39" x14ac:dyDescent="0.3">
      <c r="A539" s="22"/>
      <c r="C539" s="23"/>
      <c r="F539" s="195"/>
      <c r="J539" s="62"/>
      <c r="K539" s="62"/>
      <c r="T539" s="23"/>
      <c r="V539" s="32"/>
      <c r="W539" s="32"/>
      <c r="X539" s="32"/>
      <c r="Y539" s="203"/>
    </row>
    <row r="540" spans="1:39" x14ac:dyDescent="0.3">
      <c r="A540" s="22"/>
      <c r="C540" s="23"/>
      <c r="H540" s="195"/>
      <c r="I540" s="195"/>
      <c r="J540" s="203"/>
      <c r="K540" s="203"/>
      <c r="L540" s="32"/>
      <c r="M540" s="32"/>
      <c r="N540" s="33"/>
      <c r="O540" s="33"/>
      <c r="P540" s="32"/>
      <c r="Q540" s="32"/>
      <c r="R540" s="32"/>
      <c r="T540" s="23"/>
      <c r="V540" s="32"/>
      <c r="W540" s="32"/>
      <c r="X540" s="32"/>
      <c r="Y540" s="203"/>
      <c r="Z540" s="32"/>
      <c r="AA540" s="32"/>
      <c r="AB540" s="33"/>
      <c r="AC540" s="33"/>
      <c r="AD540" s="32"/>
      <c r="AE540" s="32"/>
      <c r="AF540" s="44"/>
      <c r="AG540" s="44"/>
      <c r="AH540" s="32"/>
      <c r="AI540" s="32"/>
      <c r="AJ540" s="32"/>
      <c r="AK540" s="32"/>
      <c r="AL540" s="33"/>
      <c r="AM540" s="33"/>
    </row>
    <row r="541" spans="1:39" x14ac:dyDescent="0.3">
      <c r="A541" s="22"/>
      <c r="C541" s="23"/>
      <c r="F541" s="195"/>
      <c r="J541" s="62"/>
      <c r="K541" s="62"/>
      <c r="T541" s="23"/>
      <c r="V541" s="32"/>
      <c r="W541" s="32"/>
      <c r="X541" s="32"/>
      <c r="Y541" s="203"/>
    </row>
    <row r="542" spans="1:39" x14ac:dyDescent="0.3">
      <c r="A542" s="22"/>
      <c r="C542" s="23"/>
      <c r="H542" s="195"/>
      <c r="I542" s="195"/>
      <c r="J542" s="203"/>
      <c r="K542" s="203"/>
      <c r="L542" s="32"/>
      <c r="M542" s="32"/>
      <c r="N542" s="33"/>
      <c r="O542" s="33"/>
      <c r="P542" s="32"/>
      <c r="Q542" s="32"/>
      <c r="R542" s="32"/>
      <c r="T542" s="23"/>
      <c r="V542" s="32"/>
      <c r="W542" s="32"/>
      <c r="X542" s="32"/>
      <c r="Y542" s="203"/>
      <c r="Z542" s="32"/>
      <c r="AA542" s="32"/>
      <c r="AB542" s="33"/>
      <c r="AC542" s="33"/>
      <c r="AD542" s="32"/>
      <c r="AE542" s="32"/>
      <c r="AF542" s="44"/>
      <c r="AG542" s="44"/>
      <c r="AH542" s="32"/>
      <c r="AI542" s="32"/>
      <c r="AJ542" s="32"/>
      <c r="AK542" s="32"/>
      <c r="AL542" s="33"/>
      <c r="AM542" s="33"/>
    </row>
    <row r="543" spans="1:39" x14ac:dyDescent="0.3">
      <c r="A543" s="22"/>
      <c r="C543" s="23"/>
      <c r="F543" s="195"/>
      <c r="J543" s="62"/>
      <c r="K543" s="62"/>
      <c r="T543" s="23"/>
      <c r="V543" s="32"/>
      <c r="W543" s="32"/>
      <c r="X543" s="32"/>
      <c r="Y543" s="203"/>
    </row>
    <row r="544" spans="1:39" x14ac:dyDescent="0.3">
      <c r="A544" s="22"/>
      <c r="C544" s="23"/>
      <c r="H544" s="195"/>
      <c r="I544" s="195"/>
      <c r="J544" s="203"/>
      <c r="K544" s="203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203"/>
      <c r="Z544" s="32"/>
      <c r="AA544" s="32"/>
      <c r="AB544" s="33"/>
      <c r="AC544" s="33"/>
      <c r="AD544" s="32"/>
      <c r="AE544" s="32"/>
      <c r="AF544" s="44"/>
      <c r="AG544" s="44"/>
      <c r="AH544" s="32"/>
      <c r="AI544" s="32"/>
      <c r="AJ544" s="32"/>
      <c r="AK544" s="32"/>
      <c r="AL544" s="33"/>
      <c r="AM544" s="33"/>
    </row>
    <row r="545" spans="1:39" x14ac:dyDescent="0.3">
      <c r="A545" s="22"/>
      <c r="C545" s="23"/>
      <c r="F545" s="195"/>
      <c r="J545" s="62"/>
      <c r="K545" s="62"/>
      <c r="T545" s="23"/>
      <c r="V545" s="32"/>
      <c r="W545" s="32"/>
      <c r="X545" s="32"/>
      <c r="Y545" s="203"/>
    </row>
    <row r="546" spans="1:39" x14ac:dyDescent="0.3">
      <c r="A546" s="22"/>
      <c r="C546" s="23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203"/>
      <c r="Z546" s="32"/>
      <c r="AA546" s="32"/>
      <c r="AB546" s="33"/>
      <c r="AC546" s="33"/>
      <c r="AD546" s="32"/>
      <c r="AE546" s="32"/>
      <c r="AF546" s="44"/>
      <c r="AG546" s="44"/>
      <c r="AH546" s="32"/>
      <c r="AI546" s="32"/>
      <c r="AJ546" s="32"/>
      <c r="AK546" s="32"/>
      <c r="AL546" s="33"/>
      <c r="AM546" s="33"/>
    </row>
    <row r="547" spans="1:39" x14ac:dyDescent="0.3">
      <c r="A547" s="22"/>
      <c r="C547" s="23"/>
      <c r="F547" s="195"/>
      <c r="J547" s="62"/>
      <c r="K547" s="62"/>
      <c r="T547" s="23"/>
      <c r="V547" s="32"/>
      <c r="W547" s="32"/>
      <c r="X547" s="32"/>
      <c r="Y547" s="203"/>
    </row>
    <row r="548" spans="1:39" x14ac:dyDescent="0.3">
      <c r="A548" s="22"/>
      <c r="C548" s="23"/>
      <c r="H548" s="195"/>
      <c r="I548" s="195"/>
      <c r="J548" s="203"/>
      <c r="K548" s="203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203"/>
      <c r="Z548" s="32"/>
      <c r="AA548" s="32"/>
      <c r="AB548" s="33"/>
      <c r="AC548" s="33"/>
      <c r="AD548" s="32"/>
      <c r="AE548" s="32"/>
      <c r="AF548" s="44"/>
      <c r="AG548" s="44"/>
      <c r="AH548" s="32"/>
      <c r="AI548" s="32"/>
      <c r="AJ548" s="32"/>
      <c r="AK548" s="32"/>
      <c r="AL548" s="33"/>
      <c r="AM548" s="33"/>
    </row>
    <row r="549" spans="1:39" x14ac:dyDescent="0.3">
      <c r="F549" s="195"/>
      <c r="H549" s="34"/>
      <c r="I549" s="34"/>
      <c r="J549" s="203"/>
      <c r="K549" s="203"/>
      <c r="L549" s="34"/>
      <c r="M549" s="34"/>
      <c r="N549" s="34"/>
      <c r="O549" s="34"/>
      <c r="P549" s="34"/>
      <c r="Q549" s="34"/>
      <c r="R549" s="34"/>
      <c r="V549" s="34"/>
      <c r="X549" s="34"/>
      <c r="Y549" s="203"/>
      <c r="Z549" s="34"/>
      <c r="AA549" s="34"/>
      <c r="AB549" s="34"/>
      <c r="AC549" s="34"/>
      <c r="AD549" s="34"/>
      <c r="AE549" s="34"/>
      <c r="AH549" s="34"/>
      <c r="AI549" s="34"/>
      <c r="AJ549" s="34"/>
      <c r="AK549" s="34"/>
      <c r="AL549" s="33"/>
      <c r="AM549" s="33"/>
    </row>
    <row r="550" spans="1:39" x14ac:dyDescent="0.3">
      <c r="A550" s="22"/>
      <c r="C550" s="23"/>
      <c r="F550" s="34"/>
      <c r="H550" s="32"/>
      <c r="I550" s="32"/>
      <c r="J550" s="62"/>
      <c r="K550" s="62"/>
      <c r="L550" s="32"/>
      <c r="M550" s="32"/>
      <c r="N550" s="33"/>
      <c r="O550" s="33"/>
      <c r="P550" s="195"/>
      <c r="Q550" s="195"/>
      <c r="R550" s="32"/>
      <c r="T550" s="23"/>
      <c r="V550" s="32"/>
      <c r="W550" s="32"/>
      <c r="X550" s="32"/>
      <c r="Y550" s="203"/>
      <c r="Z550" s="32"/>
      <c r="AA550" s="32"/>
      <c r="AB550" s="33"/>
      <c r="AC550" s="33"/>
      <c r="AD550" s="32"/>
      <c r="AE550" s="32"/>
      <c r="AF550" s="44"/>
      <c r="AG550" s="44"/>
      <c r="AH550" s="195"/>
      <c r="AI550" s="195"/>
      <c r="AJ550" s="32"/>
      <c r="AK550" s="32"/>
      <c r="AL550" s="33"/>
      <c r="AM550" s="33"/>
    </row>
    <row r="551" spans="1:39" x14ac:dyDescent="0.3">
      <c r="F551" s="32"/>
      <c r="H551" s="34"/>
      <c r="I551" s="34"/>
      <c r="J551" s="203"/>
      <c r="K551" s="203"/>
      <c r="L551" s="34"/>
      <c r="M551" s="34"/>
      <c r="N551" s="34"/>
      <c r="O551" s="34"/>
      <c r="P551" s="34"/>
      <c r="Q551" s="34"/>
      <c r="R551" s="34"/>
      <c r="V551" s="34"/>
      <c r="X551" s="34"/>
      <c r="Y551" s="203"/>
      <c r="Z551" s="34"/>
      <c r="AA551" s="34"/>
      <c r="AB551" s="34"/>
      <c r="AC551" s="34"/>
      <c r="AD551" s="34"/>
      <c r="AE551" s="34"/>
      <c r="AH551" s="34"/>
      <c r="AI551" s="34"/>
      <c r="AJ551" s="34"/>
      <c r="AK551" s="34"/>
    </row>
    <row r="552" spans="1:39" x14ac:dyDescent="0.3">
      <c r="A552" s="22"/>
      <c r="C552" s="23"/>
      <c r="D552" s="23"/>
      <c r="E552" s="23"/>
      <c r="F552" s="34"/>
      <c r="J552" s="62"/>
      <c r="K552" s="62"/>
      <c r="T552" s="23"/>
      <c r="U552" s="23"/>
      <c r="V552" s="32"/>
      <c r="W552" s="32"/>
      <c r="X552" s="32"/>
      <c r="Y552" s="203"/>
    </row>
    <row r="553" spans="1:39" x14ac:dyDescent="0.3">
      <c r="A553" s="22"/>
      <c r="C553" s="23"/>
      <c r="J553" s="62"/>
      <c r="K553" s="62"/>
      <c r="T553" s="23"/>
      <c r="V553" s="32"/>
      <c r="W553" s="32"/>
      <c r="X553" s="32"/>
      <c r="Y553" s="203"/>
    </row>
    <row r="554" spans="1:39" x14ac:dyDescent="0.3">
      <c r="A554" s="22"/>
      <c r="C554" s="23"/>
      <c r="J554" s="62"/>
      <c r="K554" s="62"/>
      <c r="T554" s="23"/>
      <c r="V554" s="32"/>
      <c r="W554" s="32"/>
      <c r="X554" s="32"/>
      <c r="Y554" s="203"/>
    </row>
    <row r="555" spans="1:39" x14ac:dyDescent="0.3">
      <c r="A555" s="22"/>
      <c r="C555" s="23"/>
      <c r="H555" s="195"/>
      <c r="I555" s="195"/>
      <c r="J555" s="203"/>
      <c r="K555" s="203"/>
      <c r="L555" s="32"/>
      <c r="M555" s="32"/>
      <c r="N555" s="33"/>
      <c r="O555" s="33"/>
      <c r="P555" s="32"/>
      <c r="Q555" s="32"/>
      <c r="R555" s="32"/>
      <c r="T555" s="23"/>
      <c r="V555" s="32"/>
      <c r="W555" s="32"/>
      <c r="X555" s="32"/>
      <c r="Y555" s="203"/>
      <c r="Z555" s="32"/>
      <c r="AA555" s="32"/>
      <c r="AB555" s="33"/>
      <c r="AC555" s="33"/>
      <c r="AD555" s="32"/>
      <c r="AE555" s="32"/>
      <c r="AF555" s="44"/>
      <c r="AG555" s="44"/>
      <c r="AH555" s="32"/>
      <c r="AI555" s="32"/>
      <c r="AJ555" s="32"/>
      <c r="AK555" s="32"/>
      <c r="AL555" s="33"/>
      <c r="AM555" s="33"/>
    </row>
    <row r="556" spans="1:39" x14ac:dyDescent="0.3">
      <c r="A556" s="22"/>
      <c r="C556" s="23"/>
      <c r="F556" s="195"/>
      <c r="J556" s="62"/>
      <c r="K556" s="62"/>
      <c r="T556" s="23"/>
      <c r="V556" s="32"/>
      <c r="W556" s="32"/>
      <c r="X556" s="32"/>
      <c r="Y556" s="203"/>
    </row>
    <row r="557" spans="1:39" x14ac:dyDescent="0.3">
      <c r="A557" s="22"/>
      <c r="C557" s="23"/>
      <c r="H557" s="195"/>
      <c r="I557" s="195"/>
      <c r="J557" s="203"/>
      <c r="K557" s="203"/>
      <c r="L557" s="32"/>
      <c r="M557" s="32"/>
      <c r="N557" s="33"/>
      <c r="O557" s="33"/>
      <c r="P557" s="32"/>
      <c r="Q557" s="32"/>
      <c r="R557" s="32"/>
      <c r="T557" s="23"/>
      <c r="V557" s="32"/>
      <c r="W557" s="32"/>
      <c r="X557" s="32"/>
      <c r="Y557" s="203"/>
      <c r="Z557" s="32"/>
      <c r="AA557" s="32"/>
      <c r="AB557" s="33"/>
      <c r="AC557" s="33"/>
      <c r="AD557" s="32"/>
      <c r="AE557" s="32"/>
      <c r="AF557" s="44"/>
      <c r="AG557" s="44"/>
      <c r="AH557" s="32"/>
      <c r="AI557" s="32"/>
      <c r="AJ557" s="32"/>
      <c r="AK557" s="32"/>
      <c r="AL557" s="33"/>
      <c r="AM557" s="33"/>
    </row>
    <row r="558" spans="1:39" x14ac:dyDescent="0.3">
      <c r="F558" s="195"/>
      <c r="H558" s="34"/>
      <c r="I558" s="34"/>
      <c r="J558" s="203"/>
      <c r="K558" s="203"/>
      <c r="L558" s="34"/>
      <c r="M558" s="34"/>
      <c r="N558" s="34"/>
      <c r="O558" s="34"/>
      <c r="P558" s="34"/>
      <c r="Q558" s="34"/>
      <c r="R558" s="34"/>
      <c r="V558" s="34"/>
      <c r="X558" s="34"/>
      <c r="Y558" s="198"/>
      <c r="Z558" s="34"/>
      <c r="AA558" s="34"/>
      <c r="AB558" s="34"/>
      <c r="AC558" s="34"/>
      <c r="AD558" s="34"/>
      <c r="AE558" s="34"/>
      <c r="AH558" s="34"/>
      <c r="AI558" s="34"/>
      <c r="AJ558" s="34"/>
      <c r="AK558" s="34"/>
    </row>
    <row r="559" spans="1:39" x14ac:dyDescent="0.3">
      <c r="A559" s="22"/>
      <c r="C559" s="23"/>
      <c r="F559" s="34"/>
      <c r="H559" s="32"/>
      <c r="I559" s="32"/>
      <c r="L559" s="32"/>
      <c r="M559" s="32"/>
      <c r="N559" s="33"/>
      <c r="O559" s="33"/>
      <c r="P559" s="195"/>
      <c r="Q559" s="195"/>
      <c r="R559" s="32"/>
      <c r="T559" s="23"/>
      <c r="V559" s="32"/>
      <c r="W559" s="32"/>
      <c r="X559" s="32"/>
      <c r="Y559" s="206"/>
      <c r="Z559" s="32"/>
      <c r="AA559" s="32"/>
      <c r="AB559" s="33"/>
      <c r="AC559" s="33"/>
      <c r="AD559" s="32"/>
      <c r="AE559" s="32"/>
      <c r="AF559" s="44"/>
      <c r="AG559" s="44"/>
      <c r="AH559" s="195"/>
      <c r="AI559" s="195"/>
      <c r="AJ559" s="32"/>
      <c r="AK559" s="32"/>
      <c r="AL559" s="33"/>
      <c r="AM559" s="33"/>
    </row>
    <row r="560" spans="1:39" x14ac:dyDescent="0.3">
      <c r="F560" s="32"/>
      <c r="H560" s="34"/>
      <c r="I560" s="34"/>
      <c r="J560" s="198"/>
      <c r="K560" s="198"/>
      <c r="L560" s="34"/>
      <c r="M560" s="34"/>
      <c r="N560" s="34"/>
      <c r="O560" s="34"/>
      <c r="P560" s="34"/>
      <c r="Q560" s="34"/>
      <c r="R560" s="34"/>
      <c r="V560" s="34"/>
      <c r="X560" s="34"/>
      <c r="Y560" s="198"/>
      <c r="Z560" s="34"/>
      <c r="AA560" s="34"/>
      <c r="AB560" s="34"/>
      <c r="AC560" s="34"/>
      <c r="AD560" s="34"/>
      <c r="AE560" s="34"/>
      <c r="AH560" s="34"/>
      <c r="AI560" s="34"/>
      <c r="AJ560" s="34"/>
      <c r="AK560" s="34"/>
    </row>
    <row r="561" spans="1:39" x14ac:dyDescent="0.3">
      <c r="A561" s="22"/>
      <c r="C561" s="23"/>
      <c r="D561" s="23"/>
      <c r="E561" s="23"/>
      <c r="F561" s="34"/>
      <c r="T561" s="23"/>
      <c r="U561" s="23"/>
      <c r="V561" s="32"/>
      <c r="W561" s="32"/>
      <c r="X561" s="32"/>
      <c r="Y561" s="206"/>
    </row>
    <row r="562" spans="1:39" x14ac:dyDescent="0.3">
      <c r="A562" s="22"/>
      <c r="C562" s="23"/>
      <c r="T562" s="23"/>
      <c r="V562" s="32"/>
      <c r="W562" s="32"/>
      <c r="X562" s="32"/>
      <c r="Y562" s="206"/>
    </row>
    <row r="563" spans="1:39" x14ac:dyDescent="0.3">
      <c r="A563" s="22"/>
      <c r="C563" s="23"/>
      <c r="H563" s="195"/>
      <c r="I563" s="195"/>
      <c r="J563" s="206"/>
      <c r="K563" s="206"/>
      <c r="L563" s="32"/>
      <c r="M563" s="32"/>
      <c r="N563" s="33"/>
      <c r="O563" s="33"/>
      <c r="P563" s="32"/>
      <c r="Q563" s="32"/>
      <c r="R563" s="32"/>
      <c r="T563" s="23"/>
      <c r="V563" s="32"/>
      <c r="W563" s="32"/>
      <c r="X563" s="32"/>
      <c r="Y563" s="206"/>
      <c r="Z563" s="32"/>
      <c r="AA563" s="32"/>
      <c r="AB563" s="33"/>
      <c r="AC563" s="33"/>
      <c r="AD563" s="32"/>
      <c r="AE563" s="32"/>
      <c r="AF563" s="44"/>
      <c r="AG563" s="44"/>
      <c r="AH563" s="32"/>
      <c r="AI563" s="32"/>
      <c r="AJ563" s="32"/>
      <c r="AK563" s="32"/>
      <c r="AL563" s="33"/>
      <c r="AM563" s="33"/>
    </row>
    <row r="564" spans="1:39" x14ac:dyDescent="0.3">
      <c r="A564" s="22"/>
      <c r="C564" s="23"/>
      <c r="F564" s="195"/>
      <c r="T564" s="23"/>
      <c r="V564" s="32"/>
      <c r="W564" s="32"/>
      <c r="X564" s="32"/>
      <c r="Y564" s="206"/>
    </row>
    <row r="565" spans="1:39" x14ac:dyDescent="0.3">
      <c r="A565" s="22"/>
      <c r="C565" s="23"/>
      <c r="H565" s="195"/>
      <c r="I565" s="195"/>
      <c r="J565" s="206"/>
      <c r="K565" s="206"/>
      <c r="L565" s="32"/>
      <c r="M565" s="32"/>
      <c r="N565" s="33"/>
      <c r="O565" s="33"/>
      <c r="P565" s="32"/>
      <c r="Q565" s="32"/>
      <c r="R565" s="32"/>
      <c r="T565" s="23"/>
      <c r="V565" s="32"/>
      <c r="W565" s="32"/>
      <c r="X565" s="32"/>
      <c r="Y565" s="206"/>
      <c r="Z565" s="32"/>
      <c r="AA565" s="32"/>
      <c r="AB565" s="33"/>
      <c r="AC565" s="33"/>
      <c r="AD565" s="32"/>
      <c r="AE565" s="32"/>
      <c r="AF565" s="44"/>
      <c r="AG565" s="44"/>
      <c r="AH565" s="32"/>
      <c r="AI565" s="32"/>
      <c r="AJ565" s="32"/>
      <c r="AK565" s="32"/>
      <c r="AL565" s="33"/>
      <c r="AM565" s="33"/>
    </row>
    <row r="566" spans="1:39" x14ac:dyDescent="0.3">
      <c r="A566" s="22"/>
      <c r="C566" s="23"/>
      <c r="F566" s="195"/>
      <c r="T566" s="23"/>
      <c r="V566" s="32"/>
      <c r="W566" s="32"/>
      <c r="X566" s="32"/>
      <c r="Y566" s="206"/>
    </row>
    <row r="567" spans="1:39" x14ac:dyDescent="0.3">
      <c r="A567" s="22"/>
      <c r="C567" s="23"/>
      <c r="H567" s="195"/>
      <c r="I567" s="195"/>
      <c r="J567" s="206"/>
      <c r="K567" s="206"/>
      <c r="L567" s="32"/>
      <c r="M567" s="32"/>
      <c r="N567" s="33"/>
      <c r="O567" s="33"/>
      <c r="P567" s="32"/>
      <c r="Q567" s="32"/>
      <c r="R567" s="32"/>
      <c r="T567" s="23"/>
      <c r="V567" s="32"/>
      <c r="W567" s="32"/>
      <c r="X567" s="32"/>
      <c r="Y567" s="206"/>
      <c r="Z567" s="32"/>
      <c r="AA567" s="32"/>
      <c r="AB567" s="33"/>
      <c r="AC567" s="33"/>
      <c r="AD567" s="32"/>
      <c r="AE567" s="32"/>
      <c r="AF567" s="44"/>
      <c r="AG567" s="44"/>
      <c r="AH567" s="32"/>
      <c r="AI567" s="32"/>
      <c r="AJ567" s="32"/>
      <c r="AK567" s="32"/>
      <c r="AL567" s="33"/>
      <c r="AM567" s="33"/>
    </row>
    <row r="568" spans="1:39" x14ac:dyDescent="0.3">
      <c r="A568" s="22"/>
      <c r="C568" s="23"/>
      <c r="F568" s="195"/>
      <c r="T568" s="23"/>
      <c r="V568" s="32"/>
      <c r="W568" s="32"/>
      <c r="X568" s="32"/>
      <c r="Y568" s="206"/>
    </row>
    <row r="569" spans="1:39" x14ac:dyDescent="0.3">
      <c r="A569" s="22"/>
      <c r="C569" s="23"/>
      <c r="H569" s="195"/>
      <c r="I569" s="195"/>
      <c r="J569" s="206"/>
      <c r="K569" s="206"/>
      <c r="L569" s="32"/>
      <c r="M569" s="32"/>
      <c r="N569" s="33"/>
      <c r="O569" s="33"/>
      <c r="P569" s="32"/>
      <c r="Q569" s="32"/>
      <c r="R569" s="32"/>
      <c r="T569" s="23"/>
      <c r="V569" s="32"/>
      <c r="W569" s="32"/>
      <c r="X569" s="32"/>
      <c r="Y569" s="206"/>
      <c r="Z569" s="32"/>
      <c r="AA569" s="32"/>
      <c r="AB569" s="33"/>
      <c r="AC569" s="33"/>
      <c r="AD569" s="32"/>
      <c r="AE569" s="32"/>
      <c r="AF569" s="44"/>
      <c r="AG569" s="44"/>
      <c r="AH569" s="32"/>
      <c r="AI569" s="32"/>
      <c r="AJ569" s="32"/>
      <c r="AK569" s="32"/>
      <c r="AL569" s="33"/>
      <c r="AM569" s="33"/>
    </row>
    <row r="570" spans="1:39" x14ac:dyDescent="0.3">
      <c r="F570" s="195"/>
      <c r="H570" s="34"/>
      <c r="I570" s="34"/>
      <c r="J570" s="198"/>
      <c r="K570" s="198"/>
      <c r="L570" s="34"/>
      <c r="M570" s="34"/>
      <c r="N570" s="34"/>
      <c r="O570" s="34"/>
      <c r="P570" s="34"/>
      <c r="Q570" s="34"/>
      <c r="R570" s="34"/>
      <c r="V570" s="34"/>
      <c r="X570" s="34"/>
      <c r="Y570" s="198"/>
      <c r="Z570" s="34"/>
      <c r="AA570" s="34"/>
      <c r="AB570" s="34"/>
      <c r="AC570" s="34"/>
      <c r="AD570" s="34"/>
      <c r="AE570" s="34"/>
      <c r="AH570" s="34"/>
      <c r="AI570" s="34"/>
      <c r="AJ570" s="34"/>
      <c r="AK570" s="34"/>
    </row>
    <row r="571" spans="1:39" x14ac:dyDescent="0.3">
      <c r="A571" s="22"/>
      <c r="C571" s="23"/>
      <c r="F571" s="34"/>
      <c r="H571" s="32"/>
      <c r="I571" s="32"/>
      <c r="L571" s="32"/>
      <c r="M571" s="32"/>
      <c r="N571" s="33"/>
      <c r="O571" s="33"/>
      <c r="P571" s="195"/>
      <c r="Q571" s="195"/>
      <c r="R571" s="32"/>
      <c r="T571" s="23"/>
      <c r="V571" s="32"/>
      <c r="W571" s="32"/>
      <c r="X571" s="32"/>
      <c r="Y571" s="206"/>
      <c r="Z571" s="32"/>
      <c r="AA571" s="32"/>
      <c r="AB571" s="33"/>
      <c r="AC571" s="33"/>
      <c r="AD571" s="32"/>
      <c r="AE571" s="32"/>
      <c r="AF571" s="44"/>
      <c r="AG571" s="44"/>
      <c r="AH571" s="195"/>
      <c r="AI571" s="195"/>
      <c r="AJ571" s="32"/>
      <c r="AK571" s="32"/>
      <c r="AL571" s="33"/>
      <c r="AM571" s="33"/>
    </row>
    <row r="572" spans="1:39" x14ac:dyDescent="0.3">
      <c r="F572" s="32"/>
      <c r="H572" s="34"/>
      <c r="I572" s="34"/>
      <c r="J572" s="198"/>
      <c r="K572" s="198"/>
      <c r="L572" s="34"/>
      <c r="M572" s="34"/>
      <c r="N572" s="34"/>
      <c r="O572" s="34"/>
      <c r="P572" s="34"/>
      <c r="Q572" s="34"/>
      <c r="R572" s="34"/>
      <c r="V572" s="34"/>
      <c r="X572" s="34"/>
      <c r="Y572" s="198"/>
      <c r="Z572" s="34"/>
      <c r="AA572" s="34"/>
      <c r="AB572" s="34"/>
      <c r="AC572" s="34"/>
      <c r="AD572" s="34"/>
      <c r="AE572" s="34"/>
      <c r="AH572" s="34"/>
      <c r="AI572" s="34"/>
      <c r="AJ572" s="34"/>
      <c r="AK572" s="34"/>
    </row>
    <row r="573" spans="1:39" x14ac:dyDescent="0.3">
      <c r="A573" s="22"/>
      <c r="C573" s="23"/>
      <c r="F573" s="34"/>
      <c r="H573" s="32"/>
      <c r="I573" s="32"/>
      <c r="L573" s="32"/>
      <c r="M573" s="32"/>
      <c r="N573" s="33"/>
      <c r="O573" s="33"/>
      <c r="P573" s="32"/>
      <c r="Q573" s="32"/>
      <c r="R573" s="32"/>
      <c r="T573" s="23"/>
      <c r="V573" s="32"/>
      <c r="W573" s="32"/>
      <c r="X573" s="32"/>
      <c r="Z573" s="32"/>
      <c r="AA573" s="32"/>
      <c r="AB573" s="33"/>
      <c r="AC573" s="33"/>
      <c r="AD573" s="32"/>
      <c r="AE573" s="32"/>
      <c r="AF573" s="44"/>
      <c r="AG573" s="44"/>
      <c r="AH573" s="32"/>
      <c r="AI573" s="32"/>
      <c r="AJ573" s="32"/>
      <c r="AK573" s="32"/>
      <c r="AL573" s="44"/>
      <c r="AM573" s="44"/>
    </row>
    <row r="574" spans="1:39" x14ac:dyDescent="0.3">
      <c r="F574" s="32"/>
      <c r="H574" s="34"/>
      <c r="I574" s="34"/>
      <c r="J574" s="198"/>
      <c r="K574" s="198"/>
      <c r="L574" s="34"/>
      <c r="M574" s="34"/>
      <c r="N574" s="34"/>
      <c r="O574" s="34"/>
      <c r="P574" s="34"/>
      <c r="Q574" s="34"/>
      <c r="R574" s="34"/>
      <c r="V574" s="34"/>
      <c r="X574" s="34"/>
      <c r="Y574" s="198"/>
      <c r="Z574" s="34"/>
      <c r="AA574" s="34"/>
      <c r="AB574" s="34"/>
      <c r="AC574" s="34"/>
      <c r="AD574" s="34"/>
      <c r="AE574" s="34"/>
      <c r="AH574" s="34"/>
      <c r="AI574" s="34"/>
      <c r="AJ574" s="34"/>
      <c r="AK574" s="34"/>
    </row>
    <row r="576" spans="1:39" x14ac:dyDescent="0.3">
      <c r="C576" s="22"/>
      <c r="F576" s="34"/>
      <c r="T576" s="22"/>
    </row>
    <row r="577" spans="1:39" x14ac:dyDescent="0.3">
      <c r="A577" s="23"/>
    </row>
    <row r="578" spans="1:39" x14ac:dyDescent="0.3">
      <c r="J578" s="22"/>
      <c r="K578" s="22"/>
      <c r="Y578" s="22"/>
    </row>
    <row r="579" spans="1:39" x14ac:dyDescent="0.3">
      <c r="H579" s="23"/>
      <c r="I579" s="23"/>
      <c r="X579" s="23"/>
    </row>
    <row r="580" spans="1:39" x14ac:dyDescent="0.3">
      <c r="J580" s="22"/>
      <c r="K580" s="22"/>
      <c r="Y580" s="22"/>
    </row>
    <row r="581" spans="1:39" x14ac:dyDescent="0.3">
      <c r="L581" s="23"/>
      <c r="M581" s="23"/>
      <c r="Z581" s="23"/>
      <c r="AA581" s="23"/>
    </row>
    <row r="582" spans="1:39" x14ac:dyDescent="0.3">
      <c r="A582" s="22"/>
      <c r="R582" s="23"/>
      <c r="AJ582" s="23"/>
      <c r="AK582" s="23"/>
    </row>
    <row r="583" spans="1:39" x14ac:dyDescent="0.3">
      <c r="A583" s="22"/>
      <c r="R583" s="23"/>
      <c r="AJ583" s="23"/>
      <c r="AK583" s="23"/>
    </row>
    <row r="584" spans="1:39" x14ac:dyDescent="0.3">
      <c r="A584" s="23"/>
      <c r="R584" s="23"/>
      <c r="AJ584" s="23"/>
      <c r="AK584" s="23"/>
    </row>
    <row r="585" spans="1:39" x14ac:dyDescent="0.3">
      <c r="L585" s="23"/>
      <c r="M585" s="23"/>
      <c r="R585" s="22"/>
      <c r="Z585" s="23"/>
      <c r="AA585" s="23"/>
      <c r="AJ585" s="22"/>
      <c r="AK585" s="22"/>
    </row>
    <row r="586" spans="1:39" x14ac:dyDescent="0.3">
      <c r="A586" s="29"/>
      <c r="B586" s="29"/>
      <c r="C586" s="29"/>
      <c r="D586" s="29"/>
      <c r="E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</row>
    <row r="587" spans="1:39" x14ac:dyDescent="0.3">
      <c r="F587" s="29"/>
      <c r="L587" s="30"/>
      <c r="M587" s="30"/>
      <c r="N587" s="30"/>
      <c r="O587" s="30"/>
      <c r="R587" s="30"/>
      <c r="Z587" s="30"/>
      <c r="AA587" s="30"/>
      <c r="AB587" s="30"/>
      <c r="AC587" s="30"/>
      <c r="AD587" s="30"/>
      <c r="AE587" s="30"/>
      <c r="AF587" s="30"/>
      <c r="AG587" s="30"/>
      <c r="AJ587" s="30"/>
      <c r="AK587" s="30"/>
      <c r="AL587" s="30"/>
      <c r="AM587" s="30"/>
    </row>
    <row r="588" spans="1:39" x14ac:dyDescent="0.3">
      <c r="L588" s="30"/>
      <c r="M588" s="30"/>
      <c r="N588" s="30"/>
      <c r="O588" s="30"/>
      <c r="R588" s="30"/>
      <c r="Y588" s="30"/>
      <c r="Z588" s="30"/>
      <c r="AA588" s="30"/>
      <c r="AB588" s="30"/>
      <c r="AC588" s="30"/>
      <c r="AD588" s="30"/>
      <c r="AE588" s="30"/>
      <c r="AF588" s="30"/>
      <c r="AG588" s="30"/>
      <c r="AJ588" s="30"/>
      <c r="AK588" s="30"/>
      <c r="AL588" s="30"/>
      <c r="AM588" s="30"/>
    </row>
    <row r="589" spans="1:39" x14ac:dyDescent="0.3">
      <c r="A589" s="30"/>
      <c r="C589" s="30"/>
      <c r="D589" s="30"/>
      <c r="E589" s="30"/>
      <c r="J589" s="30"/>
      <c r="K589" s="30"/>
      <c r="L589" s="30"/>
      <c r="M589" s="30"/>
      <c r="N589" s="30"/>
      <c r="O589" s="30"/>
      <c r="P589" s="30"/>
      <c r="Q589" s="30"/>
      <c r="R589" s="30"/>
      <c r="T589" s="30"/>
      <c r="U589" s="30"/>
      <c r="V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</row>
    <row r="590" spans="1:39" x14ac:dyDescent="0.3">
      <c r="A590" s="30"/>
      <c r="C590" s="30"/>
      <c r="D590" s="30"/>
      <c r="E590" s="30"/>
      <c r="F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T590" s="30"/>
      <c r="U590" s="30"/>
      <c r="V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</row>
    <row r="591" spans="1:39" x14ac:dyDescent="0.3">
      <c r="C591" s="30"/>
      <c r="D591" s="30"/>
      <c r="E591" s="30"/>
      <c r="F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T591" s="30"/>
      <c r="U591" s="30"/>
      <c r="V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</row>
    <row r="592" spans="1:39" x14ac:dyDescent="0.3">
      <c r="A592" s="29"/>
      <c r="B592" s="29"/>
      <c r="C592" s="29"/>
      <c r="D592" s="29"/>
      <c r="E592" s="29"/>
      <c r="F592" s="30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</row>
    <row r="593" spans="1:39" x14ac:dyDescent="0.3">
      <c r="F593" s="29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</row>
    <row r="594" spans="1:39" x14ac:dyDescent="0.3">
      <c r="A594" s="22"/>
      <c r="C594" s="23"/>
      <c r="D594" s="23"/>
      <c r="E594" s="23"/>
      <c r="H594" s="32"/>
      <c r="I594" s="32"/>
      <c r="J594" s="48"/>
      <c r="K594" s="48"/>
      <c r="L594" s="32"/>
      <c r="M594" s="32"/>
      <c r="N594" s="48"/>
      <c r="O594" s="48"/>
      <c r="P594" s="32"/>
      <c r="Q594" s="32"/>
      <c r="R594" s="32"/>
      <c r="T594" s="23"/>
      <c r="U594" s="23"/>
      <c r="V594" s="32"/>
      <c r="X594" s="32"/>
      <c r="Y594" s="48"/>
      <c r="Z594" s="32"/>
      <c r="AA594" s="32"/>
      <c r="AB594" s="48"/>
      <c r="AC594" s="48"/>
      <c r="AD594" s="32"/>
      <c r="AE594" s="32"/>
      <c r="AF594" s="44"/>
      <c r="AG594" s="44"/>
      <c r="AH594" s="32"/>
      <c r="AI594" s="32"/>
      <c r="AJ594" s="32"/>
      <c r="AK594" s="32"/>
      <c r="AL594" s="33"/>
      <c r="AM594" s="33"/>
    </row>
    <row r="595" spans="1:39" x14ac:dyDescent="0.3">
      <c r="F595" s="32"/>
      <c r="H595" s="34"/>
      <c r="I595" s="34"/>
      <c r="J595" s="198"/>
      <c r="K595" s="198"/>
      <c r="L595" s="34"/>
      <c r="M595" s="34"/>
      <c r="N595" s="34"/>
      <c r="O595" s="34"/>
      <c r="P595" s="34"/>
      <c r="Q595" s="34"/>
      <c r="R595" s="34"/>
      <c r="V595" s="34"/>
      <c r="X595" s="34"/>
      <c r="Y595" s="198"/>
      <c r="Z595" s="34"/>
      <c r="AA595" s="34"/>
      <c r="AB595" s="34"/>
      <c r="AC595" s="34"/>
      <c r="AD595" s="34"/>
      <c r="AE595" s="34"/>
      <c r="AH595" s="34"/>
      <c r="AI595" s="34"/>
      <c r="AJ595" s="34"/>
      <c r="AK595" s="34"/>
      <c r="AL595" s="33"/>
      <c r="AM595" s="33"/>
    </row>
    <row r="596" spans="1:39" x14ac:dyDescent="0.3">
      <c r="A596" s="22"/>
      <c r="C596" s="23"/>
      <c r="F596" s="34"/>
      <c r="H596" s="32"/>
      <c r="I596" s="32"/>
      <c r="J596" s="48"/>
      <c r="K596" s="48"/>
      <c r="L596" s="32"/>
      <c r="M596" s="32"/>
      <c r="N596" s="48"/>
      <c r="O596" s="48"/>
      <c r="P596" s="32"/>
      <c r="Q596" s="32"/>
      <c r="R596" s="32"/>
      <c r="T596" s="23"/>
      <c r="V596" s="32"/>
      <c r="X596" s="32"/>
      <c r="Y596" s="48"/>
      <c r="Z596" s="32"/>
      <c r="AA596" s="32"/>
      <c r="AB596" s="48"/>
      <c r="AC596" s="48"/>
      <c r="AD596" s="32"/>
      <c r="AE596" s="32"/>
      <c r="AF596" s="44"/>
      <c r="AG596" s="44"/>
      <c r="AH596" s="32"/>
      <c r="AI596" s="32"/>
      <c r="AJ596" s="32"/>
      <c r="AK596" s="32"/>
      <c r="AL596" s="33"/>
      <c r="AM596" s="33"/>
    </row>
    <row r="597" spans="1:39" x14ac:dyDescent="0.3">
      <c r="F597" s="32"/>
      <c r="H597" s="32"/>
      <c r="I597" s="32"/>
      <c r="J597" s="48"/>
      <c r="K597" s="48"/>
      <c r="L597" s="32"/>
      <c r="M597" s="32"/>
      <c r="N597" s="48"/>
      <c r="O597" s="48"/>
      <c r="P597" s="32"/>
      <c r="Q597" s="32"/>
      <c r="R597" s="32"/>
      <c r="V597" s="32"/>
      <c r="X597" s="32"/>
      <c r="Y597" s="48"/>
      <c r="Z597" s="32"/>
      <c r="AA597" s="32"/>
      <c r="AB597" s="48"/>
      <c r="AC597" s="48"/>
      <c r="AF597" s="44"/>
      <c r="AG597" s="44"/>
      <c r="AH597" s="32"/>
      <c r="AI597" s="32"/>
      <c r="AJ597" s="32"/>
      <c r="AK597" s="32"/>
      <c r="AL597" s="33"/>
      <c r="AM597" s="33"/>
    </row>
    <row r="598" spans="1:39" x14ac:dyDescent="0.3">
      <c r="A598" s="22"/>
      <c r="C598" s="23"/>
      <c r="D598" s="23"/>
      <c r="E598" s="23"/>
      <c r="F598" s="32"/>
      <c r="H598" s="32"/>
      <c r="I598" s="32"/>
      <c r="J598" s="48"/>
      <c r="K598" s="48"/>
      <c r="L598" s="32"/>
      <c r="M598" s="32"/>
      <c r="N598" s="48"/>
      <c r="O598" s="48"/>
      <c r="P598" s="32"/>
      <c r="Q598" s="32"/>
      <c r="R598" s="32"/>
      <c r="T598" s="23"/>
      <c r="U598" s="23"/>
      <c r="V598" s="32"/>
      <c r="X598" s="32"/>
      <c r="Y598" s="48"/>
      <c r="Z598" s="32"/>
      <c r="AA598" s="32"/>
      <c r="AB598" s="48"/>
      <c r="AC598" s="48"/>
      <c r="AD598" s="32"/>
      <c r="AE598" s="32"/>
      <c r="AF598" s="44"/>
      <c r="AG598" s="44"/>
      <c r="AH598" s="32"/>
      <c r="AI598" s="32"/>
      <c r="AJ598" s="32"/>
      <c r="AK598" s="32"/>
      <c r="AL598" s="33"/>
      <c r="AM598" s="33"/>
    </row>
    <row r="599" spans="1:39" x14ac:dyDescent="0.3">
      <c r="A599" s="22"/>
      <c r="C599" s="23"/>
      <c r="D599" s="23"/>
      <c r="E599" s="23"/>
      <c r="F599" s="32"/>
      <c r="H599" s="32"/>
      <c r="I599" s="32"/>
      <c r="J599" s="48"/>
      <c r="K599" s="48"/>
      <c r="L599" s="32"/>
      <c r="M599" s="32"/>
      <c r="N599" s="48"/>
      <c r="O599" s="48"/>
      <c r="P599" s="32"/>
      <c r="Q599" s="32"/>
      <c r="R599" s="32"/>
      <c r="T599" s="23"/>
      <c r="U599" s="23"/>
      <c r="V599" s="32"/>
      <c r="X599" s="32"/>
      <c r="Y599" s="48"/>
      <c r="Z599" s="32"/>
      <c r="AA599" s="32"/>
      <c r="AB599" s="48"/>
      <c r="AC599" s="48"/>
      <c r="AD599" s="32"/>
      <c r="AE599" s="32"/>
      <c r="AF599" s="44"/>
      <c r="AG599" s="44"/>
      <c r="AH599" s="32"/>
      <c r="AI599" s="32"/>
      <c r="AJ599" s="32"/>
      <c r="AK599" s="32"/>
      <c r="AL599" s="33"/>
      <c r="AM599" s="33"/>
    </row>
    <row r="600" spans="1:39" x14ac:dyDescent="0.3">
      <c r="A600" s="22"/>
      <c r="C600" s="23"/>
      <c r="D600" s="23"/>
      <c r="E600" s="23"/>
      <c r="F600" s="32"/>
      <c r="H600" s="32"/>
      <c r="I600" s="32"/>
      <c r="J600" s="48"/>
      <c r="K600" s="48"/>
      <c r="L600" s="32"/>
      <c r="M600" s="32"/>
      <c r="N600" s="48"/>
      <c r="O600" s="48"/>
      <c r="P600" s="32"/>
      <c r="Q600" s="32"/>
      <c r="R600" s="32"/>
      <c r="T600" s="23"/>
      <c r="U600" s="23"/>
      <c r="V600" s="32"/>
      <c r="X600" s="32"/>
      <c r="Y600" s="48"/>
      <c r="Z600" s="32"/>
      <c r="AA600" s="32"/>
      <c r="AB600" s="48"/>
      <c r="AC600" s="48"/>
      <c r="AD600" s="32"/>
      <c r="AE600" s="32"/>
      <c r="AF600" s="44"/>
      <c r="AG600" s="44"/>
      <c r="AH600" s="32"/>
      <c r="AI600" s="32"/>
      <c r="AJ600" s="32"/>
      <c r="AK600" s="32"/>
      <c r="AL600" s="33"/>
      <c r="AM600" s="33"/>
    </row>
    <row r="601" spans="1:39" x14ac:dyDescent="0.3">
      <c r="A601" s="22"/>
      <c r="C601" s="23"/>
      <c r="D601" s="23"/>
      <c r="E601" s="23"/>
      <c r="F601" s="32"/>
      <c r="H601" s="32"/>
      <c r="I601" s="32"/>
      <c r="J601" s="48"/>
      <c r="K601" s="48"/>
      <c r="L601" s="32"/>
      <c r="M601" s="32"/>
      <c r="N601" s="48"/>
      <c r="O601" s="48"/>
      <c r="P601" s="32"/>
      <c r="Q601" s="32"/>
      <c r="R601" s="32"/>
      <c r="T601" s="23"/>
      <c r="U601" s="23"/>
      <c r="V601" s="32"/>
      <c r="X601" s="32"/>
      <c r="Y601" s="48"/>
      <c r="Z601" s="32"/>
      <c r="AA601" s="32"/>
      <c r="AB601" s="48"/>
      <c r="AC601" s="48"/>
      <c r="AD601" s="32"/>
      <c r="AE601" s="32"/>
      <c r="AF601" s="44"/>
      <c r="AG601" s="44"/>
      <c r="AH601" s="32"/>
      <c r="AI601" s="32"/>
      <c r="AJ601" s="32"/>
      <c r="AK601" s="32"/>
      <c r="AL601" s="33"/>
      <c r="AM601" s="33"/>
    </row>
    <row r="602" spans="1:39" x14ac:dyDescent="0.3">
      <c r="A602" s="22"/>
      <c r="C602" s="23"/>
      <c r="D602" s="23"/>
      <c r="E602" s="23"/>
      <c r="F602" s="32"/>
      <c r="H602" s="32"/>
      <c r="I602" s="32"/>
      <c r="J602" s="48"/>
      <c r="K602" s="48"/>
      <c r="L602" s="32"/>
      <c r="M602" s="32"/>
      <c r="N602" s="48"/>
      <c r="O602" s="48"/>
      <c r="P602" s="32"/>
      <c r="Q602" s="32"/>
      <c r="R602" s="32"/>
      <c r="T602" s="23"/>
      <c r="U602" s="23"/>
      <c r="V602" s="32"/>
      <c r="X602" s="32"/>
      <c r="Y602" s="48"/>
      <c r="Z602" s="32"/>
      <c r="AA602" s="32"/>
      <c r="AB602" s="48"/>
      <c r="AC602" s="48"/>
      <c r="AD602" s="32"/>
      <c r="AE602" s="32"/>
      <c r="AF602" s="44"/>
      <c r="AG602" s="44"/>
      <c r="AH602" s="32"/>
      <c r="AI602" s="32"/>
      <c r="AJ602" s="32"/>
      <c r="AK602" s="32"/>
      <c r="AL602" s="33"/>
      <c r="AM602" s="33"/>
    </row>
    <row r="603" spans="1:39" x14ac:dyDescent="0.3">
      <c r="A603" s="22"/>
      <c r="C603" s="23"/>
      <c r="D603" s="23"/>
      <c r="E603" s="23"/>
      <c r="F603" s="32"/>
      <c r="H603" s="32"/>
      <c r="I603" s="32"/>
      <c r="J603" s="48"/>
      <c r="K603" s="48"/>
      <c r="L603" s="32"/>
      <c r="M603" s="32"/>
      <c r="N603" s="48"/>
      <c r="O603" s="48"/>
      <c r="P603" s="32"/>
      <c r="Q603" s="32"/>
      <c r="R603" s="32"/>
      <c r="T603" s="23"/>
      <c r="U603" s="23"/>
      <c r="V603" s="32"/>
      <c r="X603" s="32"/>
      <c r="Y603" s="48"/>
      <c r="Z603" s="32"/>
      <c r="AA603" s="32"/>
      <c r="AB603" s="48"/>
      <c r="AC603" s="48"/>
      <c r="AD603" s="32"/>
      <c r="AE603" s="32"/>
      <c r="AF603" s="44"/>
      <c r="AG603" s="44"/>
      <c r="AH603" s="32"/>
      <c r="AI603" s="32"/>
      <c r="AJ603" s="32"/>
      <c r="AK603" s="32"/>
      <c r="AL603" s="33"/>
      <c r="AM603" s="33"/>
    </row>
    <row r="604" spans="1:39" x14ac:dyDescent="0.3">
      <c r="F604" s="32"/>
      <c r="H604" s="34"/>
      <c r="I604" s="34"/>
      <c r="J604" s="198"/>
      <c r="K604" s="198"/>
      <c r="L604" s="34"/>
      <c r="M604" s="34"/>
      <c r="N604" s="34"/>
      <c r="O604" s="34"/>
      <c r="P604" s="34"/>
      <c r="Q604" s="34"/>
      <c r="R604" s="34"/>
      <c r="V604" s="34"/>
      <c r="X604" s="34"/>
      <c r="Y604" s="198"/>
      <c r="Z604" s="34"/>
      <c r="AA604" s="34"/>
      <c r="AB604" s="34"/>
      <c r="AC604" s="34"/>
      <c r="AD604" s="34"/>
      <c r="AE604" s="34"/>
      <c r="AH604" s="34"/>
      <c r="AI604" s="34"/>
      <c r="AJ604" s="34"/>
      <c r="AK604" s="34"/>
      <c r="AL604" s="33"/>
      <c r="AM604" s="33"/>
    </row>
    <row r="605" spans="1:39" x14ac:dyDescent="0.3">
      <c r="A605" s="22"/>
      <c r="C605" s="23"/>
      <c r="F605" s="34"/>
      <c r="H605" s="32"/>
      <c r="I605" s="32"/>
      <c r="J605" s="48"/>
      <c r="K605" s="48"/>
      <c r="L605" s="32"/>
      <c r="M605" s="32"/>
      <c r="N605" s="48"/>
      <c r="O605" s="48"/>
      <c r="P605" s="32"/>
      <c r="Q605" s="32"/>
      <c r="R605" s="32"/>
      <c r="T605" s="23"/>
      <c r="V605" s="32"/>
      <c r="X605" s="32"/>
      <c r="Y605" s="48"/>
      <c r="Z605" s="32"/>
      <c r="AA605" s="32"/>
      <c r="AB605" s="48"/>
      <c r="AC605" s="48"/>
      <c r="AD605" s="32"/>
      <c r="AE605" s="32"/>
      <c r="AF605" s="44"/>
      <c r="AG605" s="44"/>
      <c r="AH605" s="32"/>
      <c r="AI605" s="32"/>
      <c r="AJ605" s="32"/>
      <c r="AK605" s="32"/>
      <c r="AL605" s="33"/>
      <c r="AM605" s="33"/>
    </row>
    <row r="606" spans="1:39" x14ac:dyDescent="0.3">
      <c r="F606" s="32"/>
      <c r="H606" s="32"/>
      <c r="I606" s="32"/>
      <c r="J606" s="48"/>
      <c r="K606" s="48"/>
      <c r="L606" s="32"/>
      <c r="M606" s="32"/>
      <c r="N606" s="48"/>
      <c r="O606" s="48"/>
      <c r="P606" s="32"/>
      <c r="Q606" s="32"/>
      <c r="R606" s="32"/>
      <c r="V606" s="32"/>
      <c r="X606" s="32"/>
      <c r="Y606" s="48"/>
      <c r="Z606" s="32"/>
      <c r="AA606" s="32"/>
      <c r="AB606" s="48"/>
      <c r="AC606" s="48"/>
      <c r="AF606" s="44"/>
      <c r="AG606" s="44"/>
      <c r="AH606" s="32"/>
      <c r="AI606" s="32"/>
      <c r="AJ606" s="32"/>
      <c r="AK606" s="32"/>
      <c r="AL606" s="33"/>
      <c r="AM606" s="33"/>
    </row>
    <row r="607" spans="1:39" x14ac:dyDescent="0.3">
      <c r="A607" s="22"/>
      <c r="C607" s="23"/>
      <c r="D607" s="23"/>
      <c r="E607" s="23"/>
      <c r="F607" s="32"/>
      <c r="H607" s="32"/>
      <c r="I607" s="32"/>
      <c r="J607" s="48"/>
      <c r="K607" s="48"/>
      <c r="L607" s="32"/>
      <c r="M607" s="32"/>
      <c r="N607" s="48"/>
      <c r="O607" s="48"/>
      <c r="P607" s="32"/>
      <c r="Q607" s="32"/>
      <c r="R607" s="32"/>
      <c r="T607" s="23"/>
      <c r="U607" s="23"/>
      <c r="V607" s="32"/>
      <c r="X607" s="32"/>
      <c r="Y607" s="48"/>
      <c r="Z607" s="32"/>
      <c r="AA607" s="32"/>
      <c r="AB607" s="48"/>
      <c r="AC607" s="48"/>
      <c r="AD607" s="32"/>
      <c r="AE607" s="32"/>
      <c r="AF607" s="44"/>
      <c r="AG607" s="44"/>
      <c r="AH607" s="32"/>
      <c r="AI607" s="32"/>
      <c r="AJ607" s="32"/>
      <c r="AK607" s="32"/>
      <c r="AL607" s="33"/>
      <c r="AM607" s="33"/>
    </row>
    <row r="608" spans="1:39" x14ac:dyDescent="0.3">
      <c r="F608" s="32"/>
      <c r="H608" s="34"/>
      <c r="I608" s="34"/>
      <c r="J608" s="198"/>
      <c r="K608" s="198"/>
      <c r="L608" s="34"/>
      <c r="M608" s="34"/>
      <c r="N608" s="34"/>
      <c r="O608" s="34"/>
      <c r="P608" s="34"/>
      <c r="Q608" s="34"/>
      <c r="R608" s="34"/>
      <c r="V608" s="34"/>
      <c r="X608" s="34"/>
      <c r="Y608" s="198"/>
      <c r="Z608" s="34"/>
      <c r="AA608" s="34"/>
      <c r="AB608" s="34"/>
      <c r="AC608" s="34"/>
      <c r="AD608" s="34"/>
      <c r="AE608" s="34"/>
      <c r="AH608" s="34"/>
      <c r="AI608" s="34"/>
      <c r="AJ608" s="34"/>
      <c r="AK608" s="34"/>
      <c r="AL608" s="33"/>
      <c r="AM608" s="33"/>
    </row>
    <row r="609" spans="1:39" x14ac:dyDescent="0.3">
      <c r="A609" s="22"/>
      <c r="C609" s="23"/>
      <c r="F609" s="34"/>
      <c r="H609" s="32"/>
      <c r="I609" s="32"/>
      <c r="J609" s="48"/>
      <c r="K609" s="48"/>
      <c r="L609" s="32"/>
      <c r="M609" s="32"/>
      <c r="N609" s="48"/>
      <c r="O609" s="48"/>
      <c r="P609" s="32"/>
      <c r="Q609" s="32"/>
      <c r="R609" s="32"/>
      <c r="T609" s="23"/>
      <c r="V609" s="32"/>
      <c r="X609" s="32"/>
      <c r="Y609" s="48"/>
      <c r="Z609" s="32"/>
      <c r="AA609" s="32"/>
      <c r="AB609" s="48"/>
      <c r="AC609" s="48"/>
      <c r="AD609" s="32"/>
      <c r="AE609" s="32"/>
      <c r="AF609" s="44"/>
      <c r="AG609" s="44"/>
      <c r="AH609" s="32"/>
      <c r="AI609" s="32"/>
      <c r="AJ609" s="32"/>
      <c r="AK609" s="32"/>
      <c r="AL609" s="33"/>
      <c r="AM609" s="33"/>
    </row>
    <row r="610" spans="1:39" x14ac:dyDescent="0.3">
      <c r="F610" s="32"/>
      <c r="H610" s="32"/>
      <c r="I610" s="32"/>
      <c r="J610" s="48"/>
      <c r="K610" s="48"/>
      <c r="L610" s="32"/>
      <c r="M610" s="32"/>
      <c r="N610" s="48"/>
      <c r="O610" s="48"/>
      <c r="P610" s="32"/>
      <c r="Q610" s="32"/>
      <c r="R610" s="32"/>
      <c r="V610" s="32"/>
      <c r="X610" s="32"/>
      <c r="Y610" s="48"/>
      <c r="Z610" s="32"/>
      <c r="AA610" s="32"/>
      <c r="AB610" s="48"/>
      <c r="AC610" s="48"/>
      <c r="AF610" s="44"/>
      <c r="AG610" s="44"/>
      <c r="AH610" s="32"/>
      <c r="AI610" s="32"/>
      <c r="AJ610" s="32"/>
      <c r="AK610" s="32"/>
      <c r="AL610" s="33"/>
      <c r="AM610" s="33"/>
    </row>
    <row r="611" spans="1:39" x14ac:dyDescent="0.3">
      <c r="A611" s="22"/>
      <c r="C611" s="23"/>
      <c r="D611" s="23"/>
      <c r="E611" s="23"/>
      <c r="F611" s="32"/>
      <c r="H611" s="32"/>
      <c r="I611" s="32"/>
      <c r="J611" s="48"/>
      <c r="K611" s="48"/>
      <c r="L611" s="32"/>
      <c r="M611" s="32"/>
      <c r="N611" s="48"/>
      <c r="O611" s="48"/>
      <c r="P611" s="32"/>
      <c r="Q611" s="32"/>
      <c r="R611" s="32"/>
      <c r="T611" s="23"/>
      <c r="U611" s="23"/>
      <c r="V611" s="32"/>
      <c r="X611" s="32"/>
      <c r="Y611" s="48"/>
      <c r="Z611" s="32"/>
      <c r="AA611" s="32"/>
      <c r="AB611" s="48"/>
      <c r="AC611" s="48"/>
      <c r="AD611" s="32"/>
      <c r="AE611" s="32"/>
      <c r="AF611" s="44"/>
      <c r="AG611" s="44"/>
      <c r="AH611" s="32"/>
      <c r="AI611" s="32"/>
      <c r="AJ611" s="32"/>
      <c r="AK611" s="32"/>
      <c r="AL611" s="33"/>
      <c r="AM611" s="33"/>
    </row>
    <row r="612" spans="1:39" x14ac:dyDescent="0.3">
      <c r="A612" s="22"/>
      <c r="C612" s="23"/>
      <c r="D612" s="23"/>
      <c r="E612" s="23"/>
      <c r="F612" s="32"/>
      <c r="G612" s="32"/>
      <c r="H612" s="32"/>
      <c r="I612" s="32"/>
      <c r="J612" s="48"/>
      <c r="K612" s="48"/>
      <c r="L612" s="32"/>
      <c r="M612" s="32"/>
      <c r="N612" s="48"/>
      <c r="O612" s="48"/>
      <c r="P612" s="32"/>
      <c r="Q612" s="32"/>
      <c r="R612" s="32"/>
      <c r="T612" s="23"/>
      <c r="U612" s="23"/>
      <c r="V612" s="32"/>
      <c r="W612" s="32"/>
      <c r="X612" s="32"/>
      <c r="Y612" s="48"/>
      <c r="Z612" s="32"/>
      <c r="AA612" s="32"/>
      <c r="AB612" s="48"/>
      <c r="AC612" s="48"/>
      <c r="AD612" s="32"/>
      <c r="AE612" s="32"/>
      <c r="AF612" s="44"/>
      <c r="AG612" s="44"/>
      <c r="AH612" s="32"/>
      <c r="AI612" s="32"/>
      <c r="AJ612" s="32"/>
      <c r="AK612" s="32"/>
      <c r="AL612" s="33"/>
      <c r="AM612" s="33"/>
    </row>
    <row r="613" spans="1:39" x14ac:dyDescent="0.3">
      <c r="A613" s="22"/>
      <c r="C613" s="23"/>
      <c r="D613" s="23"/>
      <c r="E613" s="23"/>
      <c r="F613" s="32"/>
      <c r="G613" s="32"/>
      <c r="H613" s="32"/>
      <c r="I613" s="32"/>
      <c r="J613" s="48"/>
      <c r="K613" s="48"/>
      <c r="L613" s="32"/>
      <c r="M613" s="32"/>
      <c r="N613" s="48"/>
      <c r="O613" s="48"/>
      <c r="P613" s="32"/>
      <c r="Q613" s="32"/>
      <c r="R613" s="32"/>
      <c r="T613" s="23"/>
      <c r="U613" s="23"/>
      <c r="V613" s="32"/>
      <c r="W613" s="32"/>
      <c r="X613" s="32"/>
      <c r="Y613" s="48"/>
      <c r="Z613" s="32"/>
      <c r="AA613" s="32"/>
      <c r="AB613" s="48"/>
      <c r="AC613" s="48"/>
      <c r="AD613" s="32"/>
      <c r="AE613" s="32"/>
      <c r="AF613" s="44"/>
      <c r="AG613" s="44"/>
      <c r="AH613" s="32"/>
      <c r="AI613" s="32"/>
      <c r="AJ613" s="32"/>
      <c r="AK613" s="32"/>
      <c r="AL613" s="33"/>
      <c r="AM613" s="33"/>
    </row>
    <row r="614" spans="1:39" x14ac:dyDescent="0.3">
      <c r="A614" s="22"/>
      <c r="C614" s="23"/>
      <c r="D614" s="23"/>
      <c r="E614" s="23"/>
      <c r="F614" s="32"/>
      <c r="H614" s="32"/>
      <c r="I614" s="32"/>
      <c r="J614" s="48"/>
      <c r="K614" s="48"/>
      <c r="L614" s="32"/>
      <c r="M614" s="32"/>
      <c r="N614" s="48"/>
      <c r="O614" s="48"/>
      <c r="P614" s="32"/>
      <c r="Q614" s="32"/>
      <c r="R614" s="32"/>
      <c r="T614" s="23"/>
      <c r="U614" s="23"/>
      <c r="V614" s="32"/>
      <c r="X614" s="32"/>
      <c r="Y614" s="48"/>
      <c r="Z614" s="32"/>
      <c r="AA614" s="32"/>
      <c r="AB614" s="48"/>
      <c r="AC614" s="48"/>
      <c r="AD614" s="32"/>
      <c r="AE614" s="32"/>
      <c r="AF614" s="44"/>
      <c r="AG614" s="44"/>
      <c r="AH614" s="32"/>
      <c r="AI614" s="32"/>
      <c r="AJ614" s="32"/>
      <c r="AK614" s="32"/>
      <c r="AL614" s="33"/>
      <c r="AM614" s="33"/>
    </row>
    <row r="615" spans="1:39" x14ac:dyDescent="0.3">
      <c r="A615" s="22"/>
      <c r="C615" s="23"/>
      <c r="D615" s="23"/>
      <c r="E615" s="23"/>
      <c r="F615" s="32"/>
      <c r="H615" s="32"/>
      <c r="I615" s="32"/>
      <c r="J615" s="48"/>
      <c r="K615" s="48"/>
      <c r="L615" s="32"/>
      <c r="M615" s="32"/>
      <c r="N615" s="48"/>
      <c r="O615" s="48"/>
      <c r="P615" s="32"/>
      <c r="Q615" s="32"/>
      <c r="R615" s="32"/>
      <c r="T615" s="23"/>
      <c r="U615" s="23"/>
      <c r="V615" s="32"/>
      <c r="X615" s="32"/>
      <c r="Y615" s="48"/>
      <c r="Z615" s="32"/>
      <c r="AA615" s="32"/>
      <c r="AB615" s="48"/>
      <c r="AC615" s="48"/>
      <c r="AD615" s="32"/>
      <c r="AE615" s="32"/>
      <c r="AF615" s="44"/>
      <c r="AG615" s="44"/>
      <c r="AH615" s="32"/>
      <c r="AI615" s="32"/>
      <c r="AJ615" s="32"/>
      <c r="AK615" s="32"/>
      <c r="AL615" s="33"/>
      <c r="AM615" s="33"/>
    </row>
    <row r="616" spans="1:39" x14ac:dyDescent="0.3">
      <c r="A616" s="22"/>
      <c r="C616" s="23"/>
      <c r="D616" s="23"/>
      <c r="E616" s="23"/>
      <c r="F616" s="32"/>
      <c r="H616" s="32"/>
      <c r="I616" s="32"/>
      <c r="J616" s="48"/>
      <c r="K616" s="48"/>
      <c r="L616" s="32"/>
      <c r="M616" s="32"/>
      <c r="N616" s="48"/>
      <c r="O616" s="48"/>
      <c r="P616" s="32"/>
      <c r="Q616" s="32"/>
      <c r="R616" s="32"/>
      <c r="T616" s="23"/>
      <c r="U616" s="23"/>
      <c r="V616" s="32"/>
      <c r="X616" s="32"/>
      <c r="Y616" s="48"/>
      <c r="Z616" s="32"/>
      <c r="AA616" s="32"/>
      <c r="AB616" s="48"/>
      <c r="AC616" s="48"/>
      <c r="AD616" s="32"/>
      <c r="AE616" s="32"/>
      <c r="AF616" s="44"/>
      <c r="AG616" s="44"/>
      <c r="AH616" s="32"/>
      <c r="AI616" s="32"/>
      <c r="AJ616" s="32"/>
      <c r="AK616" s="32"/>
      <c r="AL616" s="33"/>
      <c r="AM616" s="33"/>
    </row>
    <row r="617" spans="1:39" x14ac:dyDescent="0.3">
      <c r="A617" s="22"/>
      <c r="C617" s="23"/>
      <c r="D617" s="23"/>
      <c r="E617" s="23"/>
      <c r="F617" s="32"/>
      <c r="H617" s="32"/>
      <c r="I617" s="32"/>
      <c r="J617" s="48"/>
      <c r="K617" s="48"/>
      <c r="L617" s="32"/>
      <c r="M617" s="32"/>
      <c r="N617" s="48"/>
      <c r="O617" s="48"/>
      <c r="P617" s="32"/>
      <c r="Q617" s="32"/>
      <c r="R617" s="32"/>
      <c r="T617" s="23"/>
      <c r="U617" s="23"/>
      <c r="V617" s="32"/>
      <c r="X617" s="32"/>
      <c r="Y617" s="48"/>
      <c r="Z617" s="32"/>
      <c r="AA617" s="32"/>
      <c r="AB617" s="48"/>
      <c r="AC617" s="48"/>
      <c r="AD617" s="32"/>
      <c r="AE617" s="32"/>
      <c r="AF617" s="44"/>
      <c r="AG617" s="44"/>
      <c r="AH617" s="32"/>
      <c r="AI617" s="32"/>
      <c r="AJ617" s="32"/>
      <c r="AK617" s="32"/>
      <c r="AL617" s="33"/>
      <c r="AM617" s="33"/>
    </row>
    <row r="618" spans="1:39" x14ac:dyDescent="0.3">
      <c r="F618" s="32"/>
      <c r="H618" s="34"/>
      <c r="I618" s="34"/>
      <c r="J618" s="198"/>
      <c r="K618" s="198"/>
      <c r="L618" s="34"/>
      <c r="M618" s="34"/>
      <c r="N618" s="34"/>
      <c r="O618" s="34"/>
      <c r="P618" s="34"/>
      <c r="Q618" s="34"/>
      <c r="R618" s="34"/>
      <c r="V618" s="34"/>
      <c r="X618" s="34"/>
      <c r="Y618" s="198"/>
      <c r="Z618" s="34"/>
      <c r="AA618" s="34"/>
      <c r="AB618" s="34"/>
      <c r="AC618" s="34"/>
      <c r="AD618" s="34"/>
      <c r="AE618" s="34"/>
      <c r="AH618" s="34"/>
      <c r="AI618" s="34"/>
      <c r="AJ618" s="34"/>
      <c r="AK618" s="34"/>
      <c r="AL618" s="33"/>
      <c r="AM618" s="33"/>
    </row>
    <row r="619" spans="1:39" x14ac:dyDescent="0.3">
      <c r="A619" s="22"/>
      <c r="C619" s="23"/>
      <c r="F619" s="34"/>
      <c r="H619" s="32"/>
      <c r="I619" s="32"/>
      <c r="J619" s="48"/>
      <c r="K619" s="48"/>
      <c r="L619" s="32"/>
      <c r="M619" s="32"/>
      <c r="N619" s="48"/>
      <c r="O619" s="48"/>
      <c r="P619" s="32"/>
      <c r="Q619" s="32"/>
      <c r="R619" s="32"/>
      <c r="T619" s="23"/>
      <c r="V619" s="32"/>
      <c r="X619" s="32"/>
      <c r="Y619" s="48"/>
      <c r="Z619" s="32"/>
      <c r="AA619" s="32"/>
      <c r="AB619" s="48"/>
      <c r="AC619" s="48"/>
      <c r="AD619" s="32"/>
      <c r="AE619" s="32"/>
      <c r="AF619" s="44"/>
      <c r="AG619" s="44"/>
      <c r="AH619" s="32"/>
      <c r="AI619" s="32"/>
      <c r="AJ619" s="32"/>
      <c r="AK619" s="32"/>
      <c r="AL619" s="33"/>
      <c r="AM619" s="33"/>
    </row>
    <row r="620" spans="1:39" x14ac:dyDescent="0.3">
      <c r="F620" s="32"/>
      <c r="V620" s="32"/>
      <c r="X620" s="32"/>
      <c r="Y620" s="198"/>
      <c r="Z620" s="32"/>
      <c r="AA620" s="32"/>
      <c r="AB620" s="32"/>
      <c r="AC620" s="32"/>
      <c r="AD620" s="32"/>
      <c r="AE620" s="32"/>
      <c r="AH620" s="32"/>
      <c r="AI620" s="32"/>
      <c r="AJ620" s="32"/>
      <c r="AK620" s="32"/>
      <c r="AL620" s="33"/>
      <c r="AM620" s="33"/>
    </row>
    <row r="621" spans="1:39" x14ac:dyDescent="0.3">
      <c r="A621" s="22"/>
      <c r="C621" s="23"/>
      <c r="D621" s="23"/>
      <c r="E621" s="23"/>
      <c r="L621" s="32"/>
      <c r="M621" s="32"/>
      <c r="N621" s="48"/>
      <c r="O621" s="48"/>
      <c r="P621" s="22"/>
      <c r="Q621" s="22"/>
      <c r="R621" s="32"/>
      <c r="T621" s="23"/>
      <c r="U621" s="23"/>
      <c r="Z621" s="32"/>
      <c r="AA621" s="32"/>
      <c r="AB621" s="48"/>
      <c r="AC621" s="48"/>
      <c r="AD621" s="32"/>
      <c r="AE621" s="32"/>
      <c r="AF621" s="44"/>
      <c r="AG621" s="44"/>
      <c r="AH621" s="22"/>
      <c r="AI621" s="22"/>
      <c r="AJ621" s="32"/>
      <c r="AK621" s="32"/>
      <c r="AL621" s="33"/>
      <c r="AM621" s="33"/>
    </row>
    <row r="622" spans="1:39" x14ac:dyDescent="0.3">
      <c r="A622" s="22"/>
      <c r="D622" s="23"/>
      <c r="E622" s="23"/>
      <c r="H622" s="195"/>
      <c r="I622" s="195"/>
      <c r="J622" s="48"/>
      <c r="K622" s="48"/>
      <c r="L622" s="32"/>
      <c r="M622" s="32"/>
      <c r="N622" s="48"/>
      <c r="O622" s="48"/>
      <c r="P622" s="195"/>
      <c r="Q622" s="195"/>
      <c r="R622" s="32"/>
      <c r="U622" s="23"/>
      <c r="V622" s="32"/>
      <c r="X622" s="32"/>
      <c r="Y622" s="48"/>
      <c r="Z622" s="32"/>
      <c r="AA622" s="32"/>
      <c r="AB622" s="48"/>
      <c r="AC622" s="48"/>
      <c r="AD622" s="32"/>
      <c r="AE622" s="32"/>
      <c r="AF622" s="44"/>
      <c r="AG622" s="44"/>
      <c r="AH622" s="32"/>
      <c r="AI622" s="32"/>
      <c r="AJ622" s="32"/>
      <c r="AK622" s="32"/>
      <c r="AL622" s="33"/>
      <c r="AM622" s="33"/>
    </row>
    <row r="623" spans="1:39" x14ac:dyDescent="0.3">
      <c r="F623" s="195"/>
      <c r="H623" s="34"/>
      <c r="I623" s="34"/>
      <c r="J623" s="198"/>
      <c r="K623" s="198"/>
      <c r="L623" s="34"/>
      <c r="M623" s="34"/>
      <c r="N623" s="34"/>
      <c r="O623" s="34"/>
      <c r="P623" s="34"/>
      <c r="Q623" s="34"/>
      <c r="R623" s="34"/>
      <c r="V623" s="34"/>
      <c r="X623" s="34"/>
      <c r="Y623" s="198"/>
      <c r="Z623" s="34"/>
      <c r="AA623" s="34"/>
      <c r="AB623" s="34"/>
      <c r="AC623" s="34"/>
      <c r="AD623" s="34"/>
      <c r="AE623" s="34"/>
      <c r="AH623" s="34"/>
      <c r="AI623" s="34"/>
      <c r="AJ623" s="34"/>
      <c r="AK623" s="34"/>
      <c r="AL623" s="33"/>
      <c r="AM623" s="33"/>
    </row>
    <row r="624" spans="1:39" x14ac:dyDescent="0.3">
      <c r="A624" s="22"/>
      <c r="C624" s="23"/>
      <c r="F624" s="34"/>
      <c r="H624" s="32"/>
      <c r="I624" s="32"/>
      <c r="J624" s="48"/>
      <c r="K624" s="48"/>
      <c r="L624" s="32"/>
      <c r="M624" s="32"/>
      <c r="N624" s="48"/>
      <c r="O624" s="48"/>
      <c r="P624" s="32"/>
      <c r="Q624" s="32"/>
      <c r="R624" s="32"/>
      <c r="T624" s="23"/>
      <c r="V624" s="32"/>
      <c r="X624" s="32"/>
      <c r="Y624" s="48"/>
      <c r="Z624" s="32"/>
      <c r="AA624" s="32"/>
      <c r="AB624" s="48"/>
      <c r="AC624" s="48"/>
      <c r="AD624" s="32"/>
      <c r="AE624" s="32"/>
      <c r="AF624" s="44"/>
      <c r="AG624" s="44"/>
      <c r="AH624" s="32"/>
      <c r="AI624" s="32"/>
      <c r="AJ624" s="32"/>
      <c r="AK624" s="32"/>
      <c r="AL624" s="33"/>
      <c r="AM624" s="33"/>
    </row>
    <row r="625" spans="1:39" x14ac:dyDescent="0.3">
      <c r="F625" s="32"/>
      <c r="H625" s="32"/>
      <c r="I625" s="32"/>
      <c r="J625" s="48"/>
      <c r="K625" s="48"/>
      <c r="L625" s="32"/>
      <c r="M625" s="32"/>
      <c r="N625" s="48"/>
      <c r="O625" s="48"/>
      <c r="P625" s="32"/>
      <c r="Q625" s="32"/>
      <c r="R625" s="32"/>
      <c r="V625" s="32"/>
      <c r="X625" s="32"/>
      <c r="Y625" s="48"/>
      <c r="Z625" s="32"/>
      <c r="AA625" s="32"/>
      <c r="AB625" s="48"/>
      <c r="AC625" s="48"/>
      <c r="AF625" s="44"/>
      <c r="AG625" s="44"/>
      <c r="AH625" s="32"/>
      <c r="AI625" s="32"/>
      <c r="AJ625" s="32"/>
      <c r="AK625" s="32"/>
      <c r="AL625" s="33"/>
      <c r="AM625" s="33"/>
    </row>
    <row r="626" spans="1:39" x14ac:dyDescent="0.3">
      <c r="A626" s="22"/>
      <c r="D626" s="23"/>
      <c r="E626" s="23"/>
      <c r="F626" s="32"/>
      <c r="H626" s="32"/>
      <c r="I626" s="32"/>
      <c r="J626" s="48"/>
      <c r="K626" s="48"/>
      <c r="L626" s="195"/>
      <c r="M626" s="195"/>
      <c r="N626" s="48"/>
      <c r="O626" s="48"/>
      <c r="P626" s="32"/>
      <c r="Q626" s="32"/>
      <c r="R626" s="32"/>
      <c r="U626" s="23"/>
      <c r="V626" s="32"/>
      <c r="X626" s="32"/>
      <c r="Y626" s="48"/>
      <c r="Z626" s="195"/>
      <c r="AA626" s="195"/>
      <c r="AB626" s="48"/>
      <c r="AC626" s="48"/>
      <c r="AD626" s="32"/>
      <c r="AE626" s="32"/>
      <c r="AF626" s="44"/>
      <c r="AG626" s="44"/>
      <c r="AH626" s="32"/>
      <c r="AI626" s="32"/>
      <c r="AJ626" s="32"/>
      <c r="AK626" s="32"/>
      <c r="AL626" s="33"/>
      <c r="AM626" s="33"/>
    </row>
    <row r="627" spans="1:39" x14ac:dyDescent="0.3">
      <c r="A627" s="22"/>
      <c r="D627" s="23"/>
      <c r="E627" s="23"/>
      <c r="F627" s="32"/>
      <c r="H627" s="32"/>
      <c r="I627" s="32"/>
      <c r="J627" s="48"/>
      <c r="K627" s="48"/>
      <c r="L627" s="195"/>
      <c r="M627" s="195"/>
      <c r="N627" s="48"/>
      <c r="O627" s="48"/>
      <c r="P627" s="32"/>
      <c r="Q627" s="32"/>
      <c r="R627" s="32"/>
      <c r="U627" s="23"/>
      <c r="V627" s="32"/>
      <c r="X627" s="32"/>
      <c r="Y627" s="48"/>
      <c r="Z627" s="195"/>
      <c r="AA627" s="195"/>
      <c r="AB627" s="48"/>
      <c r="AC627" s="48"/>
      <c r="AD627" s="32"/>
      <c r="AE627" s="32"/>
      <c r="AF627" s="44"/>
      <c r="AG627" s="44"/>
      <c r="AH627" s="32"/>
      <c r="AI627" s="32"/>
      <c r="AJ627" s="32"/>
      <c r="AK627" s="32"/>
      <c r="AL627" s="33"/>
      <c r="AM627" s="33"/>
    </row>
    <row r="628" spans="1:39" x14ac:dyDescent="0.3">
      <c r="A628" s="22"/>
      <c r="D628" s="23"/>
      <c r="E628" s="23"/>
      <c r="F628" s="32"/>
      <c r="H628" s="32"/>
      <c r="I628" s="32"/>
      <c r="J628" s="48"/>
      <c r="K628" s="48"/>
      <c r="L628" s="195"/>
      <c r="M628" s="195"/>
      <c r="N628" s="48"/>
      <c r="O628" s="48"/>
      <c r="P628" s="32"/>
      <c r="Q628" s="32"/>
      <c r="R628" s="32"/>
      <c r="U628" s="23"/>
      <c r="V628" s="32"/>
      <c r="X628" s="32"/>
      <c r="Y628" s="48"/>
      <c r="Z628" s="195"/>
      <c r="AA628" s="195"/>
      <c r="AB628" s="48"/>
      <c r="AC628" s="48"/>
      <c r="AD628" s="32"/>
      <c r="AE628" s="32"/>
      <c r="AF628" s="44"/>
      <c r="AG628" s="44"/>
      <c r="AH628" s="32"/>
      <c r="AI628" s="32"/>
      <c r="AJ628" s="32"/>
      <c r="AK628" s="32"/>
      <c r="AL628" s="33"/>
      <c r="AM628" s="33"/>
    </row>
    <row r="629" spans="1:39" x14ac:dyDescent="0.3">
      <c r="F629" s="32"/>
      <c r="H629" s="34"/>
      <c r="I629" s="34"/>
      <c r="J629" s="198"/>
      <c r="K629" s="198"/>
      <c r="L629" s="34"/>
      <c r="M629" s="34"/>
      <c r="N629" s="34"/>
      <c r="O629" s="34"/>
      <c r="P629" s="34"/>
      <c r="Q629" s="34"/>
      <c r="R629" s="34"/>
      <c r="V629" s="34"/>
      <c r="X629" s="34"/>
      <c r="Y629" s="198"/>
      <c r="Z629" s="34"/>
      <c r="AA629" s="34"/>
      <c r="AB629" s="34"/>
      <c r="AC629" s="34"/>
      <c r="AD629" s="34"/>
      <c r="AE629" s="34"/>
      <c r="AH629" s="34"/>
      <c r="AI629" s="34"/>
      <c r="AJ629" s="34"/>
      <c r="AK629" s="34"/>
      <c r="AL629" s="33"/>
      <c r="AM629" s="33"/>
    </row>
    <row r="630" spans="1:39" x14ac:dyDescent="0.3">
      <c r="A630" s="22"/>
      <c r="C630" s="23"/>
      <c r="F630" s="34"/>
      <c r="H630" s="32"/>
      <c r="I630" s="32"/>
      <c r="J630" s="48"/>
      <c r="K630" s="48"/>
      <c r="L630" s="32"/>
      <c r="M630" s="32"/>
      <c r="N630" s="48"/>
      <c r="O630" s="48"/>
      <c r="P630" s="32"/>
      <c r="Q630" s="32"/>
      <c r="R630" s="32"/>
      <c r="T630" s="23"/>
      <c r="V630" s="32"/>
      <c r="X630" s="32"/>
      <c r="Y630" s="48"/>
      <c r="Z630" s="32"/>
      <c r="AA630" s="32"/>
      <c r="AB630" s="48"/>
      <c r="AC630" s="48"/>
      <c r="AD630" s="32"/>
      <c r="AE630" s="32"/>
      <c r="AF630" s="44"/>
      <c r="AG630" s="44"/>
      <c r="AH630" s="32"/>
      <c r="AI630" s="32"/>
      <c r="AJ630" s="32"/>
      <c r="AK630" s="32"/>
      <c r="AL630" s="33"/>
      <c r="AM630" s="33"/>
    </row>
    <row r="631" spans="1:39" x14ac:dyDescent="0.3">
      <c r="F631" s="32"/>
      <c r="H631" s="32"/>
      <c r="I631" s="32"/>
      <c r="J631" s="48"/>
      <c r="K631" s="48"/>
      <c r="L631" s="32"/>
      <c r="M631" s="32"/>
      <c r="N631" s="48"/>
      <c r="O631" s="48"/>
      <c r="P631" s="32"/>
      <c r="Q631" s="32"/>
      <c r="R631" s="32"/>
      <c r="V631" s="32"/>
      <c r="X631" s="32"/>
      <c r="Y631" s="48"/>
      <c r="Z631" s="32"/>
      <c r="AA631" s="32"/>
      <c r="AB631" s="48"/>
      <c r="AC631" s="48"/>
      <c r="AF631" s="44"/>
      <c r="AG631" s="44"/>
      <c r="AH631" s="32"/>
      <c r="AI631" s="32"/>
      <c r="AJ631" s="32"/>
      <c r="AK631" s="32"/>
      <c r="AL631" s="33"/>
      <c r="AM631" s="33"/>
    </row>
    <row r="632" spans="1:39" x14ac:dyDescent="0.3">
      <c r="A632" s="22"/>
      <c r="C632" s="23"/>
      <c r="F632" s="32"/>
      <c r="H632" s="32"/>
      <c r="I632" s="32"/>
      <c r="J632" s="48"/>
      <c r="K632" s="48"/>
      <c r="L632" s="32"/>
      <c r="M632" s="32"/>
      <c r="N632" s="48"/>
      <c r="O632" s="48"/>
      <c r="P632" s="32"/>
      <c r="Q632" s="32"/>
      <c r="R632" s="32"/>
      <c r="T632" s="23"/>
      <c r="V632" s="32"/>
      <c r="X632" s="32"/>
      <c r="Y632" s="48"/>
      <c r="Z632" s="32"/>
      <c r="AA632" s="32"/>
      <c r="AB632" s="48"/>
      <c r="AC632" s="48"/>
      <c r="AD632" s="32"/>
      <c r="AE632" s="32"/>
      <c r="AF632" s="44"/>
      <c r="AG632" s="44"/>
      <c r="AH632" s="32"/>
      <c r="AI632" s="32"/>
      <c r="AJ632" s="32"/>
      <c r="AK632" s="32"/>
      <c r="AL632" s="33"/>
      <c r="AM632" s="33"/>
    </row>
    <row r="633" spans="1:39" x14ac:dyDescent="0.3">
      <c r="F633" s="32"/>
      <c r="H633" s="34"/>
      <c r="I633" s="34"/>
      <c r="J633" s="198"/>
      <c r="K633" s="198"/>
      <c r="L633" s="34"/>
      <c r="M633" s="34"/>
      <c r="N633" s="34"/>
      <c r="O633" s="34"/>
      <c r="P633" s="34"/>
      <c r="Q633" s="34"/>
      <c r="R633" s="34"/>
      <c r="V633" s="34"/>
      <c r="X633" s="34"/>
      <c r="Y633" s="198"/>
      <c r="Z633" s="34"/>
      <c r="AA633" s="34"/>
      <c r="AB633" s="34"/>
      <c r="AC633" s="34"/>
      <c r="AD633" s="34"/>
      <c r="AE633" s="34"/>
      <c r="AH633" s="34"/>
      <c r="AI633" s="34"/>
      <c r="AJ633" s="34"/>
      <c r="AK633" s="34"/>
    </row>
    <row r="635" spans="1:39" x14ac:dyDescent="0.3">
      <c r="C635" s="23"/>
      <c r="F635" s="34"/>
      <c r="L635" s="32"/>
      <c r="M635" s="32"/>
      <c r="P635" s="32"/>
      <c r="Q635" s="32"/>
      <c r="R635" s="32"/>
      <c r="T635" s="23"/>
    </row>
    <row r="636" spans="1:39" x14ac:dyDescent="0.3">
      <c r="A636" s="23"/>
      <c r="L636" s="32"/>
      <c r="M636" s="32"/>
      <c r="P636" s="32"/>
      <c r="Q636" s="32"/>
      <c r="R636" s="32"/>
    </row>
    <row r="637" spans="1:39" x14ac:dyDescent="0.3">
      <c r="L637" s="32"/>
      <c r="M637" s="32"/>
      <c r="P637" s="32"/>
      <c r="Q637" s="32"/>
      <c r="R637" s="32"/>
    </row>
    <row r="638" spans="1:39" x14ac:dyDescent="0.3">
      <c r="L638" s="32"/>
      <c r="M638" s="32"/>
      <c r="P638" s="32"/>
      <c r="Q638" s="32"/>
      <c r="R638" s="32"/>
    </row>
    <row r="639" spans="1:39" x14ac:dyDescent="0.3">
      <c r="L639" s="32"/>
      <c r="M639" s="32"/>
      <c r="P639" s="32"/>
      <c r="Q639" s="32"/>
      <c r="R639" s="32"/>
    </row>
    <row r="640" spans="1:39" x14ac:dyDescent="0.3">
      <c r="L640" s="32"/>
      <c r="M640" s="32"/>
      <c r="P640" s="32"/>
      <c r="Q640" s="32"/>
      <c r="R640" s="32"/>
    </row>
    <row r="641" spans="12:18" x14ac:dyDescent="0.3">
      <c r="L641" s="32"/>
      <c r="M641" s="32"/>
      <c r="P641" s="32"/>
      <c r="Q641" s="32"/>
      <c r="R641" s="32"/>
    </row>
    <row r="674" spans="48:48" x14ac:dyDescent="0.3">
      <c r="AV674" s="32"/>
    </row>
    <row r="675" spans="48:48" x14ac:dyDescent="0.3">
      <c r="AV675" s="32"/>
    </row>
    <row r="676" spans="48:48" x14ac:dyDescent="0.3">
      <c r="AV676" s="32"/>
    </row>
    <row r="677" spans="48:48" x14ac:dyDescent="0.3">
      <c r="AV677" s="32"/>
    </row>
    <row r="678" spans="48:48" x14ac:dyDescent="0.3">
      <c r="AV678" s="32"/>
    </row>
    <row r="679" spans="48:48" x14ac:dyDescent="0.3">
      <c r="AV679" s="32"/>
    </row>
    <row r="682" spans="48:48" x14ac:dyDescent="0.3">
      <c r="AV682" s="32"/>
    </row>
    <row r="683" spans="48:48" x14ac:dyDescent="0.3">
      <c r="AV683" s="32"/>
    </row>
    <row r="684" spans="48:48" x14ac:dyDescent="0.3">
      <c r="AV684" s="32"/>
    </row>
    <row r="685" spans="48:48" x14ac:dyDescent="0.3">
      <c r="AV685" s="32"/>
    </row>
    <row r="686" spans="48:48" x14ac:dyDescent="0.3">
      <c r="AV686" s="32"/>
    </row>
    <row r="687" spans="48:48" x14ac:dyDescent="0.3">
      <c r="AV687" s="32"/>
    </row>
    <row r="688" spans="48:48" x14ac:dyDescent="0.3">
      <c r="AV688" s="32"/>
    </row>
    <row r="689" spans="48:48" x14ac:dyDescent="0.3">
      <c r="AV689" s="32"/>
    </row>
    <row r="692" spans="48:48" x14ac:dyDescent="0.3">
      <c r="AV692" s="32"/>
    </row>
    <row r="693" spans="48:48" x14ac:dyDescent="0.3">
      <c r="AV693" s="32"/>
    </row>
    <row r="696" spans="48:48" x14ac:dyDescent="0.3">
      <c r="AV696" s="32"/>
    </row>
    <row r="697" spans="48:48" x14ac:dyDescent="0.3">
      <c r="AV697" s="32"/>
    </row>
    <row r="698" spans="48:48" x14ac:dyDescent="0.3">
      <c r="AV698" s="32"/>
    </row>
    <row r="699" spans="48:48" x14ac:dyDescent="0.3">
      <c r="AV699" s="32"/>
    </row>
    <row r="705" spans="44:68" x14ac:dyDescent="0.3">
      <c r="AX705" s="22"/>
    </row>
    <row r="706" spans="44:68" x14ac:dyDescent="0.3">
      <c r="AX706" s="22"/>
    </row>
    <row r="707" spans="44:68" x14ac:dyDescent="0.3">
      <c r="AX707" s="23"/>
    </row>
    <row r="708" spans="44:68" x14ac:dyDescent="0.3">
      <c r="AX708" s="23"/>
    </row>
    <row r="709" spans="44:68" x14ac:dyDescent="0.3">
      <c r="AR709" s="22"/>
      <c r="BC709" s="23"/>
    </row>
    <row r="710" spans="44:68" x14ac:dyDescent="0.3">
      <c r="AR710" s="22"/>
      <c r="BC710" s="23"/>
    </row>
    <row r="711" spans="44:68" x14ac:dyDescent="0.3">
      <c r="AR711" s="23"/>
      <c r="BC711" s="23"/>
    </row>
    <row r="712" spans="44:68" x14ac:dyDescent="0.3">
      <c r="BC712" s="22"/>
    </row>
    <row r="713" spans="44:68" x14ac:dyDescent="0.3"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</row>
    <row r="714" spans="44:68" x14ac:dyDescent="0.3">
      <c r="AW714" s="23"/>
    </row>
    <row r="715" spans="44:68" x14ac:dyDescent="0.3">
      <c r="AW715" s="29"/>
      <c r="AX715" s="29"/>
      <c r="AY715" s="29"/>
      <c r="AZ715" s="29"/>
      <c r="BB715" s="30"/>
      <c r="BC715" s="30"/>
    </row>
    <row r="716" spans="44:68" x14ac:dyDescent="0.3">
      <c r="AU716" s="30"/>
      <c r="AV716" s="30"/>
      <c r="AY716" s="30"/>
      <c r="AZ716" s="30"/>
      <c r="BB716" s="30"/>
      <c r="BC716" s="30"/>
      <c r="BD716" s="30"/>
      <c r="BF716" s="29"/>
      <c r="BG716" s="23"/>
      <c r="BJ716" s="29"/>
      <c r="BL716" s="29"/>
      <c r="BM716" s="23"/>
      <c r="BP716" s="29"/>
    </row>
    <row r="717" spans="44:68" x14ac:dyDescent="0.3"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G717" s="30"/>
      <c r="BH717" s="30"/>
      <c r="BI717" s="30"/>
      <c r="BM717" s="30"/>
      <c r="BN717" s="30"/>
      <c r="BO717" s="30"/>
    </row>
    <row r="718" spans="44:68" x14ac:dyDescent="0.3">
      <c r="AR718" s="30"/>
      <c r="AT718" s="23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F718" s="30"/>
      <c r="BG718" s="30"/>
      <c r="BH718" s="30"/>
      <c r="BI718" s="30"/>
      <c r="BJ718" s="30"/>
      <c r="BL718" s="30"/>
      <c r="BM718" s="30"/>
      <c r="BN718" s="30"/>
      <c r="BO718" s="30"/>
      <c r="BP718" s="30"/>
    </row>
    <row r="719" spans="44:68" x14ac:dyDescent="0.3">
      <c r="AR719" s="30"/>
      <c r="AT719" s="23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F719" s="30"/>
      <c r="BG719" s="30"/>
      <c r="BH719" s="30"/>
      <c r="BI719" s="30"/>
      <c r="BJ719" s="30"/>
      <c r="BL719" s="30"/>
      <c r="BM719" s="30"/>
      <c r="BN719" s="30"/>
      <c r="BO719" s="30"/>
      <c r="BP719" s="30"/>
    </row>
    <row r="720" spans="44:68" x14ac:dyDescent="0.3"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F720" s="29"/>
      <c r="BG720" s="29"/>
      <c r="BH720" s="29"/>
      <c r="BI720" s="29"/>
      <c r="BJ720" s="29"/>
      <c r="BL720" s="29"/>
      <c r="BM720" s="29"/>
      <c r="BN720" s="29"/>
      <c r="BO720" s="29"/>
      <c r="BP720" s="29"/>
    </row>
    <row r="721" spans="44:68" x14ac:dyDescent="0.3"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</row>
    <row r="722" spans="44:68" x14ac:dyDescent="0.3">
      <c r="AR722" s="22"/>
      <c r="AT722" s="23"/>
      <c r="AU722" s="30"/>
      <c r="AX722" s="48"/>
    </row>
    <row r="723" spans="44:68" x14ac:dyDescent="0.3">
      <c r="AR723" s="22"/>
      <c r="AU723" s="30"/>
      <c r="AV723" s="32"/>
      <c r="AW723" s="62"/>
      <c r="AX723" s="62"/>
      <c r="AY723" s="62"/>
      <c r="AZ723" s="33"/>
      <c r="BA723" s="62"/>
      <c r="BB723" s="48"/>
      <c r="BC723" s="48"/>
      <c r="BD723" s="33"/>
      <c r="BF723" s="62"/>
      <c r="BG723" s="62"/>
      <c r="BH723" s="62"/>
      <c r="BI723" s="62"/>
      <c r="BJ723" s="62"/>
      <c r="BL723" s="62"/>
      <c r="BM723" s="62"/>
      <c r="BN723" s="62"/>
      <c r="BO723" s="62"/>
      <c r="BP723" s="62"/>
    </row>
    <row r="724" spans="44:68" x14ac:dyDescent="0.3">
      <c r="AR724" s="22"/>
      <c r="AU724" s="30"/>
      <c r="AV724" s="32"/>
      <c r="AW724" s="62"/>
      <c r="AX724" s="62"/>
      <c r="AY724" s="62"/>
      <c r="AZ724" s="33"/>
      <c r="BA724" s="62"/>
      <c r="BB724" s="48"/>
      <c r="BC724" s="48"/>
      <c r="BD724" s="33"/>
      <c r="BF724" s="62"/>
      <c r="BG724" s="62"/>
      <c r="BH724" s="62"/>
      <c r="BI724" s="62"/>
      <c r="BJ724" s="62"/>
      <c r="BL724" s="62"/>
      <c r="BM724" s="62"/>
      <c r="BN724" s="62"/>
      <c r="BO724" s="62"/>
      <c r="BP724" s="62"/>
    </row>
    <row r="725" spans="44:68" x14ac:dyDescent="0.3">
      <c r="AR725" s="22"/>
      <c r="AU725" s="30"/>
      <c r="AV725" s="32"/>
      <c r="AW725" s="62"/>
      <c r="AX725" s="62"/>
      <c r="AY725" s="62"/>
      <c r="AZ725" s="33"/>
      <c r="BA725" s="62"/>
      <c r="BB725" s="48"/>
      <c r="BC725" s="48"/>
      <c r="BD725" s="33"/>
      <c r="BF725" s="62"/>
      <c r="BG725" s="62"/>
      <c r="BH725" s="62"/>
      <c r="BI725" s="62"/>
      <c r="BJ725" s="62"/>
      <c r="BL725" s="62"/>
      <c r="BM725" s="62"/>
      <c r="BN725" s="62"/>
      <c r="BO725" s="62"/>
      <c r="BP725" s="62"/>
    </row>
    <row r="726" spans="44:68" x14ac:dyDescent="0.3">
      <c r="AR726" s="22"/>
      <c r="AU726" s="30"/>
      <c r="AV726" s="32"/>
      <c r="AW726" s="62"/>
      <c r="AX726" s="62"/>
      <c r="AY726" s="62"/>
      <c r="AZ726" s="33"/>
      <c r="BA726" s="62"/>
      <c r="BB726" s="48"/>
      <c r="BC726" s="48"/>
      <c r="BD726" s="33"/>
      <c r="BF726" s="62"/>
      <c r="BG726" s="62"/>
      <c r="BH726" s="62"/>
      <c r="BI726" s="62"/>
      <c r="BJ726" s="62"/>
      <c r="BL726" s="62"/>
      <c r="BM726" s="62"/>
      <c r="BN726" s="62"/>
      <c r="BO726" s="62"/>
      <c r="BP726" s="62"/>
    </row>
    <row r="727" spans="44:68" x14ac:dyDescent="0.3">
      <c r="AR727" s="22"/>
      <c r="AU727" s="30"/>
      <c r="AV727" s="32"/>
      <c r="AW727" s="62"/>
      <c r="AX727" s="62"/>
      <c r="AY727" s="62"/>
      <c r="AZ727" s="33"/>
      <c r="BA727" s="62"/>
      <c r="BB727" s="48"/>
      <c r="BC727" s="48"/>
      <c r="BD727" s="33"/>
      <c r="BF727" s="62"/>
      <c r="BG727" s="62"/>
      <c r="BH727" s="62"/>
      <c r="BI727" s="62"/>
      <c r="BJ727" s="62"/>
      <c r="BL727" s="62"/>
      <c r="BM727" s="62"/>
      <c r="BN727" s="62"/>
      <c r="BO727" s="62"/>
      <c r="BP727" s="62"/>
    </row>
    <row r="728" spans="44:68" x14ac:dyDescent="0.3">
      <c r="AR728" s="22"/>
      <c r="AU728" s="30"/>
      <c r="AV728" s="32"/>
      <c r="AW728" s="62"/>
      <c r="AX728" s="62"/>
      <c r="AY728" s="62"/>
      <c r="AZ728" s="33"/>
      <c r="BA728" s="62"/>
      <c r="BB728" s="48"/>
      <c r="BC728" s="48"/>
      <c r="BD728" s="33"/>
      <c r="BF728" s="62"/>
      <c r="BG728" s="62"/>
      <c r="BH728" s="62"/>
      <c r="BI728" s="62"/>
      <c r="BJ728" s="62"/>
      <c r="BL728" s="62"/>
      <c r="BM728" s="62"/>
      <c r="BN728" s="62"/>
      <c r="BO728" s="62"/>
      <c r="BP728" s="62"/>
    </row>
    <row r="729" spans="44:68" x14ac:dyDescent="0.3">
      <c r="AR729" s="22"/>
      <c r="AU729" s="30"/>
      <c r="AV729" s="32"/>
      <c r="AW729" s="62"/>
      <c r="AX729" s="62"/>
      <c r="AY729" s="62"/>
      <c r="AZ729" s="33"/>
      <c r="BA729" s="62"/>
      <c r="BB729" s="48"/>
      <c r="BC729" s="48"/>
      <c r="BD729" s="33"/>
      <c r="BF729" s="62"/>
      <c r="BG729" s="62"/>
      <c r="BH729" s="62"/>
      <c r="BI729" s="62"/>
      <c r="BJ729" s="62"/>
      <c r="BL729" s="62"/>
      <c r="BM729" s="62"/>
      <c r="BN729" s="62"/>
      <c r="BO729" s="62"/>
      <c r="BP729" s="62"/>
    </row>
    <row r="730" spans="44:68" x14ac:dyDescent="0.3">
      <c r="AX730" s="48"/>
      <c r="AY730" s="62"/>
      <c r="AZ730" s="33"/>
      <c r="BA730" s="62"/>
      <c r="BB730" s="48"/>
      <c r="BC730" s="48"/>
      <c r="BD730" s="33"/>
      <c r="BJ730" s="62"/>
      <c r="BP730" s="62"/>
    </row>
    <row r="731" spans="44:68" x14ac:dyDescent="0.3">
      <c r="AR731" s="22"/>
      <c r="AU731" s="30"/>
      <c r="AX731" s="48"/>
      <c r="AY731" s="62"/>
      <c r="AZ731" s="33"/>
      <c r="BA731" s="62"/>
      <c r="BB731" s="48"/>
      <c r="BC731" s="48"/>
      <c r="BD731" s="33"/>
      <c r="BJ731" s="62"/>
      <c r="BP731" s="62"/>
    </row>
    <row r="732" spans="44:68" x14ac:dyDescent="0.3">
      <c r="AR732" s="22"/>
      <c r="AU732" s="30"/>
      <c r="AV732" s="32"/>
      <c r="AW732" s="62"/>
      <c r="AX732" s="62"/>
      <c r="AY732" s="62"/>
      <c r="AZ732" s="33"/>
      <c r="BA732" s="62"/>
      <c r="BB732" s="48"/>
      <c r="BC732" s="48"/>
      <c r="BD732" s="33"/>
      <c r="BF732" s="62"/>
      <c r="BG732" s="62"/>
      <c r="BH732" s="62"/>
      <c r="BI732" s="62"/>
      <c r="BJ732" s="62"/>
      <c r="BL732" s="62"/>
      <c r="BM732" s="62"/>
      <c r="BN732" s="62"/>
      <c r="BO732" s="62"/>
      <c r="BP732" s="62"/>
    </row>
    <row r="733" spans="44:68" x14ac:dyDescent="0.3">
      <c r="AR733" s="22"/>
      <c r="AU733" s="30"/>
      <c r="AV733" s="32"/>
      <c r="AW733" s="62"/>
      <c r="AX733" s="62"/>
      <c r="AY733" s="62"/>
      <c r="AZ733" s="33"/>
      <c r="BA733" s="62"/>
      <c r="BB733" s="48"/>
      <c r="BC733" s="48"/>
      <c r="BD733" s="33"/>
      <c r="BF733" s="62"/>
      <c r="BG733" s="62"/>
      <c r="BH733" s="62"/>
      <c r="BI733" s="62"/>
      <c r="BJ733" s="62"/>
      <c r="BL733" s="62"/>
      <c r="BM733" s="62"/>
      <c r="BN733" s="62"/>
      <c r="BO733" s="62"/>
      <c r="BP733" s="62"/>
    </row>
    <row r="734" spans="44:68" x14ac:dyDescent="0.3">
      <c r="AR734" s="22"/>
      <c r="AU734" s="30"/>
      <c r="AV734" s="32"/>
      <c r="AW734" s="62"/>
      <c r="AX734" s="62"/>
      <c r="AY734" s="62"/>
      <c r="AZ734" s="33"/>
      <c r="BA734" s="62"/>
      <c r="BB734" s="48"/>
      <c r="BC734" s="48"/>
      <c r="BD734" s="33"/>
      <c r="BF734" s="62"/>
      <c r="BG734" s="62"/>
      <c r="BH734" s="62"/>
      <c r="BI734" s="62"/>
      <c r="BJ734" s="62"/>
      <c r="BL734" s="62"/>
      <c r="BM734" s="62"/>
      <c r="BN734" s="62"/>
      <c r="BO734" s="62"/>
      <c r="BP734" s="62"/>
    </row>
    <row r="735" spans="44:68" x14ac:dyDescent="0.3">
      <c r="AR735" s="22"/>
      <c r="AU735" s="30"/>
      <c r="AV735" s="32"/>
      <c r="AW735" s="62"/>
      <c r="AX735" s="62"/>
      <c r="AY735" s="62"/>
      <c r="AZ735" s="33"/>
      <c r="BA735" s="62"/>
      <c r="BB735" s="48"/>
      <c r="BC735" s="48"/>
      <c r="BD735" s="33"/>
      <c r="BF735" s="62"/>
      <c r="BG735" s="62"/>
      <c r="BH735" s="62"/>
      <c r="BI735" s="62"/>
      <c r="BJ735" s="62"/>
      <c r="BL735" s="62"/>
      <c r="BM735" s="62"/>
      <c r="BN735" s="62"/>
      <c r="BO735" s="62"/>
      <c r="BP735" s="62"/>
    </row>
    <row r="736" spans="44:68" x14ac:dyDescent="0.3">
      <c r="AR736" s="22"/>
      <c r="AU736" s="30"/>
      <c r="AV736" s="32"/>
      <c r="AW736" s="62"/>
      <c r="AX736" s="62"/>
      <c r="AY736" s="62"/>
      <c r="AZ736" s="33"/>
      <c r="BA736" s="62"/>
      <c r="BB736" s="48"/>
      <c r="BC736" s="48"/>
      <c r="BD736" s="33"/>
      <c r="BF736" s="62"/>
      <c r="BG736" s="62"/>
      <c r="BH736" s="62"/>
      <c r="BI736" s="62"/>
      <c r="BJ736" s="62"/>
      <c r="BL736" s="62"/>
      <c r="BM736" s="62"/>
      <c r="BN736" s="62"/>
      <c r="BO736" s="62"/>
      <c r="BP736" s="62"/>
    </row>
    <row r="737" spans="44:68" x14ac:dyDescent="0.3">
      <c r="AR737" s="22"/>
      <c r="AU737" s="30"/>
      <c r="AV737" s="32"/>
      <c r="AW737" s="62"/>
      <c r="AX737" s="62"/>
      <c r="AY737" s="62"/>
      <c r="AZ737" s="33"/>
      <c r="BA737" s="62"/>
      <c r="BB737" s="48"/>
      <c r="BC737" s="48"/>
      <c r="BD737" s="33"/>
      <c r="BF737" s="62"/>
      <c r="BG737" s="62"/>
      <c r="BH737" s="62"/>
      <c r="BI737" s="62"/>
      <c r="BJ737" s="62"/>
      <c r="BL737" s="62"/>
      <c r="BM737" s="62"/>
      <c r="BN737" s="62"/>
      <c r="BO737" s="62"/>
      <c r="BP737" s="62"/>
    </row>
    <row r="738" spans="44:68" x14ac:dyDescent="0.3">
      <c r="AR738" s="22"/>
      <c r="AU738" s="30"/>
      <c r="AV738" s="32"/>
      <c r="AW738" s="62"/>
      <c r="AX738" s="62"/>
      <c r="AY738" s="62"/>
      <c r="AZ738" s="33"/>
      <c r="BA738" s="62"/>
      <c r="BB738" s="48"/>
      <c r="BC738" s="48"/>
      <c r="BD738" s="33"/>
      <c r="BF738" s="62"/>
      <c r="BG738" s="62"/>
      <c r="BH738" s="62"/>
      <c r="BI738" s="62"/>
      <c r="BJ738" s="62"/>
      <c r="BL738" s="62"/>
      <c r="BM738" s="62"/>
      <c r="BN738" s="62"/>
      <c r="BO738" s="62"/>
      <c r="BP738" s="62"/>
    </row>
    <row r="739" spans="44:68" x14ac:dyDescent="0.3">
      <c r="AR739" s="22"/>
      <c r="AU739" s="30"/>
      <c r="AV739" s="32"/>
      <c r="AW739" s="62"/>
      <c r="AX739" s="62"/>
      <c r="AY739" s="62"/>
      <c r="AZ739" s="33"/>
      <c r="BA739" s="62"/>
      <c r="BB739" s="48"/>
      <c r="BC739" s="48"/>
      <c r="BD739" s="33"/>
      <c r="BF739" s="62"/>
      <c r="BG739" s="62"/>
      <c r="BH739" s="62"/>
      <c r="BI739" s="62"/>
      <c r="BJ739" s="62"/>
      <c r="BL739" s="62"/>
      <c r="BM739" s="62"/>
      <c r="BN739" s="62"/>
      <c r="BO739" s="62"/>
      <c r="BP739" s="62"/>
    </row>
    <row r="740" spans="44:68" x14ac:dyDescent="0.3">
      <c r="AX740" s="48"/>
      <c r="AY740" s="62"/>
      <c r="AZ740" s="33"/>
      <c r="BA740" s="62"/>
      <c r="BB740" s="48"/>
      <c r="BC740" s="48"/>
      <c r="BD740" s="33"/>
      <c r="BJ740" s="62"/>
      <c r="BP740" s="62"/>
    </row>
    <row r="741" spans="44:68" x14ac:dyDescent="0.3">
      <c r="AT741" s="23"/>
      <c r="AY741" s="62"/>
      <c r="BA741" s="62"/>
      <c r="BF741" s="62"/>
      <c r="BG741" s="62"/>
      <c r="BI741" s="62"/>
      <c r="BJ741" s="62"/>
    </row>
    <row r="742" spans="44:68" x14ac:dyDescent="0.3">
      <c r="AY742" s="62"/>
      <c r="BA742" s="62"/>
    </row>
    <row r="743" spans="44:68" x14ac:dyDescent="0.3">
      <c r="AR743" s="23"/>
      <c r="AY743" s="62"/>
      <c r="BA743" s="62"/>
      <c r="BH743" s="62"/>
    </row>
    <row r="744" spans="44:68" x14ac:dyDescent="0.3">
      <c r="AX744" s="22"/>
      <c r="AY744" s="62"/>
      <c r="BA744" s="62"/>
    </row>
    <row r="745" spans="44:68" x14ac:dyDescent="0.3">
      <c r="AX745" s="62"/>
      <c r="BA745" s="62"/>
    </row>
    <row r="746" spans="44:68" x14ac:dyDescent="0.3">
      <c r="AX746" s="23"/>
      <c r="AY746" s="62"/>
      <c r="BA746" s="62"/>
    </row>
    <row r="747" spans="44:68" x14ac:dyDescent="0.3">
      <c r="AX747" s="23"/>
      <c r="AY747" s="62"/>
      <c r="BA747" s="62"/>
    </row>
    <row r="748" spans="44:68" x14ac:dyDescent="0.3">
      <c r="AR748" s="22"/>
      <c r="AY748" s="62"/>
      <c r="BA748" s="62"/>
      <c r="BC748" s="23"/>
    </row>
    <row r="749" spans="44:68" x14ac:dyDescent="0.3">
      <c r="AR749" s="22"/>
      <c r="AY749" s="62"/>
      <c r="BA749" s="62"/>
      <c r="BC749" s="23"/>
    </row>
    <row r="750" spans="44:68" x14ac:dyDescent="0.3">
      <c r="AR750" s="23"/>
      <c r="AY750" s="62"/>
      <c r="BA750" s="62"/>
      <c r="BC750" s="23"/>
    </row>
    <row r="751" spans="44:68" x14ac:dyDescent="0.3">
      <c r="AY751" s="62"/>
      <c r="BA751" s="62"/>
      <c r="BC751" s="22"/>
    </row>
    <row r="752" spans="44:68" x14ac:dyDescent="0.3">
      <c r="AR752" s="29"/>
      <c r="AS752" s="29"/>
      <c r="AT752" s="29"/>
      <c r="AU752" s="29"/>
      <c r="AV752" s="29"/>
      <c r="AW752" s="29"/>
      <c r="AX752" s="29"/>
      <c r="AY752" s="63"/>
      <c r="AZ752" s="29"/>
      <c r="BA752" s="63"/>
      <c r="BB752" s="29"/>
      <c r="BC752" s="29"/>
      <c r="BD752" s="29"/>
    </row>
    <row r="753" spans="44:74" x14ac:dyDescent="0.3">
      <c r="AW753" s="23"/>
      <c r="AY753" s="62"/>
      <c r="BA753" s="62"/>
    </row>
    <row r="754" spans="44:74" x14ac:dyDescent="0.3">
      <c r="AW754" s="29"/>
      <c r="AX754" s="29"/>
      <c r="AY754" s="63"/>
      <c r="AZ754" s="29"/>
      <c r="BA754" s="62"/>
      <c r="BB754" s="30"/>
      <c r="BC754" s="30"/>
    </row>
    <row r="755" spans="44:74" x14ac:dyDescent="0.3">
      <c r="AU755" s="30"/>
      <c r="AV755" s="30"/>
      <c r="AY755" s="64"/>
      <c r="AZ755" s="30"/>
      <c r="BA755" s="62"/>
      <c r="BB755" s="30"/>
      <c r="BC755" s="30"/>
      <c r="BD755" s="30"/>
      <c r="BF755" s="29"/>
      <c r="BG755" s="29"/>
      <c r="BH755" s="23"/>
      <c r="BL755" s="29"/>
      <c r="BM755" s="29"/>
      <c r="BO755" s="29"/>
      <c r="BP755" s="29"/>
      <c r="BQ755" s="23"/>
      <c r="BU755" s="29"/>
      <c r="BV755" s="29"/>
    </row>
    <row r="756" spans="44:74" x14ac:dyDescent="0.3">
      <c r="AU756" s="30"/>
      <c r="AV756" s="30"/>
      <c r="AW756" s="30"/>
      <c r="AX756" s="30"/>
      <c r="AY756" s="64"/>
      <c r="AZ756" s="30"/>
      <c r="BA756" s="64"/>
      <c r="BB756" s="30"/>
      <c r="BC756" s="30"/>
      <c r="BD756" s="30"/>
      <c r="BG756" s="30"/>
      <c r="BH756" s="30"/>
      <c r="BI756" s="30"/>
      <c r="BJ756" s="30"/>
      <c r="BK756" s="30"/>
      <c r="BL756" s="30"/>
      <c r="BP756" s="30"/>
      <c r="BQ756" s="30"/>
      <c r="BR756" s="30"/>
      <c r="BS756" s="30"/>
      <c r="BT756" s="30"/>
      <c r="BU756" s="30"/>
    </row>
    <row r="757" spans="44:74" x14ac:dyDescent="0.3">
      <c r="AR757" s="30"/>
      <c r="AT757" s="23"/>
      <c r="AU757" s="30"/>
      <c r="AV757" s="30"/>
      <c r="AW757" s="30"/>
      <c r="AX757" s="30"/>
      <c r="AY757" s="64"/>
      <c r="AZ757" s="30"/>
      <c r="BA757" s="64"/>
      <c r="BB757" s="30"/>
      <c r="BC757" s="30"/>
      <c r="BD757" s="30"/>
      <c r="BF757" s="30"/>
      <c r="BG757" s="30"/>
      <c r="BH757" s="30"/>
      <c r="BI757" s="30"/>
      <c r="BJ757" s="30"/>
      <c r="BK757" s="30"/>
      <c r="BL757" s="30"/>
      <c r="BM757" s="30"/>
      <c r="BO757" s="30"/>
      <c r="BP757" s="30"/>
      <c r="BQ757" s="30"/>
      <c r="BR757" s="30"/>
      <c r="BS757" s="30"/>
      <c r="BT757" s="30"/>
      <c r="BU757" s="30"/>
      <c r="BV757" s="30"/>
    </row>
    <row r="758" spans="44:74" x14ac:dyDescent="0.3">
      <c r="AR758" s="30"/>
      <c r="AT758" s="23"/>
      <c r="AU758" s="30"/>
      <c r="AV758" s="30"/>
      <c r="AW758" s="30"/>
      <c r="AX758" s="30"/>
      <c r="AY758" s="64"/>
      <c r="AZ758" s="30"/>
      <c r="BA758" s="64"/>
      <c r="BB758" s="30"/>
      <c r="BC758" s="30"/>
      <c r="BD758" s="30"/>
      <c r="BF758" s="30"/>
      <c r="BG758" s="30"/>
      <c r="BH758" s="30"/>
      <c r="BI758" s="30"/>
      <c r="BJ758" s="30"/>
      <c r="BK758" s="30"/>
      <c r="BL758" s="30"/>
      <c r="BM758" s="30"/>
      <c r="BO758" s="30"/>
      <c r="BP758" s="30"/>
      <c r="BQ758" s="30"/>
      <c r="BR758" s="30"/>
      <c r="BS758" s="30"/>
      <c r="BT758" s="30"/>
      <c r="BU758" s="30"/>
      <c r="BV758" s="30"/>
    </row>
    <row r="759" spans="44:74" x14ac:dyDescent="0.3">
      <c r="AR759" s="29"/>
      <c r="AS759" s="29"/>
      <c r="AT759" s="29"/>
      <c r="AU759" s="29"/>
      <c r="AV759" s="29"/>
      <c r="AW759" s="29"/>
      <c r="AX759" s="29"/>
      <c r="AY759" s="63"/>
      <c r="AZ759" s="29"/>
      <c r="BA759" s="63"/>
      <c r="BB759" s="29"/>
      <c r="BC759" s="29"/>
      <c r="BD759" s="29"/>
      <c r="BF759" s="29"/>
      <c r="BG759" s="29"/>
      <c r="BH759" s="29"/>
      <c r="BI759" s="29"/>
      <c r="BJ759" s="29"/>
      <c r="BK759" s="29"/>
      <c r="BL759" s="29"/>
      <c r="BM759" s="29"/>
      <c r="BO759" s="29"/>
      <c r="BP759" s="29"/>
      <c r="BQ759" s="29"/>
      <c r="BR759" s="29"/>
      <c r="BS759" s="29"/>
      <c r="BT759" s="29"/>
      <c r="BU759" s="29"/>
      <c r="BV759" s="29"/>
    </row>
    <row r="760" spans="44:74" x14ac:dyDescent="0.3">
      <c r="AU760" s="30"/>
      <c r="AV760" s="30"/>
      <c r="AW760" s="30"/>
      <c r="AX760" s="30"/>
      <c r="AY760" s="64"/>
      <c r="AZ760" s="30"/>
      <c r="BA760" s="64"/>
      <c r="BB760" s="30"/>
      <c r="BC760" s="30"/>
      <c r="BD760" s="30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</row>
    <row r="761" spans="44:74" x14ac:dyDescent="0.3">
      <c r="AR761" s="22"/>
      <c r="AT761" s="23"/>
      <c r="AU761" s="22"/>
      <c r="AV761" s="32"/>
      <c r="AW761" s="62"/>
      <c r="AX761" s="62"/>
      <c r="AY761" s="62"/>
      <c r="AZ761" s="44"/>
      <c r="BA761" s="62"/>
      <c r="BB761" s="62"/>
      <c r="BC761" s="62"/>
      <c r="BD761" s="44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</row>
    <row r="762" spans="44:74" x14ac:dyDescent="0.3">
      <c r="AR762" s="22"/>
      <c r="AU762" s="22"/>
      <c r="AV762" s="32"/>
      <c r="AW762" s="62"/>
      <c r="AX762" s="62"/>
      <c r="AY762" s="62"/>
      <c r="AZ762" s="44"/>
      <c r="BA762" s="62"/>
      <c r="BB762" s="62"/>
      <c r="BC762" s="62"/>
      <c r="BD762" s="44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</row>
    <row r="763" spans="44:74" x14ac:dyDescent="0.3">
      <c r="AR763" s="22"/>
      <c r="AU763" s="22"/>
      <c r="AV763" s="32"/>
      <c r="AW763" s="62"/>
      <c r="AX763" s="62"/>
      <c r="AY763" s="62"/>
      <c r="AZ763" s="44"/>
      <c r="BA763" s="62"/>
      <c r="BB763" s="62"/>
      <c r="BC763" s="62"/>
      <c r="BD763" s="44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</row>
    <row r="764" spans="44:74" x14ac:dyDescent="0.3">
      <c r="AR764" s="22"/>
      <c r="AU764" s="22"/>
      <c r="AV764" s="32"/>
      <c r="AW764" s="62"/>
      <c r="AX764" s="62"/>
      <c r="AY764" s="62"/>
      <c r="AZ764" s="44"/>
      <c r="BA764" s="62"/>
      <c r="BB764" s="62"/>
      <c r="BC764" s="62"/>
      <c r="BD764" s="44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</row>
    <row r="765" spans="44:74" x14ac:dyDescent="0.3">
      <c r="AR765" s="22"/>
      <c r="AU765" s="22"/>
      <c r="AV765" s="32"/>
      <c r="AW765" s="62"/>
      <c r="AX765" s="62"/>
      <c r="AY765" s="62"/>
      <c r="AZ765" s="44"/>
      <c r="BA765" s="62"/>
      <c r="BB765" s="62"/>
      <c r="BC765" s="62"/>
      <c r="BD765" s="44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</row>
    <row r="766" spans="44:74" x14ac:dyDescent="0.3">
      <c r="AR766" s="22"/>
      <c r="AU766" s="22"/>
      <c r="AV766" s="32"/>
      <c r="AW766" s="62"/>
      <c r="AX766" s="62"/>
      <c r="AY766" s="62"/>
      <c r="AZ766" s="44"/>
      <c r="BA766" s="62"/>
      <c r="BB766" s="62"/>
      <c r="BC766" s="62"/>
      <c r="BD766" s="44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</row>
    <row r="767" spans="44:74" x14ac:dyDescent="0.3">
      <c r="AR767" s="22"/>
      <c r="AU767" s="22"/>
      <c r="AV767" s="32"/>
      <c r="AW767" s="62"/>
      <c r="AX767" s="62"/>
      <c r="AY767" s="62"/>
      <c r="AZ767" s="44"/>
      <c r="BA767" s="62"/>
      <c r="BB767" s="62"/>
      <c r="BC767" s="62"/>
      <c r="BD767" s="44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</row>
    <row r="768" spans="44:74" x14ac:dyDescent="0.3">
      <c r="AR768" s="22"/>
      <c r="AU768" s="22"/>
      <c r="AV768" s="32"/>
      <c r="AW768" s="62"/>
      <c r="AX768" s="62"/>
      <c r="AY768" s="62"/>
      <c r="AZ768" s="44"/>
      <c r="BA768" s="62"/>
      <c r="BB768" s="62"/>
      <c r="BC768" s="62"/>
      <c r="BD768" s="44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</row>
    <row r="769" spans="44:74" x14ac:dyDescent="0.3">
      <c r="AR769" s="22"/>
      <c r="AU769" s="22"/>
      <c r="AV769" s="32"/>
      <c r="AW769" s="62"/>
      <c r="AX769" s="62"/>
      <c r="AY769" s="62"/>
      <c r="AZ769" s="44"/>
      <c r="BA769" s="62"/>
      <c r="BB769" s="62"/>
      <c r="BC769" s="62"/>
      <c r="BD769" s="44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</row>
    <row r="770" spans="44:74" x14ac:dyDescent="0.3">
      <c r="AR770" s="22"/>
      <c r="AU770" s="22"/>
      <c r="AV770" s="32"/>
      <c r="AW770" s="62"/>
      <c r="AX770" s="62"/>
      <c r="AY770" s="62"/>
      <c r="AZ770" s="44"/>
      <c r="BA770" s="62"/>
      <c r="BB770" s="62"/>
      <c r="BC770" s="62"/>
      <c r="BD770" s="44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</row>
    <row r="771" spans="44:74" x14ac:dyDescent="0.3">
      <c r="AR771" s="22"/>
      <c r="AU771" s="22"/>
      <c r="AV771" s="32"/>
      <c r="AW771" s="62"/>
      <c r="AX771" s="62"/>
      <c r="AY771" s="62"/>
      <c r="AZ771" s="44"/>
      <c r="BA771" s="62"/>
      <c r="BB771" s="62"/>
      <c r="BC771" s="62"/>
      <c r="BD771" s="44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</row>
    <row r="772" spans="44:74" x14ac:dyDescent="0.3">
      <c r="AR772" s="22"/>
      <c r="AU772" s="22"/>
      <c r="AV772" s="32"/>
      <c r="AW772" s="62"/>
      <c r="AX772" s="62"/>
      <c r="AY772" s="62"/>
      <c r="AZ772" s="44"/>
      <c r="BA772" s="62"/>
      <c r="BB772" s="62"/>
      <c r="BC772" s="62"/>
      <c r="BD772" s="44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</row>
    <row r="773" spans="44:74" x14ac:dyDescent="0.3">
      <c r="AR773" s="22"/>
      <c r="AU773" s="22"/>
      <c r="AV773" s="32"/>
      <c r="AW773" s="62"/>
      <c r="AX773" s="62"/>
      <c r="AY773" s="62"/>
      <c r="AZ773" s="44"/>
      <c r="BA773" s="62"/>
      <c r="BB773" s="62"/>
      <c r="BC773" s="62"/>
      <c r="BD773" s="44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</row>
    <row r="774" spans="44:74" x14ac:dyDescent="0.3">
      <c r="AR774" s="22"/>
      <c r="AU774" s="22"/>
      <c r="AV774" s="32"/>
      <c r="AW774" s="62"/>
      <c r="AX774" s="62"/>
      <c r="AY774" s="62"/>
      <c r="AZ774" s="44"/>
      <c r="BA774" s="62"/>
      <c r="BB774" s="62"/>
      <c r="BC774" s="62"/>
      <c r="BD774" s="44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</row>
    <row r="775" spans="44:74" x14ac:dyDescent="0.3">
      <c r="AR775" s="22"/>
      <c r="AU775" s="22"/>
      <c r="AV775" s="32"/>
      <c r="AW775" s="62"/>
      <c r="AX775" s="62"/>
      <c r="AY775" s="62"/>
      <c r="AZ775" s="44"/>
      <c r="BA775" s="62"/>
      <c r="BB775" s="62"/>
      <c r="BC775" s="62"/>
      <c r="BD775" s="44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</row>
    <row r="776" spans="44:74" x14ac:dyDescent="0.3">
      <c r="AR776" s="22"/>
      <c r="AU776" s="22"/>
      <c r="AV776" s="32"/>
      <c r="AW776" s="62"/>
      <c r="AX776" s="62"/>
      <c r="AY776" s="62"/>
      <c r="AZ776" s="44"/>
      <c r="BA776" s="62"/>
      <c r="BB776" s="62"/>
      <c r="BC776" s="62"/>
      <c r="BD776" s="44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</row>
    <row r="777" spans="44:74" x14ac:dyDescent="0.3">
      <c r="AR777" s="22"/>
      <c r="AU777" s="22"/>
      <c r="AV777" s="32"/>
      <c r="AW777" s="62"/>
      <c r="AX777" s="62"/>
      <c r="AY777" s="62"/>
      <c r="AZ777" s="44"/>
      <c r="BA777" s="62"/>
      <c r="BB777" s="62"/>
      <c r="BC777" s="62"/>
      <c r="BD777" s="44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</row>
    <row r="778" spans="44:74" x14ac:dyDescent="0.3">
      <c r="AR778" s="22"/>
      <c r="AU778" s="22"/>
      <c r="AV778" s="32"/>
      <c r="AW778" s="62"/>
      <c r="AX778" s="62"/>
      <c r="AY778" s="62"/>
      <c r="AZ778" s="44"/>
      <c r="BA778" s="62"/>
      <c r="BB778" s="62"/>
      <c r="BC778" s="62"/>
      <c r="BD778" s="44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</row>
    <row r="779" spans="44:74" x14ac:dyDescent="0.3">
      <c r="AR779" s="22"/>
      <c r="AU779" s="22"/>
      <c r="AV779" s="32"/>
      <c r="AW779" s="62"/>
      <c r="AX779" s="62"/>
      <c r="AY779" s="62"/>
      <c r="AZ779" s="44"/>
      <c r="BA779" s="62"/>
      <c r="BB779" s="62"/>
      <c r="BC779" s="62"/>
      <c r="BD779" s="44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</row>
    <row r="780" spans="44:74" x14ac:dyDescent="0.3">
      <c r="AR780" s="22"/>
      <c r="AU780" s="22"/>
      <c r="AV780" s="32"/>
      <c r="AW780" s="62"/>
      <c r="AX780" s="62"/>
      <c r="AY780" s="62"/>
      <c r="AZ780" s="44"/>
      <c r="BA780" s="62"/>
      <c r="BB780" s="62"/>
      <c r="BC780" s="62"/>
      <c r="BD780" s="44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</row>
    <row r="781" spans="44:74" x14ac:dyDescent="0.3">
      <c r="AR781" s="22"/>
      <c r="AU781" s="22"/>
      <c r="AV781" s="32"/>
      <c r="AW781" s="62"/>
      <c r="AX781" s="62"/>
      <c r="AY781" s="62"/>
      <c r="AZ781" s="44"/>
      <c r="BA781" s="62"/>
      <c r="BB781" s="62"/>
      <c r="BC781" s="62"/>
      <c r="BD781" s="44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</row>
    <row r="782" spans="44:74" x14ac:dyDescent="0.3">
      <c r="AV782" s="32"/>
      <c r="AW782" s="62"/>
      <c r="AX782" s="62"/>
      <c r="AY782" s="62"/>
      <c r="AZ782" s="44"/>
      <c r="BA782" s="62"/>
      <c r="BB782" s="62"/>
      <c r="BC782" s="62"/>
      <c r="BD782" s="44"/>
      <c r="BF782" s="29"/>
      <c r="BG782" s="29"/>
      <c r="BH782" s="23"/>
      <c r="BL782" s="29"/>
      <c r="BM782" s="29"/>
      <c r="BN782" s="62"/>
      <c r="BO782" s="29"/>
      <c r="BP782" s="29"/>
      <c r="BQ782" s="23"/>
      <c r="BU782" s="29"/>
      <c r="BV782" s="29"/>
    </row>
    <row r="783" spans="44:74" x14ac:dyDescent="0.3">
      <c r="AR783" s="22"/>
      <c r="AT783" s="23"/>
      <c r="AU783" s="30"/>
      <c r="AV783" s="32"/>
      <c r="AW783" s="62"/>
      <c r="AX783" s="62"/>
      <c r="AY783" s="62"/>
      <c r="AZ783" s="44"/>
      <c r="BA783" s="62"/>
      <c r="BB783" s="62"/>
      <c r="BC783" s="62"/>
      <c r="BD783" s="44"/>
      <c r="BF783" s="64"/>
      <c r="BG783" s="62"/>
      <c r="BH783" s="62"/>
      <c r="BI783" s="62"/>
      <c r="BJ783" s="64"/>
      <c r="BK783" s="65"/>
      <c r="BL783" s="62"/>
      <c r="BM783" s="64"/>
      <c r="BN783" s="62"/>
      <c r="BO783" s="64"/>
      <c r="BP783" s="62"/>
      <c r="BQ783" s="62"/>
      <c r="BR783" s="62"/>
      <c r="BS783" s="64"/>
      <c r="BT783" s="65"/>
      <c r="BU783" s="62"/>
      <c r="BV783" s="64"/>
    </row>
    <row r="784" spans="44:74" x14ac:dyDescent="0.3">
      <c r="AR784" s="22"/>
      <c r="AU784" s="30"/>
      <c r="AV784" s="32"/>
      <c r="AW784" s="62"/>
      <c r="AX784" s="62"/>
      <c r="AY784" s="62"/>
      <c r="AZ784" s="44"/>
      <c r="BA784" s="62"/>
      <c r="BB784" s="62"/>
      <c r="BC784" s="62"/>
      <c r="BD784" s="44"/>
      <c r="BF784" s="62"/>
      <c r="BG784" s="62"/>
      <c r="BH784" s="62"/>
      <c r="BI784" s="62"/>
      <c r="BJ784" s="62"/>
      <c r="BK784" s="65"/>
      <c r="BL784" s="62"/>
      <c r="BM784" s="62"/>
      <c r="BN784" s="62"/>
      <c r="BO784" s="62"/>
      <c r="BP784" s="62"/>
      <c r="BQ784" s="62"/>
      <c r="BR784" s="62"/>
      <c r="BS784" s="62"/>
      <c r="BT784" s="65"/>
      <c r="BU784" s="62"/>
      <c r="BV784" s="62"/>
    </row>
    <row r="785" spans="44:74" x14ac:dyDescent="0.3">
      <c r="AR785" s="22"/>
      <c r="AU785" s="30"/>
      <c r="AV785" s="32"/>
      <c r="AW785" s="62"/>
      <c r="AX785" s="62"/>
      <c r="AY785" s="62"/>
      <c r="AZ785" s="44"/>
      <c r="BA785" s="62"/>
      <c r="BB785" s="62"/>
      <c r="BC785" s="62"/>
      <c r="BD785" s="44"/>
      <c r="BF785" s="62"/>
      <c r="BG785" s="62"/>
      <c r="BH785" s="62"/>
      <c r="BI785" s="62"/>
      <c r="BJ785" s="62"/>
      <c r="BK785" s="65"/>
      <c r="BL785" s="62"/>
      <c r="BM785" s="62"/>
      <c r="BN785" s="62"/>
      <c r="BO785" s="62"/>
      <c r="BP785" s="62"/>
      <c r="BQ785" s="62"/>
      <c r="BR785" s="62"/>
      <c r="BS785" s="62"/>
      <c r="BT785" s="65"/>
      <c r="BU785" s="62"/>
      <c r="BV785" s="62"/>
    </row>
    <row r="786" spans="44:74" x14ac:dyDescent="0.3">
      <c r="AR786" s="22"/>
      <c r="AU786" s="30"/>
      <c r="AV786" s="32"/>
      <c r="AW786" s="62"/>
      <c r="AX786" s="62"/>
      <c r="AY786" s="62"/>
      <c r="AZ786" s="44"/>
      <c r="BA786" s="62"/>
      <c r="BB786" s="62"/>
      <c r="BC786" s="62"/>
      <c r="BD786" s="44"/>
      <c r="BF786" s="62"/>
      <c r="BG786" s="62"/>
      <c r="BH786" s="62"/>
      <c r="BI786" s="62"/>
      <c r="BJ786" s="62"/>
      <c r="BK786" s="65"/>
      <c r="BL786" s="62"/>
      <c r="BM786" s="62"/>
      <c r="BN786" s="62"/>
      <c r="BO786" s="62"/>
      <c r="BP786" s="62"/>
      <c r="BQ786" s="62"/>
      <c r="BR786" s="62"/>
      <c r="BS786" s="62"/>
      <c r="BT786" s="65"/>
      <c r="BU786" s="62"/>
      <c r="BV786" s="62"/>
    </row>
    <row r="787" spans="44:74" x14ac:dyDescent="0.3">
      <c r="AW787" s="62"/>
      <c r="AX787" s="62"/>
      <c r="AY787" s="62"/>
      <c r="AZ787" s="44"/>
      <c r="BA787" s="62"/>
      <c r="BB787" s="62"/>
      <c r="BC787" s="62"/>
      <c r="BD787" s="44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</row>
    <row r="788" spans="44:74" x14ac:dyDescent="0.3">
      <c r="AT788" s="23"/>
    </row>
    <row r="789" spans="44:74" x14ac:dyDescent="0.3">
      <c r="AT789" s="23"/>
      <c r="AY789" s="62"/>
      <c r="AZ789" s="44"/>
      <c r="BA789" s="62"/>
      <c r="BB789" s="62"/>
      <c r="BC789" s="62"/>
      <c r="BD789" s="44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</row>
    <row r="790" spans="44:74" x14ac:dyDescent="0.3">
      <c r="AR790" s="23"/>
      <c r="AY790" s="62"/>
      <c r="BA790" s="62"/>
    </row>
    <row r="791" spans="44:74" x14ac:dyDescent="0.3">
      <c r="AX791" s="22"/>
      <c r="AY791" s="62"/>
      <c r="BA791" s="62"/>
      <c r="BN791" s="62"/>
      <c r="BO791" s="62"/>
      <c r="BP791" s="62"/>
      <c r="BQ791" s="62"/>
      <c r="BR791" s="62"/>
      <c r="BS791" s="62"/>
      <c r="BT791" s="62"/>
      <c r="BU791" s="62"/>
    </row>
    <row r="792" spans="44:74" x14ac:dyDescent="0.3">
      <c r="AX792" s="62"/>
      <c r="AY792" s="62"/>
      <c r="BA792" s="62"/>
      <c r="BN792" s="62"/>
      <c r="BO792" s="62"/>
      <c r="BP792" s="62"/>
      <c r="BQ792" s="62"/>
      <c r="BR792" s="62"/>
      <c r="BS792" s="62"/>
      <c r="BT792" s="62"/>
      <c r="BU792" s="62"/>
    </row>
    <row r="793" spans="44:74" x14ac:dyDescent="0.3">
      <c r="AX793" s="23"/>
      <c r="AY793" s="62"/>
      <c r="BA793" s="62"/>
      <c r="BN793" s="62"/>
      <c r="BO793" s="62"/>
      <c r="BP793" s="62"/>
      <c r="BQ793" s="62"/>
      <c r="BR793" s="62"/>
      <c r="BS793" s="62"/>
      <c r="BT793" s="62"/>
      <c r="BU793" s="62"/>
    </row>
    <row r="794" spans="44:74" x14ac:dyDescent="0.3">
      <c r="AX794" s="23"/>
      <c r="AY794" s="62"/>
      <c r="BA794" s="62"/>
      <c r="BN794" s="62"/>
      <c r="BO794" s="62"/>
      <c r="BP794" s="62"/>
      <c r="BQ794" s="62"/>
      <c r="BR794" s="62"/>
      <c r="BS794" s="62"/>
      <c r="BT794" s="62"/>
      <c r="BU794" s="62"/>
    </row>
    <row r="795" spans="44:74" x14ac:dyDescent="0.3">
      <c r="AR795" s="22"/>
      <c r="AY795" s="62"/>
      <c r="BA795" s="62"/>
      <c r="BC795" s="23"/>
      <c r="BN795" s="62"/>
      <c r="BO795" s="62"/>
      <c r="BP795" s="62"/>
      <c r="BQ795" s="62"/>
      <c r="BR795" s="62"/>
      <c r="BS795" s="62"/>
      <c r="BT795" s="62"/>
      <c r="BU795" s="62"/>
    </row>
    <row r="796" spans="44:74" x14ac:dyDescent="0.3">
      <c r="AR796" s="22"/>
      <c r="AY796" s="62"/>
      <c r="BA796" s="62"/>
      <c r="BC796" s="23"/>
      <c r="BN796" s="62"/>
      <c r="BO796" s="62"/>
      <c r="BP796" s="62"/>
      <c r="BQ796" s="62"/>
      <c r="BR796" s="62"/>
      <c r="BS796" s="62"/>
      <c r="BT796" s="62"/>
      <c r="BU796" s="62"/>
    </row>
    <row r="797" spans="44:74" x14ac:dyDescent="0.3">
      <c r="AR797" s="23"/>
      <c r="AY797" s="62"/>
      <c r="BA797" s="62"/>
      <c r="BC797" s="23"/>
      <c r="BN797" s="62"/>
      <c r="BO797" s="62"/>
      <c r="BP797" s="62"/>
      <c r="BQ797" s="62"/>
      <c r="BR797" s="62"/>
      <c r="BS797" s="62"/>
      <c r="BT797" s="62"/>
      <c r="BU797" s="62"/>
    </row>
    <row r="798" spans="44:74" x14ac:dyDescent="0.3">
      <c r="AY798" s="62"/>
      <c r="BA798" s="62"/>
      <c r="BC798" s="22"/>
      <c r="BN798" s="62"/>
      <c r="BO798" s="62"/>
      <c r="BP798" s="62"/>
      <c r="BQ798" s="62"/>
      <c r="BR798" s="62"/>
      <c r="BS798" s="62"/>
      <c r="BT798" s="62"/>
      <c r="BU798" s="62"/>
    </row>
    <row r="799" spans="44:74" x14ac:dyDescent="0.3">
      <c r="AR799" s="29"/>
      <c r="AS799" s="29"/>
      <c r="AT799" s="29"/>
      <c r="AU799" s="29"/>
      <c r="AV799" s="29"/>
      <c r="AW799" s="29"/>
      <c r="AX799" s="29"/>
      <c r="AY799" s="63"/>
      <c r="AZ799" s="29"/>
      <c r="BA799" s="63"/>
      <c r="BB799" s="29"/>
      <c r="BC799" s="29"/>
      <c r="BD799" s="29"/>
      <c r="BN799" s="62"/>
      <c r="BO799" s="62"/>
      <c r="BP799" s="62"/>
      <c r="BQ799" s="62"/>
      <c r="BR799" s="62"/>
      <c r="BS799" s="62"/>
      <c r="BT799" s="62"/>
      <c r="BU799" s="62"/>
    </row>
    <row r="800" spans="44:74" x14ac:dyDescent="0.3">
      <c r="AW800" s="23"/>
      <c r="AY800" s="62"/>
      <c r="BA800" s="62"/>
      <c r="BN800" s="62"/>
      <c r="BO800" s="62"/>
      <c r="BP800" s="62"/>
      <c r="BQ800" s="62"/>
      <c r="BR800" s="62"/>
      <c r="BS800" s="62"/>
      <c r="BT800" s="62"/>
      <c r="BU800" s="62"/>
    </row>
    <row r="801" spans="44:73" x14ac:dyDescent="0.3">
      <c r="AW801" s="29"/>
      <c r="AX801" s="29"/>
      <c r="AY801" s="63"/>
      <c r="AZ801" s="29"/>
      <c r="BA801" s="62"/>
      <c r="BB801" s="30"/>
      <c r="BC801" s="30"/>
      <c r="BN801" s="62"/>
      <c r="BO801" s="62"/>
      <c r="BP801" s="62"/>
      <c r="BQ801" s="62"/>
      <c r="BR801" s="62"/>
      <c r="BS801" s="62"/>
      <c r="BT801" s="62"/>
      <c r="BU801" s="62"/>
    </row>
    <row r="802" spans="44:73" x14ac:dyDescent="0.3">
      <c r="AU802" s="30"/>
      <c r="AV802" s="30"/>
      <c r="AY802" s="64"/>
      <c r="AZ802" s="30"/>
      <c r="BA802" s="62"/>
      <c r="BB802" s="30"/>
      <c r="BC802" s="30"/>
      <c r="BD802" s="30"/>
      <c r="BF802" s="29"/>
      <c r="BG802" s="23"/>
      <c r="BJ802" s="29"/>
      <c r="BL802" s="29"/>
      <c r="BM802" s="23"/>
      <c r="BP802" s="29"/>
    </row>
    <row r="803" spans="44:73" x14ac:dyDescent="0.3">
      <c r="AU803" s="30"/>
      <c r="AV803" s="30"/>
      <c r="AW803" s="30"/>
      <c r="AX803" s="30"/>
      <c r="AY803" s="64"/>
      <c r="AZ803" s="30"/>
      <c r="BA803" s="64"/>
      <c r="BB803" s="30"/>
      <c r="BC803" s="30"/>
      <c r="BD803" s="30"/>
      <c r="BG803" s="30"/>
      <c r="BH803" s="30"/>
      <c r="BM803" s="30"/>
      <c r="BN803" s="30"/>
    </row>
    <row r="804" spans="44:73" x14ac:dyDescent="0.3">
      <c r="AR804" s="30"/>
      <c r="AT804" s="23"/>
      <c r="AU804" s="30"/>
      <c r="AV804" s="30"/>
      <c r="AW804" s="30"/>
      <c r="AX804" s="30"/>
      <c r="AY804" s="64"/>
      <c r="AZ804" s="30"/>
      <c r="BA804" s="64"/>
      <c r="BB804" s="30"/>
      <c r="BC804" s="30"/>
      <c r="BD804" s="30"/>
      <c r="BF804" s="30"/>
      <c r="BG804" s="30"/>
      <c r="BH804" s="30"/>
      <c r="BI804" s="30"/>
      <c r="BJ804" s="30"/>
      <c r="BL804" s="30"/>
      <c r="BM804" s="30"/>
      <c r="BN804" s="30"/>
      <c r="BO804" s="30"/>
      <c r="BP804" s="30"/>
    </row>
    <row r="805" spans="44:73" x14ac:dyDescent="0.3">
      <c r="AR805" s="30"/>
      <c r="AT805" s="23"/>
      <c r="AU805" s="30"/>
      <c r="AV805" s="30"/>
      <c r="AW805" s="30"/>
      <c r="AX805" s="30"/>
      <c r="AY805" s="64"/>
      <c r="AZ805" s="30"/>
      <c r="BA805" s="64"/>
      <c r="BB805" s="30"/>
      <c r="BC805" s="30"/>
      <c r="BD805" s="30"/>
      <c r="BF805" s="30"/>
      <c r="BG805" s="30"/>
      <c r="BH805" s="30"/>
      <c r="BI805" s="30"/>
      <c r="BJ805" s="30"/>
      <c r="BL805" s="30"/>
      <c r="BM805" s="30"/>
      <c r="BN805" s="30"/>
      <c r="BO805" s="30"/>
      <c r="BP805" s="30"/>
    </row>
    <row r="806" spans="44:73" x14ac:dyDescent="0.3">
      <c r="AR806" s="29"/>
      <c r="AS806" s="29"/>
      <c r="AT806" s="29"/>
      <c r="AU806" s="29"/>
      <c r="AV806" s="29"/>
      <c r="AW806" s="29"/>
      <c r="AX806" s="29"/>
      <c r="AY806" s="63"/>
      <c r="AZ806" s="29"/>
      <c r="BA806" s="63"/>
      <c r="BB806" s="29"/>
      <c r="BC806" s="29"/>
      <c r="BD806" s="29"/>
      <c r="BF806" s="29"/>
      <c r="BG806" s="29"/>
      <c r="BH806" s="29"/>
      <c r="BI806" s="29"/>
      <c r="BJ806" s="29"/>
      <c r="BL806" s="29"/>
      <c r="BM806" s="29"/>
      <c r="BN806" s="29"/>
      <c r="BO806" s="29"/>
      <c r="BP806" s="29"/>
    </row>
    <row r="807" spans="44:73" x14ac:dyDescent="0.3">
      <c r="AU807" s="30"/>
      <c r="AV807" s="30"/>
      <c r="AW807" s="30"/>
      <c r="AX807" s="30"/>
      <c r="AY807" s="64"/>
      <c r="AZ807" s="30"/>
      <c r="BA807" s="64"/>
      <c r="BB807" s="30"/>
      <c r="BC807" s="30"/>
      <c r="BD807" s="30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</row>
    <row r="808" spans="44:73" x14ac:dyDescent="0.3">
      <c r="AR808" s="22"/>
      <c r="AS808" s="23"/>
      <c r="AU808" s="32"/>
      <c r="AV808" s="32"/>
      <c r="AW808" s="62"/>
      <c r="AX808" s="62"/>
      <c r="AY808" s="62"/>
      <c r="AZ808" s="44"/>
      <c r="BA808" s="62"/>
      <c r="BB808" s="62"/>
      <c r="BC808" s="62"/>
      <c r="BD808" s="44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</row>
    <row r="809" spans="44:73" x14ac:dyDescent="0.3">
      <c r="AR809" s="22"/>
      <c r="AU809" s="32"/>
      <c r="AV809" s="32"/>
      <c r="AW809" s="62"/>
      <c r="AX809" s="62"/>
      <c r="AY809" s="62"/>
      <c r="AZ809" s="44"/>
      <c r="BA809" s="62"/>
      <c r="BB809" s="62"/>
      <c r="BC809" s="62"/>
      <c r="BD809" s="44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</row>
    <row r="810" spans="44:73" x14ac:dyDescent="0.3">
      <c r="AR810" s="22"/>
      <c r="AU810" s="32"/>
      <c r="AV810" s="32"/>
      <c r="AW810" s="62"/>
      <c r="AX810" s="62"/>
      <c r="AY810" s="62"/>
      <c r="AZ810" s="44"/>
      <c r="BA810" s="62"/>
      <c r="BB810" s="62"/>
      <c r="BC810" s="62"/>
      <c r="BD810" s="44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</row>
    <row r="811" spans="44:73" x14ac:dyDescent="0.3">
      <c r="AR811" s="22"/>
      <c r="AU811" s="32"/>
      <c r="AV811" s="32"/>
      <c r="AW811" s="62"/>
      <c r="AX811" s="62"/>
      <c r="AY811" s="62"/>
      <c r="AZ811" s="44"/>
      <c r="BA811" s="62"/>
      <c r="BB811" s="62"/>
      <c r="BC811" s="62"/>
      <c r="BD811" s="44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</row>
    <row r="812" spans="44:73" x14ac:dyDescent="0.3">
      <c r="AR812" s="22"/>
      <c r="AU812" s="32"/>
      <c r="AV812" s="32"/>
      <c r="AW812" s="62"/>
      <c r="AX812" s="62"/>
      <c r="AY812" s="62"/>
      <c r="AZ812" s="44"/>
      <c r="BA812" s="62"/>
      <c r="BB812" s="62"/>
      <c r="BC812" s="62"/>
      <c r="BD812" s="44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</row>
    <row r="813" spans="44:73" x14ac:dyDescent="0.3">
      <c r="AR813" s="22"/>
      <c r="AU813" s="3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</row>
    <row r="814" spans="44:73" x14ac:dyDescent="0.3">
      <c r="AR814" s="22"/>
      <c r="AU814" s="3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</row>
    <row r="815" spans="44:73" x14ac:dyDescent="0.3">
      <c r="AR815" s="22"/>
      <c r="AU815" s="3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</row>
    <row r="816" spans="44:73" x14ac:dyDescent="0.3">
      <c r="AR816" s="22"/>
      <c r="AU816" s="3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</row>
    <row r="817" spans="44:70" x14ac:dyDescent="0.3">
      <c r="AR817" s="22"/>
      <c r="AU817" s="3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</row>
    <row r="818" spans="44:70" x14ac:dyDescent="0.3">
      <c r="AR818" s="22"/>
      <c r="AU818" s="3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</row>
    <row r="819" spans="44:70" x14ac:dyDescent="0.3">
      <c r="AR819" s="22"/>
      <c r="AU819" s="3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</row>
    <row r="820" spans="44:70" x14ac:dyDescent="0.3">
      <c r="AR820" s="22"/>
      <c r="AU820" s="3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</row>
    <row r="821" spans="44:70" x14ac:dyDescent="0.3">
      <c r="AR821" s="22"/>
      <c r="AU821" s="3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</row>
    <row r="822" spans="44:70" x14ac:dyDescent="0.3">
      <c r="AR822" s="22"/>
      <c r="AU822" s="3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</row>
    <row r="823" spans="44:70" x14ac:dyDescent="0.3">
      <c r="AR823" s="22"/>
      <c r="AU823" s="3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</row>
    <row r="824" spans="44:70" x14ac:dyDescent="0.3">
      <c r="AR824" s="22"/>
      <c r="AU824" s="3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</row>
    <row r="825" spans="44:70" x14ac:dyDescent="0.3">
      <c r="AR825" s="22"/>
      <c r="AU825" s="3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</row>
    <row r="826" spans="44:70" x14ac:dyDescent="0.3">
      <c r="AY826" s="62"/>
      <c r="BA826" s="62"/>
      <c r="BB826" s="62"/>
      <c r="BC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</row>
    <row r="827" spans="44:70" x14ac:dyDescent="0.3">
      <c r="AR827" s="22"/>
      <c r="AS827" s="23"/>
      <c r="AU827" s="32"/>
      <c r="AV827" s="32"/>
      <c r="AW827" s="62"/>
      <c r="AX827" s="62"/>
      <c r="AY827" s="62"/>
      <c r="AZ827" s="44"/>
      <c r="BA827" s="62"/>
      <c r="BB827" s="62"/>
      <c r="BC827" s="62"/>
      <c r="BD827" s="44"/>
    </row>
    <row r="828" spans="44:70" x14ac:dyDescent="0.3">
      <c r="AR828" s="22"/>
      <c r="AU828" s="32"/>
      <c r="AV828" s="32"/>
      <c r="AW828" s="62"/>
      <c r="AX828" s="62"/>
      <c r="AY828" s="62"/>
      <c r="AZ828" s="44"/>
      <c r="BA828" s="62"/>
      <c r="BB828" s="62"/>
      <c r="BC828" s="62"/>
      <c r="BD828" s="44"/>
    </row>
    <row r="829" spans="44:70" x14ac:dyDescent="0.3">
      <c r="AR829" s="22"/>
      <c r="AU829" s="32"/>
      <c r="AV829" s="32"/>
      <c r="AW829" s="62"/>
      <c r="AX829" s="62"/>
      <c r="AY829" s="62"/>
      <c r="AZ829" s="44"/>
      <c r="BA829" s="62"/>
      <c r="BB829" s="62"/>
      <c r="BC829" s="62"/>
      <c r="BD829" s="44"/>
    </row>
    <row r="830" spans="44:70" x14ac:dyDescent="0.3">
      <c r="AR830" s="22"/>
      <c r="AU830" s="32"/>
      <c r="AV830" s="32"/>
      <c r="AW830" s="62"/>
      <c r="AX830" s="62"/>
      <c r="AY830" s="62"/>
      <c r="AZ830" s="44"/>
      <c r="BA830" s="62"/>
      <c r="BB830" s="62"/>
      <c r="BC830" s="62"/>
      <c r="BD830" s="44"/>
    </row>
    <row r="831" spans="44:70" x14ac:dyDescent="0.3">
      <c r="AR831" s="22"/>
      <c r="AU831" s="32"/>
      <c r="AV831" s="32"/>
      <c r="AW831" s="62"/>
      <c r="AX831" s="62"/>
      <c r="AY831" s="62"/>
      <c r="AZ831" s="44"/>
      <c r="BA831" s="62"/>
      <c r="BB831" s="62"/>
      <c r="BC831" s="62"/>
      <c r="BD831" s="44"/>
    </row>
    <row r="832" spans="44:70" x14ac:dyDescent="0.3">
      <c r="AR832" s="22"/>
      <c r="AU832" s="32"/>
      <c r="AV832" s="32"/>
      <c r="AW832" s="62"/>
      <c r="AX832" s="62"/>
      <c r="AY832" s="62"/>
      <c r="AZ832" s="44"/>
      <c r="BA832" s="62"/>
      <c r="BB832" s="62"/>
      <c r="BC832" s="62"/>
      <c r="BD832" s="44"/>
    </row>
    <row r="833" spans="44:56" x14ac:dyDescent="0.3">
      <c r="AR833" s="22"/>
      <c r="AU833" s="32"/>
      <c r="AV833" s="32"/>
      <c r="AW833" s="62"/>
      <c r="AX833" s="62"/>
      <c r="AY833" s="62"/>
      <c r="AZ833" s="44"/>
      <c r="BA833" s="62"/>
      <c r="BB833" s="62"/>
      <c r="BC833" s="62"/>
      <c r="BD833" s="44"/>
    </row>
    <row r="834" spans="44:56" x14ac:dyDescent="0.3">
      <c r="AR834" s="22"/>
      <c r="AU834" s="32"/>
      <c r="AV834" s="32"/>
      <c r="AW834" s="62"/>
      <c r="AX834" s="62"/>
      <c r="AY834" s="62"/>
      <c r="AZ834" s="44"/>
      <c r="BA834" s="62"/>
      <c r="BB834" s="62"/>
      <c r="BC834" s="62"/>
      <c r="BD834" s="44"/>
    </row>
    <row r="835" spans="44:56" x14ac:dyDescent="0.3">
      <c r="AR835" s="22"/>
      <c r="AU835" s="32"/>
      <c r="AV835" s="32"/>
      <c r="AW835" s="62"/>
      <c r="AX835" s="62"/>
      <c r="AY835" s="62"/>
      <c r="AZ835" s="44"/>
      <c r="BA835" s="62"/>
      <c r="BB835" s="62"/>
      <c r="BC835" s="62"/>
      <c r="BD835" s="44"/>
    </row>
    <row r="836" spans="44:56" x14ac:dyDescent="0.3">
      <c r="AR836" s="22"/>
      <c r="AU836" s="32"/>
      <c r="AV836" s="32"/>
      <c r="AW836" s="62"/>
      <c r="AX836" s="62"/>
      <c r="AY836" s="62"/>
      <c r="AZ836" s="44"/>
      <c r="BA836" s="62"/>
      <c r="BB836" s="62"/>
      <c r="BC836" s="62"/>
      <c r="BD836" s="44"/>
    </row>
    <row r="837" spans="44:56" x14ac:dyDescent="0.3">
      <c r="AR837" s="22"/>
      <c r="AU837" s="32"/>
      <c r="AV837" s="32"/>
      <c r="AW837" s="62"/>
      <c r="AX837" s="62"/>
      <c r="AY837" s="62"/>
      <c r="AZ837" s="44"/>
      <c r="BA837" s="62"/>
      <c r="BB837" s="62"/>
      <c r="BC837" s="62"/>
      <c r="BD837" s="44"/>
    </row>
    <row r="838" spans="44:56" x14ac:dyDescent="0.3">
      <c r="AR838" s="22"/>
      <c r="AU838" s="32"/>
      <c r="AV838" s="32"/>
      <c r="AW838" s="62"/>
      <c r="AX838" s="62"/>
      <c r="AY838" s="62"/>
      <c r="AZ838" s="44"/>
      <c r="BA838" s="62"/>
      <c r="BB838" s="62"/>
      <c r="BC838" s="62"/>
      <c r="BD838" s="44"/>
    </row>
    <row r="839" spans="44:56" x14ac:dyDescent="0.3">
      <c r="AR839" s="22"/>
      <c r="AU839" s="32"/>
      <c r="AV839" s="32"/>
      <c r="AW839" s="62"/>
      <c r="AX839" s="62"/>
      <c r="AY839" s="62"/>
      <c r="AZ839" s="44"/>
      <c r="BA839" s="62"/>
      <c r="BB839" s="62"/>
      <c r="BC839" s="62"/>
      <c r="BD839" s="44"/>
    </row>
    <row r="840" spans="44:56" x14ac:dyDescent="0.3">
      <c r="AR840" s="22"/>
      <c r="AU840" s="32"/>
      <c r="AV840" s="32"/>
      <c r="AW840" s="62"/>
      <c r="AX840" s="62"/>
      <c r="AY840" s="62"/>
      <c r="AZ840" s="44"/>
      <c r="BA840" s="62"/>
      <c r="BB840" s="62"/>
      <c r="BC840" s="62"/>
      <c r="BD840" s="44"/>
    </row>
    <row r="841" spans="44:56" x14ac:dyDescent="0.3">
      <c r="AR841" s="22"/>
      <c r="AU841" s="32"/>
      <c r="AV841" s="32"/>
      <c r="AW841" s="62"/>
      <c r="AX841" s="62"/>
      <c r="AY841" s="62"/>
      <c r="AZ841" s="44"/>
      <c r="BA841" s="62"/>
      <c r="BB841" s="62"/>
      <c r="BC841" s="62"/>
      <c r="BD841" s="44"/>
    </row>
    <row r="842" spans="44:56" x14ac:dyDescent="0.3">
      <c r="AR842" s="22"/>
      <c r="AU842" s="32"/>
      <c r="AV842" s="32"/>
      <c r="AW842" s="62"/>
      <c r="AX842" s="62"/>
      <c r="AY842" s="62"/>
      <c r="AZ842" s="44"/>
      <c r="BA842" s="62"/>
      <c r="BB842" s="62"/>
      <c r="BC842" s="62"/>
      <c r="BD842" s="44"/>
    </row>
    <row r="843" spans="44:56" x14ac:dyDescent="0.3">
      <c r="AR843" s="22"/>
      <c r="AU843" s="32"/>
      <c r="AV843" s="32"/>
      <c r="AW843" s="62"/>
      <c r="AX843" s="62"/>
      <c r="AY843" s="62"/>
      <c r="AZ843" s="44"/>
      <c r="BA843" s="62"/>
      <c r="BB843" s="62"/>
      <c r="BC843" s="62"/>
      <c r="BD843" s="44"/>
    </row>
    <row r="844" spans="44:56" x14ac:dyDescent="0.3">
      <c r="AR844" s="22"/>
      <c r="AU844" s="32"/>
      <c r="AV844" s="32"/>
      <c r="AW844" s="62"/>
      <c r="AX844" s="62"/>
      <c r="AY844" s="62"/>
      <c r="AZ844" s="44"/>
      <c r="BA844" s="62"/>
      <c r="BB844" s="62"/>
      <c r="BC844" s="62"/>
      <c r="BD844" s="44"/>
    </row>
    <row r="845" spans="44:56" x14ac:dyDescent="0.3">
      <c r="BA845" s="62"/>
    </row>
    <row r="846" spans="44:56" x14ac:dyDescent="0.3">
      <c r="AT846" s="23"/>
      <c r="BA846" s="62"/>
    </row>
    <row r="847" spans="44:56" x14ac:dyDescent="0.3">
      <c r="AT847" s="23"/>
    </row>
    <row r="848" spans="44:56" x14ac:dyDescent="0.3">
      <c r="AT848" s="23"/>
      <c r="BA848" s="62"/>
    </row>
    <row r="849" spans="44:56" x14ac:dyDescent="0.3">
      <c r="AR849" s="23"/>
      <c r="AY849" s="62"/>
      <c r="BA849" s="62"/>
    </row>
    <row r="850" spans="44:56" x14ac:dyDescent="0.3">
      <c r="AX850" s="22"/>
      <c r="AY850" s="62"/>
      <c r="BA850" s="62"/>
    </row>
    <row r="851" spans="44:56" x14ac:dyDescent="0.3">
      <c r="AX851" s="62"/>
      <c r="AY851" s="62"/>
      <c r="BA851" s="62"/>
    </row>
    <row r="852" spans="44:56" x14ac:dyDescent="0.3">
      <c r="AX852" s="23"/>
      <c r="AY852" s="62"/>
      <c r="BA852" s="62"/>
    </row>
    <row r="853" spans="44:56" x14ac:dyDescent="0.3">
      <c r="AX853" s="23"/>
      <c r="AY853" s="62"/>
      <c r="BA853" s="62"/>
    </row>
    <row r="854" spans="44:56" x14ac:dyDescent="0.3">
      <c r="AR854" s="22"/>
      <c r="AY854" s="62"/>
      <c r="BA854" s="62"/>
      <c r="BC854" s="23"/>
    </row>
    <row r="855" spans="44:56" x14ac:dyDescent="0.3">
      <c r="AR855" s="22"/>
      <c r="AY855" s="62"/>
      <c r="BA855" s="62"/>
      <c r="BC855" s="23"/>
    </row>
    <row r="856" spans="44:56" x14ac:dyDescent="0.3">
      <c r="AR856" s="23"/>
      <c r="AY856" s="62"/>
      <c r="BA856" s="62"/>
      <c r="BC856" s="23"/>
    </row>
    <row r="857" spans="44:56" x14ac:dyDescent="0.3">
      <c r="AY857" s="62"/>
      <c r="BA857" s="62"/>
      <c r="BC857" s="22"/>
    </row>
    <row r="858" spans="44:56" x14ac:dyDescent="0.3">
      <c r="AR858" s="29"/>
      <c r="AS858" s="29"/>
      <c r="AT858" s="29"/>
      <c r="AU858" s="29"/>
      <c r="AV858" s="29"/>
      <c r="AW858" s="29"/>
      <c r="AX858" s="29"/>
      <c r="AY858" s="63"/>
      <c r="AZ858" s="29"/>
      <c r="BA858" s="63"/>
      <c r="BB858" s="29"/>
      <c r="BC858" s="29"/>
      <c r="BD858" s="29"/>
    </row>
    <row r="859" spans="44:56" x14ac:dyDescent="0.3">
      <c r="AW859" s="23"/>
      <c r="AY859" s="62"/>
      <c r="BA859" s="62"/>
    </row>
    <row r="860" spans="44:56" x14ac:dyDescent="0.3">
      <c r="AW860" s="29"/>
      <c r="AX860" s="29"/>
      <c r="AY860" s="63"/>
      <c r="AZ860" s="29"/>
      <c r="BA860" s="62"/>
      <c r="BB860" s="30"/>
      <c r="BC860" s="30"/>
    </row>
    <row r="861" spans="44:56" x14ac:dyDescent="0.3">
      <c r="AU861" s="30"/>
      <c r="AV861" s="30"/>
      <c r="AY861" s="64"/>
      <c r="AZ861" s="30"/>
      <c r="BA861" s="62"/>
      <c r="BB861" s="30"/>
      <c r="BC861" s="30"/>
      <c r="BD861" s="30"/>
    </row>
    <row r="862" spans="44:56" x14ac:dyDescent="0.3">
      <c r="AU862" s="30"/>
      <c r="AV862" s="30"/>
      <c r="AW862" s="30"/>
      <c r="AX862" s="30"/>
      <c r="AY862" s="64"/>
      <c r="AZ862" s="30"/>
      <c r="BA862" s="64"/>
      <c r="BB862" s="30"/>
      <c r="BC862" s="30"/>
      <c r="BD862" s="30"/>
    </row>
    <row r="863" spans="44:56" x14ac:dyDescent="0.3">
      <c r="AR863" s="30"/>
      <c r="AT863" s="23"/>
      <c r="AU863" s="30"/>
      <c r="AV863" s="30"/>
      <c r="AW863" s="30"/>
      <c r="AX863" s="30"/>
      <c r="AY863" s="64"/>
      <c r="AZ863" s="30"/>
      <c r="BA863" s="64"/>
      <c r="BB863" s="30"/>
      <c r="BC863" s="30"/>
      <c r="BD863" s="30"/>
    </row>
    <row r="864" spans="44:56" x14ac:dyDescent="0.3">
      <c r="AR864" s="30"/>
      <c r="AT864" s="23"/>
      <c r="AU864" s="30"/>
      <c r="AV864" s="30"/>
      <c r="AW864" s="30"/>
      <c r="AX864" s="30"/>
      <c r="AY864" s="64"/>
      <c r="AZ864" s="30"/>
      <c r="BA864" s="64"/>
      <c r="BB864" s="30"/>
      <c r="BC864" s="30"/>
      <c r="BD864" s="30"/>
    </row>
    <row r="865" spans="44:56" x14ac:dyDescent="0.3">
      <c r="AR865" s="29"/>
      <c r="AS865" s="29"/>
      <c r="AT865" s="29"/>
      <c r="AU865" s="29"/>
      <c r="AV865" s="29"/>
      <c r="AW865" s="29"/>
      <c r="AX865" s="29"/>
      <c r="AY865" s="63"/>
      <c r="AZ865" s="29"/>
      <c r="BA865" s="63"/>
      <c r="BB865" s="29"/>
      <c r="BC865" s="29"/>
      <c r="BD865" s="29"/>
    </row>
    <row r="866" spans="44:56" x14ac:dyDescent="0.3">
      <c r="AU866" s="30"/>
      <c r="AV866" s="30"/>
      <c r="AW866" s="30"/>
      <c r="AX866" s="30"/>
      <c r="AY866" s="64"/>
      <c r="AZ866" s="30"/>
      <c r="BA866" s="64"/>
      <c r="BB866" s="30"/>
      <c r="BC866" s="30"/>
      <c r="BD866" s="30"/>
    </row>
    <row r="867" spans="44:56" x14ac:dyDescent="0.3">
      <c r="AR867" s="22"/>
      <c r="AS867" s="23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</row>
    <row r="868" spans="44:56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</row>
    <row r="869" spans="44:56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</row>
    <row r="870" spans="44:56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</row>
    <row r="871" spans="44:56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</row>
    <row r="872" spans="44:56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</row>
    <row r="873" spans="44:56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</row>
    <row r="874" spans="44:56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</row>
    <row r="875" spans="44:56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56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56" x14ac:dyDescent="0.3">
      <c r="AU877" s="32"/>
      <c r="AV877" s="32"/>
      <c r="BA877" s="62"/>
    </row>
    <row r="878" spans="44:56" x14ac:dyDescent="0.3">
      <c r="AR878" s="22"/>
      <c r="AS878" s="23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56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56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9" spans="44:56" x14ac:dyDescent="0.3">
      <c r="AT889" s="23"/>
    </row>
    <row r="890" spans="44:56" x14ac:dyDescent="0.3">
      <c r="AT890" s="23"/>
    </row>
    <row r="891" spans="44:56" x14ac:dyDescent="0.3">
      <c r="AT891" s="23"/>
    </row>
    <row r="892" spans="44:56" x14ac:dyDescent="0.3">
      <c r="AR892" s="23"/>
    </row>
    <row r="913" spans="51:70" x14ac:dyDescent="0.3">
      <c r="AY913" s="62"/>
      <c r="BA913" s="62"/>
      <c r="BB913" s="62"/>
      <c r="BC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</row>
    <row r="914" spans="51:70" x14ac:dyDescent="0.3">
      <c r="AY914" s="62"/>
      <c r="BA914" s="62"/>
      <c r="BB914" s="62"/>
      <c r="BC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</row>
    <row r="915" spans="51:70" x14ac:dyDescent="0.3">
      <c r="AY915" s="62"/>
      <c r="BA915" s="62"/>
      <c r="BB915" s="62"/>
      <c r="BC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</row>
    <row r="916" spans="51:70" x14ac:dyDescent="0.3">
      <c r="AY916" s="62"/>
      <c r="BA916" s="62"/>
      <c r="BB916" s="62"/>
      <c r="BC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</row>
    <row r="917" spans="51:70" x14ac:dyDescent="0.3">
      <c r="AY917" s="62"/>
      <c r="BA917" s="62"/>
      <c r="BB917" s="62"/>
      <c r="BC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</row>
    <row r="918" spans="51:70" x14ac:dyDescent="0.3">
      <c r="AY918" s="62"/>
      <c r="BA918" s="62"/>
      <c r="BB918" s="62"/>
      <c r="BC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</row>
    <row r="919" spans="51:70" x14ac:dyDescent="0.3">
      <c r="AY919" s="62"/>
      <c r="BA919" s="62"/>
      <c r="BB919" s="62"/>
      <c r="BC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</row>
    <row r="920" spans="51:70" x14ac:dyDescent="0.3">
      <c r="AY920" s="62"/>
      <c r="BA920" s="62"/>
      <c r="BB920" s="62"/>
      <c r="BC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</row>
    <row r="921" spans="51:70" x14ac:dyDescent="0.3">
      <c r="AY921" s="62"/>
      <c r="BA921" s="62"/>
      <c r="BB921" s="62"/>
      <c r="BC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</row>
    <row r="922" spans="51:70" x14ac:dyDescent="0.3">
      <c r="AY922" s="62"/>
      <c r="BA922" s="62"/>
      <c r="BB922" s="62"/>
      <c r="BC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</row>
    <row r="923" spans="51:70" x14ac:dyDescent="0.3">
      <c r="AY923" s="62"/>
      <c r="BA923" s="62"/>
      <c r="BB923" s="62"/>
      <c r="BC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</row>
    <row r="924" spans="51:70" x14ac:dyDescent="0.3">
      <c r="AY924" s="62"/>
      <c r="BA924" s="62"/>
      <c r="BB924" s="62"/>
      <c r="BC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</row>
    <row r="925" spans="51:70" x14ac:dyDescent="0.3">
      <c r="AY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</row>
    <row r="926" spans="51:70" x14ac:dyDescent="0.3">
      <c r="AY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</row>
    <row r="927" spans="51:70" x14ac:dyDescent="0.3">
      <c r="AY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</row>
    <row r="928" spans="51:70" x14ac:dyDescent="0.3">
      <c r="AY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</row>
    <row r="929" spans="51:70" x14ac:dyDescent="0.3">
      <c r="AY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</row>
    <row r="930" spans="51:70" x14ac:dyDescent="0.3">
      <c r="AY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</row>
    <row r="931" spans="51:70" x14ac:dyDescent="0.3">
      <c r="AY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</row>
    <row r="932" spans="51:70" x14ac:dyDescent="0.3">
      <c r="AY932" s="62"/>
    </row>
    <row r="933" spans="51:70" x14ac:dyDescent="0.3">
      <c r="AY933" s="62"/>
    </row>
    <row r="947" spans="1:27" x14ac:dyDescent="0.3">
      <c r="A947" s="23"/>
    </row>
    <row r="950" spans="1:27" x14ac:dyDescent="0.3">
      <c r="X950" s="23"/>
    </row>
    <row r="951" spans="1:27" x14ac:dyDescent="0.3">
      <c r="A951" s="23"/>
      <c r="H951" s="23"/>
      <c r="I951" s="23"/>
    </row>
    <row r="952" spans="1:27" x14ac:dyDescent="0.3">
      <c r="A952" s="23"/>
      <c r="V952" s="30"/>
      <c r="Z952" s="30"/>
      <c r="AA952" s="30"/>
    </row>
    <row r="953" spans="1:27" x14ac:dyDescent="0.3">
      <c r="A953" s="23"/>
      <c r="V953" s="29"/>
      <c r="Z953" s="29"/>
      <c r="AA953" s="29"/>
    </row>
    <row r="954" spans="1:27" x14ac:dyDescent="0.3">
      <c r="A954" s="23"/>
      <c r="U954" s="23"/>
      <c r="Z954" s="30"/>
      <c r="AA954" s="30"/>
    </row>
    <row r="955" spans="1:27" x14ac:dyDescent="0.3">
      <c r="A955" s="23"/>
    </row>
    <row r="956" spans="1:27" x14ac:dyDescent="0.3">
      <c r="A956" s="23"/>
      <c r="U956" s="23"/>
      <c r="Z956" s="30"/>
      <c r="AA956" s="30"/>
    </row>
    <row r="957" spans="1:27" x14ac:dyDescent="0.3">
      <c r="A957" s="23"/>
    </row>
    <row r="958" spans="1:27" x14ac:dyDescent="0.3">
      <c r="A958" s="23"/>
      <c r="U958" s="23"/>
      <c r="V958" s="210"/>
      <c r="Z958" s="30"/>
      <c r="AA958" s="30"/>
    </row>
    <row r="959" spans="1:27" x14ac:dyDescent="0.3">
      <c r="A959" s="23"/>
    </row>
    <row r="960" spans="1:27" x14ac:dyDescent="0.3">
      <c r="A960" s="23"/>
      <c r="U960" s="23"/>
      <c r="Z960" s="30"/>
      <c r="AA960" s="30"/>
    </row>
    <row r="961" spans="1:27" x14ac:dyDescent="0.3">
      <c r="A961" s="23"/>
    </row>
    <row r="962" spans="1:27" x14ac:dyDescent="0.3">
      <c r="A962" s="23"/>
      <c r="U962" s="23"/>
      <c r="Z962" s="30"/>
      <c r="AA962" s="30"/>
    </row>
    <row r="963" spans="1:27" x14ac:dyDescent="0.3">
      <c r="A963" s="23"/>
    </row>
    <row r="964" spans="1:27" x14ac:dyDescent="0.3">
      <c r="A964" s="23"/>
    </row>
    <row r="965" spans="1:27" x14ac:dyDescent="0.3">
      <c r="A965" s="23"/>
    </row>
    <row r="966" spans="1:27" x14ac:dyDescent="0.3">
      <c r="A966" s="23"/>
    </row>
    <row r="967" spans="1:27" x14ac:dyDescent="0.3">
      <c r="A967" s="23"/>
    </row>
    <row r="968" spans="1:27" x14ac:dyDescent="0.3">
      <c r="A968" s="23"/>
    </row>
    <row r="969" spans="1:27" x14ac:dyDescent="0.3">
      <c r="A969" s="23"/>
    </row>
    <row r="970" spans="1:27" x14ac:dyDescent="0.3">
      <c r="A970" s="23"/>
    </row>
    <row r="971" spans="1:27" x14ac:dyDescent="0.3">
      <c r="A971" s="23"/>
    </row>
    <row r="972" spans="1:27" x14ac:dyDescent="0.3">
      <c r="A972" s="23"/>
    </row>
    <row r="973" spans="1:27" x14ac:dyDescent="0.3">
      <c r="A973" s="23"/>
      <c r="H973" s="23"/>
      <c r="I973" s="23"/>
    </row>
    <row r="976" spans="1:27" x14ac:dyDescent="0.3">
      <c r="A976" s="23"/>
    </row>
    <row r="979" spans="1:1" x14ac:dyDescent="0.3">
      <c r="A979" s="23"/>
    </row>
    <row r="982" spans="1:1" x14ac:dyDescent="0.3">
      <c r="A982" s="23"/>
    </row>
    <row r="983" spans="1:1" x14ac:dyDescent="0.3">
      <c r="A983" s="23"/>
    </row>
    <row r="984" spans="1:1" x14ac:dyDescent="0.3">
      <c r="A984" s="23"/>
    </row>
    <row r="985" spans="1:1" x14ac:dyDescent="0.3">
      <c r="A985" s="23"/>
    </row>
    <row r="986" spans="1:1" x14ac:dyDescent="0.3">
      <c r="A986" s="23"/>
    </row>
    <row r="987" spans="1:1" x14ac:dyDescent="0.3">
      <c r="A987" s="23"/>
    </row>
    <row r="988" spans="1:1" x14ac:dyDescent="0.3">
      <c r="A988" s="23"/>
    </row>
    <row r="989" spans="1:1" x14ac:dyDescent="0.3">
      <c r="A989" s="23"/>
    </row>
    <row r="990" spans="1:1" x14ac:dyDescent="0.3">
      <c r="A990" s="23"/>
    </row>
    <row r="991" spans="1:1" x14ac:dyDescent="0.3">
      <c r="A991" s="23"/>
    </row>
    <row r="992" spans="1:1" x14ac:dyDescent="0.3">
      <c r="A992" s="23"/>
    </row>
    <row r="993" spans="1:1" x14ac:dyDescent="0.3">
      <c r="A993" s="23"/>
    </row>
    <row r="994" spans="1:1" x14ac:dyDescent="0.3">
      <c r="A994" s="23"/>
    </row>
    <row r="995" spans="1:1" x14ac:dyDescent="0.3">
      <c r="A995" s="23"/>
    </row>
    <row r="996" spans="1:1" x14ac:dyDescent="0.3">
      <c r="A996" s="23"/>
    </row>
    <row r="997" spans="1:1" x14ac:dyDescent="0.3">
      <c r="A997" s="23"/>
    </row>
    <row r="998" spans="1:1" x14ac:dyDescent="0.3">
      <c r="A998" s="23"/>
    </row>
    <row r="999" spans="1:1" x14ac:dyDescent="0.3">
      <c r="A999" s="23"/>
    </row>
    <row r="1000" spans="1:1" x14ac:dyDescent="0.3">
      <c r="A1000" s="23"/>
    </row>
    <row r="1001" spans="1:1" x14ac:dyDescent="0.3">
      <c r="A1001" s="23"/>
    </row>
    <row r="1002" spans="1:1" x14ac:dyDescent="0.3">
      <c r="A1002" s="23"/>
    </row>
    <row r="1003" spans="1:1" x14ac:dyDescent="0.3">
      <c r="A1003" s="23"/>
    </row>
    <row r="1004" spans="1:1" x14ac:dyDescent="0.3">
      <c r="A1004" s="23"/>
    </row>
    <row r="1005" spans="1:1" x14ac:dyDescent="0.3">
      <c r="A1005" s="23"/>
    </row>
    <row r="1006" spans="1:1" x14ac:dyDescent="0.3">
      <c r="A1006" s="23"/>
    </row>
    <row r="1007" spans="1:1" x14ac:dyDescent="0.3">
      <c r="A1007" s="23"/>
    </row>
    <row r="1008" spans="1:1" x14ac:dyDescent="0.3">
      <c r="A1008" s="23"/>
    </row>
    <row r="1009" spans="1:1" x14ac:dyDescent="0.3">
      <c r="A1009" s="23"/>
    </row>
    <row r="1010" spans="1:1" x14ac:dyDescent="0.3">
      <c r="A1010" s="23"/>
    </row>
    <row r="1011" spans="1:1" x14ac:dyDescent="0.3">
      <c r="A1011" s="23"/>
    </row>
    <row r="1012" spans="1:1" x14ac:dyDescent="0.3">
      <c r="A1012" s="23"/>
    </row>
    <row r="1013" spans="1:1" x14ac:dyDescent="0.3">
      <c r="A1013" s="23"/>
    </row>
    <row r="1014" spans="1:1" x14ac:dyDescent="0.3">
      <c r="A1014" s="23"/>
    </row>
    <row r="1015" spans="1:1" x14ac:dyDescent="0.3">
      <c r="A1015" s="23"/>
    </row>
    <row r="1016" spans="1:1" x14ac:dyDescent="0.3">
      <c r="A1016" s="23"/>
    </row>
    <row r="1021" spans="1:1" x14ac:dyDescent="0.3">
      <c r="A1021" s="23"/>
    </row>
    <row r="1022" spans="1:1" x14ac:dyDescent="0.3">
      <c r="A1022" s="23"/>
    </row>
    <row r="1025" spans="1:1" x14ac:dyDescent="0.3">
      <c r="A1025" s="23"/>
    </row>
    <row r="1027" spans="1:1" x14ac:dyDescent="0.3">
      <c r="A1027" s="23"/>
    </row>
    <row r="1029" spans="1:1" x14ac:dyDescent="0.3">
      <c r="A1029" s="23"/>
    </row>
    <row r="1031" spans="1:1" x14ac:dyDescent="0.3">
      <c r="A1031" s="23"/>
    </row>
    <row r="1034" spans="1:1" x14ac:dyDescent="0.3">
      <c r="A1034" s="23"/>
    </row>
    <row r="1035" spans="1:1" x14ac:dyDescent="0.3">
      <c r="A1035" s="23"/>
    </row>
    <row r="1036" spans="1:1" x14ac:dyDescent="0.3">
      <c r="A1036" s="23"/>
    </row>
    <row r="1037" spans="1:1" x14ac:dyDescent="0.3">
      <c r="A1037" s="23"/>
    </row>
    <row r="1038" spans="1:1" x14ac:dyDescent="0.3">
      <c r="A1038" s="23"/>
    </row>
    <row r="1039" spans="1:1" x14ac:dyDescent="0.3">
      <c r="A1039" s="23"/>
    </row>
    <row r="1040" spans="1:1" x14ac:dyDescent="0.3">
      <c r="A1040" s="23"/>
    </row>
    <row r="1041" spans="1:1" x14ac:dyDescent="0.3">
      <c r="A1041" s="23"/>
    </row>
  </sheetData>
  <customSheetViews>
    <customSheetView guid="{B7519FF1-05A6-4A79-8E47-A233872313D4}" scale="75" fitToPage="1">
      <selection activeCell="H25" sqref="H25"/>
      <rowBreaks count="16" manualBreakCount="16">
        <brk id="128" max="65535" man="1"/>
        <brk id="171" max="65535" man="1"/>
        <brk id="213" max="65535" man="1"/>
        <brk id="252" max="65535" man="1"/>
        <brk id="308" max="65535" man="1"/>
        <brk id="354" max="65535" man="1"/>
        <brk id="436" max="65535" man="1"/>
        <brk id="474" max="65535" man="1"/>
        <brk id="511" max="65535" man="1"/>
        <brk id="559" max="65535" man="1"/>
        <brk id="620" max="65535" man="1"/>
        <brk id="679" max="65535" man="1"/>
        <brk id="786" max="65535" man="1"/>
        <brk id="833" max="65535" man="1"/>
        <brk id="892" max="65535" man="1"/>
        <brk id="935" max="65535" man="1"/>
      </rowBreaks>
      <colBreaks count="1" manualBreakCount="1">
        <brk id="43" max="1048575" man="1"/>
      </colBreaks>
      <pageMargins left="0.5" right="0.5" top="1" bottom="0" header="0" footer="0"/>
      <pageSetup scale="70" orientation="landscape" r:id="rId1"/>
      <headerFooter alignWithMargins="0"/>
    </customSheetView>
  </customSheetViews>
  <phoneticPr fontId="0" type="noConversion"/>
  <pageMargins left="1" right="0.75" top="1" bottom="1" header="0.5" footer="0.5"/>
  <pageSetup scale="52" orientation="landscape" r:id="rId2"/>
  <headerFooter alignWithMargins="0">
    <oddHeader>&amp;R&amp;"Times New Roman,Bold"&amp;10KyPSC Case No. 2021-00190
STAFF-DR-01-049 Attachment 2
Page &amp;P of &amp;N</oddHeader>
  </headerFooter>
  <rowBreaks count="16" manualBreakCount="16">
    <brk id="128" max="65535" man="1"/>
    <brk id="171" max="65535" man="1"/>
    <brk id="213" max="65535" man="1"/>
    <brk id="252" max="65535" man="1"/>
    <brk id="308" max="65535" man="1"/>
    <brk id="354" max="65535" man="1"/>
    <brk id="436" max="65535" man="1"/>
    <brk id="474" max="65535" man="1"/>
    <brk id="511" max="65535" man="1"/>
    <brk id="559" max="65535" man="1"/>
    <brk id="620" max="65535" man="1"/>
    <brk id="679" max="65535" man="1"/>
    <brk id="786" max="65535" man="1"/>
    <brk id="833" max="65535" man="1"/>
    <brk id="892" max="65535" man="1"/>
    <brk id="935" max="65535" man="1"/>
  </rowBreaks>
  <colBreaks count="1" manualBreakCount="1">
    <brk id="43" max="1048575" man="1"/>
  </colBreaks>
  <ignoredErrors>
    <ignoredError sqref="X59 Z62:Z63 F27:H27 J30 AB67 X64:Z6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0"/>
  <dimension ref="A1:BW1093"/>
  <sheetViews>
    <sheetView tabSelected="1" view="pageBreakPreview" zoomScale="60" zoomScaleNormal="75" workbookViewId="0">
      <selection activeCell="P13" sqref="P13"/>
    </sheetView>
  </sheetViews>
  <sheetFormatPr defaultColWidth="9.75" defaultRowHeight="15.6" x14ac:dyDescent="0.3"/>
  <cols>
    <col min="1" max="1" width="5" style="21" customWidth="1"/>
    <col min="2" max="2" width="0.4140625" style="21" customWidth="1"/>
    <col min="3" max="3" width="6.75" style="21" customWidth="1"/>
    <col min="4" max="4" width="30.4140625" style="21" customWidth="1"/>
    <col min="5" max="5" width="0.4140625" style="21" customWidth="1"/>
    <col min="6" max="6" width="11.08203125" style="21" customWidth="1"/>
    <col min="7" max="7" width="0.6640625" style="21" customWidth="1"/>
    <col min="8" max="8" width="14.58203125" style="21" customWidth="1"/>
    <col min="9" max="9" width="0.6640625" style="21" customWidth="1"/>
    <col min="10" max="10" width="10.9140625" style="21" customWidth="1"/>
    <col min="11" max="11" width="3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4.75" style="21" customWidth="1"/>
    <col min="17" max="17" width="0.58203125" style="21" customWidth="1"/>
    <col min="18" max="18" width="15.41406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6.33203125" style="21" customWidth="1"/>
    <col min="23" max="23" width="31.33203125" style="21" customWidth="1"/>
    <col min="24" max="24" width="10.9140625" style="21" customWidth="1"/>
    <col min="25" max="25" width="0.6640625" style="21" customWidth="1"/>
    <col min="26" max="26" width="13.33203125" style="21" customWidth="1"/>
    <col min="27" max="27" width="0.6640625" style="21" customWidth="1"/>
    <col min="28" max="28" width="10" style="21" customWidth="1"/>
    <col min="29" max="29" width="3.08203125" style="21" customWidth="1"/>
    <col min="30" max="30" width="12.9140625" style="21" customWidth="1"/>
    <col min="31" max="31" width="0.75" style="21" customWidth="1"/>
    <col min="32" max="32" width="13.6640625" style="21" customWidth="1"/>
    <col min="33" max="33" width="0.6640625" style="21" customWidth="1"/>
    <col min="34" max="34" width="14.33203125" style="21" customWidth="1"/>
    <col min="35" max="35" width="0.75" style="21" customWidth="1"/>
    <col min="36" max="36" width="14.58203125" style="21" customWidth="1"/>
    <col min="37" max="37" width="0.58203125" style="21" customWidth="1"/>
    <col min="38" max="38" width="12.08203125" style="21" customWidth="1"/>
    <col min="39" max="39" width="0.58203125" style="21" customWidth="1"/>
    <col min="40" max="40" width="13.25" style="21" customWidth="1"/>
    <col min="41" max="41" width="0.6640625" style="21" customWidth="1"/>
    <col min="42" max="42" width="11.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39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Y1" s="22"/>
    </row>
    <row r="2" spans="1:39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Y2" s="22"/>
    </row>
    <row r="3" spans="1:39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X3" s="23"/>
    </row>
    <row r="4" spans="1:39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Y4" s="22"/>
    </row>
    <row r="5" spans="1:39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Z5" s="23"/>
      <c r="AA5" s="23"/>
    </row>
    <row r="6" spans="1:39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J6" s="23"/>
      <c r="AK6" s="23"/>
    </row>
    <row r="7" spans="1:39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174</v>
      </c>
      <c r="AJ7" s="23"/>
      <c r="AK7" s="23"/>
    </row>
    <row r="8" spans="1:39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J8" s="23"/>
      <c r="AK8" s="23"/>
    </row>
    <row r="9" spans="1:39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J9" s="23"/>
      <c r="AK9" s="23"/>
    </row>
    <row r="10" spans="1:39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Z10" s="23"/>
      <c r="AA10" s="23"/>
      <c r="AJ10" s="22"/>
      <c r="AK10" s="22"/>
    </row>
    <row r="11" spans="1:39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Z12" s="30"/>
      <c r="AA12" s="30"/>
      <c r="AB12" s="30"/>
      <c r="AC12" s="30"/>
      <c r="AD12" s="30"/>
      <c r="AE12" s="30"/>
      <c r="AF12" s="30"/>
      <c r="AG12" s="30"/>
      <c r="AJ12" s="30"/>
      <c r="AK12" s="30"/>
      <c r="AL12" s="30"/>
      <c r="AM12" s="30"/>
    </row>
    <row r="13" spans="1:39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Y13" s="30"/>
      <c r="Z13" s="30"/>
      <c r="AA13" s="30"/>
      <c r="AB13" s="30"/>
      <c r="AC13" s="30"/>
      <c r="AD13" s="30"/>
      <c r="AE13" s="30"/>
      <c r="AF13" s="30"/>
      <c r="AG13" s="30"/>
      <c r="AJ13" s="30"/>
      <c r="AK13" s="30"/>
      <c r="AL13" s="30"/>
      <c r="AM13" s="30"/>
    </row>
    <row r="14" spans="1:39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50</v>
      </c>
      <c r="G15" s="25"/>
      <c r="H15" s="31" t="s">
        <v>23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176" t="s">
        <v>6</v>
      </c>
      <c r="Q15" s="176"/>
      <c r="R15" s="188" t="s">
        <v>25</v>
      </c>
      <c r="T15" s="30"/>
      <c r="U15" s="30"/>
      <c r="V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43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43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43" x14ac:dyDescent="0.3">
      <c r="A19" s="24">
        <v>1</v>
      </c>
      <c r="B19" s="25"/>
      <c r="C19" s="177" t="s">
        <v>156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3" x14ac:dyDescent="0.3">
      <c r="A20" s="24">
        <v>2</v>
      </c>
      <c r="B20" s="25"/>
      <c r="C20" s="196" t="s">
        <v>164</v>
      </c>
      <c r="E20" s="26"/>
      <c r="F20" s="25"/>
      <c r="G20" s="25"/>
      <c r="H20" s="37"/>
      <c r="I20" s="37"/>
      <c r="J20" s="46"/>
      <c r="K20" s="46"/>
      <c r="L20" s="37"/>
      <c r="M20" s="37"/>
      <c r="N20" s="39"/>
      <c r="O20" s="39"/>
      <c r="P20" s="37"/>
      <c r="Q20" s="37"/>
      <c r="R20" s="37"/>
      <c r="S20" s="32"/>
      <c r="T20" s="23"/>
      <c r="V20" s="32"/>
      <c r="X20" s="32"/>
      <c r="Y20" s="198"/>
      <c r="Z20" s="32"/>
      <c r="AA20" s="32"/>
      <c r="AB20" s="33"/>
      <c r="AC20" s="33"/>
      <c r="AD20" s="32"/>
      <c r="AE20" s="32"/>
      <c r="AF20" s="33"/>
      <c r="AG20" s="33"/>
      <c r="AH20" s="32"/>
      <c r="AI20" s="32"/>
      <c r="AJ20" s="32"/>
      <c r="AK20" s="32"/>
      <c r="AL20" s="33"/>
      <c r="AM20" s="33"/>
    </row>
    <row r="21" spans="1:43" x14ac:dyDescent="0.3">
      <c r="A21" s="25"/>
      <c r="B21" s="25"/>
      <c r="C21" s="25"/>
      <c r="D21" s="25"/>
      <c r="E21" s="25"/>
      <c r="F21" s="25"/>
      <c r="G21" s="25"/>
      <c r="H21" s="37"/>
      <c r="I21" s="37"/>
      <c r="J21" s="46"/>
      <c r="K21" s="46"/>
      <c r="L21" s="37"/>
      <c r="M21" s="37"/>
      <c r="N21" s="39"/>
      <c r="O21" s="39"/>
      <c r="P21" s="37"/>
      <c r="Q21" s="37"/>
      <c r="R21" s="37"/>
      <c r="S21" s="32"/>
      <c r="V21" s="34"/>
      <c r="X21" s="34"/>
      <c r="Y21" s="198"/>
      <c r="Z21" s="34"/>
      <c r="AA21" s="34"/>
      <c r="AB21" s="34"/>
      <c r="AC21" s="34"/>
      <c r="AD21" s="34"/>
      <c r="AE21" s="34"/>
      <c r="AH21" s="34"/>
      <c r="AI21" s="34"/>
      <c r="AJ21" s="34"/>
      <c r="AK21" s="34"/>
      <c r="AL21" s="33"/>
      <c r="AM21" s="33"/>
    </row>
    <row r="22" spans="1:43" x14ac:dyDescent="0.3">
      <c r="A22" s="24">
        <v>3</v>
      </c>
      <c r="B22" s="25"/>
      <c r="C22" s="26" t="s">
        <v>204</v>
      </c>
      <c r="D22" s="25"/>
      <c r="E22" s="25"/>
      <c r="F22" s="72">
        <v>264</v>
      </c>
      <c r="G22" s="25"/>
      <c r="H22" s="72"/>
      <c r="I22" s="72"/>
      <c r="J22" s="218">
        <f>PRO_IT_CUST</f>
        <v>430</v>
      </c>
      <c r="K22" s="71"/>
      <c r="L22" s="37">
        <f>ROUND((F22*J22),0)</f>
        <v>113520</v>
      </c>
      <c r="M22" s="72"/>
      <c r="N22" s="39">
        <f>ROUND((L22/L$34)*100,1)</f>
        <v>5.5</v>
      </c>
      <c r="O22" s="39"/>
      <c r="P22" s="37"/>
      <c r="Q22" s="37"/>
      <c r="R22" s="37">
        <f>L22+P22</f>
        <v>113520</v>
      </c>
      <c r="S22" s="32"/>
      <c r="T22" s="23"/>
      <c r="Y22" s="198"/>
      <c r="Z22" s="32"/>
      <c r="AA22" s="32"/>
      <c r="AB22" s="33"/>
      <c r="AC22" s="33"/>
      <c r="AD22" s="32"/>
      <c r="AE22" s="32"/>
      <c r="AF22" s="33"/>
      <c r="AG22" s="33"/>
      <c r="AH22" s="32"/>
      <c r="AI22" s="32"/>
      <c r="AJ22" s="32"/>
      <c r="AK22" s="32"/>
      <c r="AL22" s="33"/>
      <c r="AM22" s="33"/>
    </row>
    <row r="23" spans="1:43" x14ac:dyDescent="0.3">
      <c r="A23" s="24"/>
      <c r="B23" s="25"/>
      <c r="C23" s="26"/>
      <c r="D23" s="25"/>
      <c r="E23" s="25"/>
      <c r="F23" s="72"/>
      <c r="G23" s="25"/>
      <c r="H23" s="72"/>
      <c r="I23" s="72"/>
      <c r="J23" s="35"/>
      <c r="K23" s="71"/>
      <c r="L23" s="37"/>
      <c r="M23" s="72"/>
      <c r="N23" s="39"/>
      <c r="O23" s="39"/>
      <c r="P23" s="37"/>
      <c r="Q23" s="37"/>
      <c r="R23" s="37"/>
      <c r="S23" s="32"/>
      <c r="T23" s="23"/>
      <c r="Y23" s="198"/>
      <c r="Z23" s="32"/>
      <c r="AA23" s="32"/>
      <c r="AB23" s="33"/>
      <c r="AC23" s="33"/>
      <c r="AD23" s="32"/>
      <c r="AE23" s="32"/>
      <c r="AF23" s="33"/>
      <c r="AG23" s="33"/>
      <c r="AH23" s="32"/>
      <c r="AI23" s="32"/>
      <c r="AJ23" s="32"/>
      <c r="AK23" s="32"/>
      <c r="AL23" s="33"/>
      <c r="AM23" s="33"/>
    </row>
    <row r="24" spans="1:43" x14ac:dyDescent="0.3">
      <c r="A24" s="24">
        <v>4</v>
      </c>
      <c r="B24" s="25"/>
      <c r="C24" s="177" t="s">
        <v>124</v>
      </c>
      <c r="D24" s="25"/>
      <c r="E24" s="25"/>
      <c r="F24" s="72"/>
      <c r="G24" s="25"/>
      <c r="H24" s="214"/>
      <c r="I24" s="214"/>
      <c r="J24" s="214"/>
      <c r="K24" s="214"/>
      <c r="L24" s="25"/>
      <c r="M24" s="25"/>
      <c r="N24" s="25"/>
      <c r="O24" s="25"/>
      <c r="P24" s="25"/>
      <c r="Q24" s="25"/>
      <c r="R24" s="37"/>
      <c r="S24" s="32"/>
      <c r="T24" s="23"/>
      <c r="Z24" s="32"/>
      <c r="AA24" s="32"/>
      <c r="AB24" s="32"/>
      <c r="AC24" s="32"/>
      <c r="AH24" s="32"/>
      <c r="AI24" s="32"/>
      <c r="AJ24" s="32"/>
      <c r="AK24" s="32"/>
    </row>
    <row r="25" spans="1:43" x14ac:dyDescent="0.3">
      <c r="A25" s="24">
        <v>5</v>
      </c>
      <c r="B25" s="25"/>
      <c r="C25" s="26" t="s">
        <v>86</v>
      </c>
      <c r="D25" s="25"/>
      <c r="E25" s="25"/>
      <c r="F25" s="45"/>
      <c r="G25" s="25"/>
      <c r="H25" s="45">
        <v>1672200</v>
      </c>
      <c r="I25" s="72"/>
      <c r="J25" s="174">
        <f>PRO_IT_COM</f>
        <v>1.1573</v>
      </c>
      <c r="K25" s="219"/>
      <c r="L25" s="36">
        <f>ROUND((H25*(J25)),0)</f>
        <v>1935237</v>
      </c>
      <c r="M25" s="37"/>
      <c r="N25" s="38">
        <f>ROUND((L25/L$34)*100,1)</f>
        <v>94.5</v>
      </c>
      <c r="O25" s="39"/>
      <c r="P25" s="36"/>
      <c r="Q25" s="37"/>
      <c r="R25" s="36">
        <f>L25+P25</f>
        <v>1935237</v>
      </c>
      <c r="Z25" s="23"/>
      <c r="AA25" s="23"/>
    </row>
    <row r="26" spans="1:43" x14ac:dyDescent="0.3">
      <c r="A26" s="24"/>
      <c r="B26" s="25"/>
      <c r="C26" s="26"/>
      <c r="D26" s="25"/>
      <c r="E26" s="25"/>
      <c r="F26" s="72"/>
      <c r="G26" s="25"/>
      <c r="H26" s="72"/>
      <c r="I26" s="72"/>
      <c r="J26" s="174"/>
      <c r="K26" s="174"/>
      <c r="L26" s="37"/>
      <c r="M26" s="37"/>
      <c r="N26" s="69"/>
      <c r="O26" s="39"/>
      <c r="P26" s="37"/>
      <c r="Q26" s="37"/>
      <c r="R26" s="37"/>
      <c r="Z26" s="23"/>
      <c r="AA26" s="23"/>
    </row>
    <row r="27" spans="1:43" x14ac:dyDescent="0.3">
      <c r="A27" s="24">
        <v>6</v>
      </c>
      <c r="B27" s="25"/>
      <c r="C27" s="196" t="s">
        <v>238</v>
      </c>
      <c r="D27" s="25"/>
      <c r="E27" s="25"/>
      <c r="F27" s="45">
        <f>F22</f>
        <v>264</v>
      </c>
      <c r="G27" s="25"/>
      <c r="H27" s="45">
        <f>H25</f>
        <v>1672200</v>
      </c>
      <c r="I27" s="72"/>
      <c r="J27" s="174"/>
      <c r="K27" s="174"/>
      <c r="L27" s="36">
        <f>SUM(L22:L25)</f>
        <v>2048757</v>
      </c>
      <c r="M27" s="37"/>
      <c r="N27" s="38">
        <f>SUM(N22:N25)</f>
        <v>100</v>
      </c>
      <c r="O27" s="39"/>
      <c r="P27" s="45"/>
      <c r="Q27" s="72"/>
      <c r="R27" s="36">
        <f>SUM(R22:R25)</f>
        <v>2048757</v>
      </c>
      <c r="Z27" s="23"/>
      <c r="AA27" s="23"/>
    </row>
    <row r="28" spans="1:43" x14ac:dyDescent="0.3">
      <c r="A28" s="24"/>
      <c r="B28" s="25"/>
      <c r="C28" s="26"/>
      <c r="D28" s="25"/>
      <c r="E28" s="25"/>
      <c r="F28" s="72"/>
      <c r="G28" s="25"/>
      <c r="H28" s="72"/>
      <c r="I28" s="72"/>
      <c r="J28" s="174"/>
      <c r="K28" s="174"/>
      <c r="L28" s="37"/>
      <c r="M28" s="37"/>
      <c r="N28" s="69"/>
      <c r="O28" s="39"/>
      <c r="P28" s="37"/>
      <c r="Q28" s="37"/>
      <c r="R28" s="37"/>
      <c r="Z28" s="23"/>
      <c r="AA28" s="23"/>
    </row>
    <row r="29" spans="1:43" x14ac:dyDescent="0.3">
      <c r="A29" s="24">
        <v>7</v>
      </c>
      <c r="B29" s="25"/>
      <c r="C29" s="177" t="s">
        <v>206</v>
      </c>
      <c r="D29" s="25"/>
      <c r="E29" s="25"/>
      <c r="F29" s="72"/>
      <c r="G29" s="25"/>
      <c r="H29" s="195"/>
      <c r="I29" s="72"/>
      <c r="J29" s="174"/>
      <c r="K29" s="174"/>
      <c r="L29" s="37"/>
      <c r="M29" s="37"/>
      <c r="N29" s="69"/>
      <c r="O29" s="39"/>
      <c r="P29" s="72"/>
      <c r="Q29" s="72"/>
      <c r="R29" s="37"/>
      <c r="Z29" s="23"/>
      <c r="AA29" s="23"/>
    </row>
    <row r="30" spans="1:43" x14ac:dyDescent="0.3">
      <c r="A30" s="24">
        <v>8</v>
      </c>
      <c r="B30" s="25"/>
      <c r="C30" s="149" t="s">
        <v>306</v>
      </c>
      <c r="D30" s="25"/>
      <c r="E30" s="25"/>
      <c r="F30" s="72"/>
      <c r="G30" s="25"/>
      <c r="H30" s="195"/>
      <c r="I30" s="72"/>
      <c r="J30" s="43">
        <v>0</v>
      </c>
      <c r="K30" s="174"/>
      <c r="L30" s="36">
        <f>ROUND(H25*J30,0)</f>
        <v>0</v>
      </c>
      <c r="M30" s="37"/>
      <c r="N30" s="131">
        <f>ROUND((L30/L$34)*100,1)</f>
        <v>0</v>
      </c>
      <c r="O30" s="39"/>
      <c r="P30" s="45"/>
      <c r="Q30" s="72"/>
      <c r="R30" s="36">
        <f>L30+P30</f>
        <v>0</v>
      </c>
      <c r="Z30" s="23"/>
      <c r="AA30" s="23"/>
    </row>
    <row r="31" spans="1:43" x14ac:dyDescent="0.3">
      <c r="A31" s="24"/>
      <c r="B31" s="25"/>
      <c r="C31" s="26"/>
      <c r="D31" s="25"/>
      <c r="E31" s="25"/>
      <c r="F31" s="72"/>
      <c r="G31" s="25"/>
      <c r="H31" s="195"/>
      <c r="I31" s="72"/>
      <c r="J31" s="174"/>
      <c r="K31" s="174"/>
      <c r="L31" s="37"/>
      <c r="M31" s="37"/>
      <c r="N31" s="69"/>
      <c r="O31" s="39"/>
      <c r="P31" s="72"/>
      <c r="Q31" s="72"/>
      <c r="R31" s="37"/>
      <c r="Z31" s="23"/>
      <c r="AA31" s="23"/>
    </row>
    <row r="32" spans="1:43" x14ac:dyDescent="0.3">
      <c r="A32" s="24">
        <v>9</v>
      </c>
      <c r="B32" s="25"/>
      <c r="C32" s="215" t="s">
        <v>209</v>
      </c>
      <c r="D32" s="25"/>
      <c r="E32" s="25"/>
      <c r="F32" s="72"/>
      <c r="G32" s="25"/>
      <c r="H32" s="195"/>
      <c r="I32" s="72"/>
      <c r="J32" s="174"/>
      <c r="K32" s="174"/>
      <c r="L32" s="36">
        <f>SUM(L29:L30)</f>
        <v>0</v>
      </c>
      <c r="M32" s="37"/>
      <c r="N32" s="131">
        <f>ROUND((L32/L$34)*100,1)</f>
        <v>0</v>
      </c>
      <c r="O32" s="39"/>
      <c r="P32" s="45"/>
      <c r="Q32" s="72"/>
      <c r="R32" s="36">
        <f>SUM(R29:R30)</f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x14ac:dyDescent="0.3">
      <c r="A33" s="24"/>
      <c r="B33" s="25"/>
      <c r="C33" s="215"/>
      <c r="D33" s="25"/>
      <c r="E33" s="25"/>
      <c r="F33" s="72"/>
      <c r="G33" s="25"/>
      <c r="H33" s="195"/>
      <c r="I33" s="72"/>
      <c r="J33" s="174"/>
      <c r="K33" s="174"/>
      <c r="L33" s="32"/>
      <c r="M33" s="37"/>
      <c r="N33" s="105"/>
      <c r="O33" s="39"/>
      <c r="P33" s="195"/>
      <c r="Q33" s="72"/>
      <c r="R33" s="3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6.2" thickBot="1" x14ac:dyDescent="0.35">
      <c r="A34" s="25">
        <v>10</v>
      </c>
      <c r="B34" s="25"/>
      <c r="C34" s="185" t="s">
        <v>224</v>
      </c>
      <c r="D34" s="25"/>
      <c r="E34" s="25"/>
      <c r="F34" s="73">
        <f>F27</f>
        <v>264</v>
      </c>
      <c r="G34" s="25"/>
      <c r="H34" s="73">
        <f>H27</f>
        <v>1672200</v>
      </c>
      <c r="I34" s="25"/>
      <c r="J34" s="25"/>
      <c r="K34" s="25"/>
      <c r="L34" s="73">
        <f>L27+L32</f>
        <v>2048757</v>
      </c>
      <c r="M34" s="25"/>
      <c r="N34" s="74">
        <f>ROUND((L34/L$34)*100,1)</f>
        <v>100</v>
      </c>
      <c r="O34" s="25"/>
      <c r="P34" s="73"/>
      <c r="Q34" s="25"/>
      <c r="R34" s="73">
        <f>R27+R32</f>
        <v>2048757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46"/>
      <c r="K35" s="46"/>
      <c r="L35" s="37"/>
      <c r="M35" s="37"/>
      <c r="N35" s="37"/>
      <c r="O35" s="37"/>
      <c r="P35" s="37"/>
      <c r="Q35" s="37"/>
      <c r="R35" s="3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x14ac:dyDescent="0.3">
      <c r="A36" s="25"/>
      <c r="B36" s="25"/>
      <c r="C36" s="27"/>
      <c r="D36" s="25"/>
      <c r="E36" s="25"/>
      <c r="F36" s="37"/>
      <c r="G36" s="25"/>
      <c r="H36" s="37"/>
      <c r="I36" s="37"/>
      <c r="J36" s="46"/>
      <c r="K36" s="46"/>
      <c r="L36" s="37"/>
      <c r="M36" s="37"/>
      <c r="N36" s="37"/>
      <c r="O36" s="37"/>
      <c r="P36" s="37"/>
      <c r="Q36" s="37"/>
      <c r="R36" s="3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x14ac:dyDescent="0.3">
      <c r="A37" s="25"/>
      <c r="B37" s="25"/>
      <c r="D37" s="25"/>
      <c r="E37" s="25"/>
      <c r="F37" s="37"/>
      <c r="G37" s="25"/>
      <c r="H37" s="37"/>
      <c r="I37" s="37"/>
      <c r="J37" s="46"/>
      <c r="K37" s="46"/>
      <c r="L37" s="37"/>
      <c r="M37" s="37"/>
      <c r="N37" s="37"/>
      <c r="O37" s="37"/>
      <c r="P37" s="37"/>
      <c r="Q37" s="37"/>
      <c r="R37" s="3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x14ac:dyDescent="0.3">
      <c r="A38" s="25"/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x14ac:dyDescent="0.3">
      <c r="A39" s="30"/>
      <c r="C39" s="30"/>
      <c r="D39" s="30"/>
      <c r="E39" s="30"/>
      <c r="F39" s="30"/>
      <c r="J39" s="30"/>
      <c r="K39" s="30"/>
      <c r="L39" s="30"/>
      <c r="M39" s="30"/>
      <c r="N39" s="30"/>
      <c r="O39" s="30"/>
      <c r="P39" s="30"/>
      <c r="Q39" s="30"/>
      <c r="R39" s="30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x14ac:dyDescent="0.3">
      <c r="A40" s="30"/>
      <c r="C40" s="30"/>
      <c r="D40" s="30"/>
      <c r="E40" s="30"/>
      <c r="F40" s="30"/>
      <c r="J40" s="30"/>
      <c r="K40" s="30"/>
      <c r="L40" s="30"/>
      <c r="M40" s="30"/>
      <c r="N40" s="30"/>
      <c r="O40" s="30"/>
      <c r="P40" s="30"/>
      <c r="Q40" s="30"/>
      <c r="R40" s="3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3">
      <c r="A41" s="30"/>
      <c r="C41" s="30"/>
      <c r="D41" s="30"/>
      <c r="E41" s="30"/>
      <c r="F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T41" s="19" t="str">
        <f>COMPANY</f>
        <v>DUKE ENERGY KENTUCKY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49"/>
      <c r="AF41" s="19"/>
      <c r="AG41" s="49"/>
      <c r="AH41" s="19"/>
      <c r="AI41" s="19"/>
      <c r="AJ41" s="19"/>
      <c r="AK41" s="19"/>
      <c r="AL41" s="19"/>
      <c r="AM41" s="49"/>
      <c r="AN41" s="19"/>
      <c r="AO41" s="19"/>
      <c r="AP41" s="19"/>
    </row>
    <row r="42" spans="1:43" x14ac:dyDescent="0.3">
      <c r="A42" s="30"/>
      <c r="C42" s="30"/>
      <c r="D42" s="30"/>
      <c r="E42" s="30"/>
      <c r="F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T42" s="19" t="str">
        <f>CASE</f>
        <v>CASE NO. 2021-00190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49"/>
      <c r="AF42" s="19"/>
      <c r="AG42" s="49"/>
      <c r="AH42" s="19"/>
      <c r="AI42" s="19"/>
      <c r="AJ42" s="19"/>
      <c r="AK42" s="19"/>
      <c r="AL42" s="19"/>
      <c r="AM42" s="49"/>
      <c r="AN42" s="19"/>
      <c r="AO42" s="19"/>
      <c r="AP42" s="19"/>
    </row>
    <row r="43" spans="1:43" x14ac:dyDescent="0.3">
      <c r="C43" s="30"/>
      <c r="D43" s="30"/>
      <c r="E43" s="30"/>
      <c r="F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T43" s="20" t="s">
        <v>82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49"/>
      <c r="AF43" s="19"/>
      <c r="AG43" s="49"/>
      <c r="AH43" s="19"/>
      <c r="AI43" s="19"/>
      <c r="AJ43" s="19"/>
      <c r="AK43" s="19"/>
      <c r="AL43" s="19"/>
      <c r="AM43" s="49"/>
      <c r="AN43" s="19"/>
      <c r="AO43" s="19"/>
      <c r="AP43" s="19"/>
    </row>
    <row r="44" spans="1:43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T44" s="19" t="str">
        <f>TIME_PERIOD</f>
        <v>FOR THE TWELVE MONTHS ENDED DECEMBER 31, 2022</v>
      </c>
      <c r="U44" s="19"/>
      <c r="V44" s="19"/>
      <c r="W44" s="19"/>
      <c r="X44" s="19"/>
      <c r="Y44" s="19"/>
      <c r="Z44" s="19"/>
      <c r="AA44" s="19"/>
      <c r="AB44" s="20"/>
      <c r="AC44" s="20"/>
      <c r="AD44" s="19"/>
      <c r="AE44" s="49"/>
      <c r="AF44" s="19"/>
      <c r="AG44" s="49"/>
      <c r="AH44" s="19"/>
      <c r="AI44" s="19"/>
      <c r="AJ44" s="19"/>
      <c r="AK44" s="19"/>
      <c r="AL44" s="19"/>
      <c r="AM44" s="49"/>
      <c r="AN44" s="19"/>
      <c r="AO44" s="19"/>
      <c r="AP44" s="19"/>
    </row>
    <row r="45" spans="1:43" x14ac:dyDescent="0.3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T45" s="19" t="str">
        <f>SERV_TYPE</f>
        <v>(GAS SERVICE)</v>
      </c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50"/>
      <c r="AF45" s="19"/>
      <c r="AG45" s="49"/>
      <c r="AH45" s="19"/>
      <c r="AI45" s="19"/>
      <c r="AJ45" s="19"/>
      <c r="AK45" s="19"/>
      <c r="AL45" s="19"/>
      <c r="AM45" s="49"/>
      <c r="AN45" s="19"/>
      <c r="AO45" s="19"/>
      <c r="AP45" s="19"/>
    </row>
    <row r="46" spans="1:43" x14ac:dyDescent="0.3">
      <c r="A46" s="22"/>
      <c r="C46" s="23"/>
      <c r="D46" s="23"/>
      <c r="E46" s="23"/>
      <c r="T46" s="24" t="str">
        <f>DATA_TYPE</f>
        <v>DATA: ___ BASE PERIOD   _X_FORECASTED PERIOD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F46" s="25"/>
      <c r="AH46" s="25"/>
      <c r="AI46" s="25"/>
      <c r="AJ46" s="25"/>
      <c r="AK46" s="25"/>
      <c r="AL46" s="25"/>
      <c r="AN46" s="26" t="s">
        <v>88</v>
      </c>
      <c r="AO46" s="26"/>
      <c r="AP46" s="25"/>
    </row>
    <row r="47" spans="1:43" x14ac:dyDescent="0.3">
      <c r="A47" s="22"/>
      <c r="D47" s="23"/>
      <c r="E47" s="23"/>
      <c r="T47" s="24" t="str">
        <f>FILING_TYPE</f>
        <v>TYPE OF FILING: _X_ ORIGINAL   ___UPDATED  ___ REVISED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F47" s="25"/>
      <c r="AH47" s="25"/>
      <c r="AI47" s="25"/>
      <c r="AJ47" s="25"/>
      <c r="AK47" s="25"/>
      <c r="AL47" s="25"/>
      <c r="AN47" s="27" t="str">
        <f>R7</f>
        <v>PAGE  7  OF  7</v>
      </c>
      <c r="AO47" s="26"/>
      <c r="AP47" s="25"/>
    </row>
    <row r="48" spans="1:43" x14ac:dyDescent="0.3">
      <c r="T48" s="26" t="s">
        <v>98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F48" s="25"/>
      <c r="AH48" s="25"/>
      <c r="AI48" s="25"/>
      <c r="AJ48" s="25"/>
      <c r="AK48" s="25"/>
      <c r="AL48" s="25"/>
      <c r="AN48" s="26" t="s">
        <v>1</v>
      </c>
      <c r="AO48" s="26"/>
      <c r="AP48" s="25"/>
    </row>
    <row r="49" spans="1:75" x14ac:dyDescent="0.3">
      <c r="A49" s="22"/>
      <c r="C49" s="23"/>
      <c r="T49" s="177" t="str">
        <f>TIME</f>
        <v>12 MONTHS FORECASTED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F49" s="25"/>
      <c r="AH49" s="25"/>
      <c r="AI49" s="25"/>
      <c r="AJ49" s="25"/>
      <c r="AK49" s="25"/>
      <c r="AL49" s="25"/>
      <c r="AN49" s="24" t="str">
        <f>WIT</f>
        <v>J.L. Kern</v>
      </c>
      <c r="AO49" s="24"/>
      <c r="AP49" s="25"/>
    </row>
    <row r="50" spans="1:75" x14ac:dyDescent="0.3">
      <c r="A50" s="22"/>
      <c r="C50" s="23"/>
      <c r="F50" s="195"/>
      <c r="H50" s="195"/>
      <c r="I50" s="195"/>
      <c r="J50" s="119"/>
      <c r="K50" s="119"/>
      <c r="L50" s="32"/>
      <c r="M50" s="32"/>
      <c r="N50" s="33"/>
      <c r="O50" s="33"/>
      <c r="P50" s="22"/>
      <c r="Q50" s="22"/>
      <c r="R50" s="32"/>
      <c r="T50" s="20" t="s">
        <v>84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49"/>
      <c r="AF50" s="19"/>
      <c r="AG50" s="49"/>
      <c r="AH50" s="19"/>
      <c r="AI50" s="19"/>
      <c r="AJ50" s="19"/>
      <c r="AK50" s="19"/>
      <c r="AL50" s="19"/>
      <c r="AM50" s="49"/>
      <c r="AN50" s="19"/>
      <c r="AO50" s="19"/>
      <c r="AP50" s="19"/>
    </row>
    <row r="51" spans="1:75" x14ac:dyDescent="0.3">
      <c r="A51" s="22"/>
      <c r="C51" s="23"/>
      <c r="F51" s="195"/>
      <c r="H51" s="195"/>
      <c r="I51" s="195"/>
      <c r="J51" s="119"/>
      <c r="K51" s="119"/>
      <c r="L51" s="32"/>
      <c r="M51" s="32"/>
      <c r="N51" s="33"/>
      <c r="O51" s="33"/>
      <c r="P51" s="22"/>
      <c r="Q51" s="22"/>
      <c r="R51" s="32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R51" s="25"/>
      <c r="AS51" s="25"/>
      <c r="AT51" s="25"/>
    </row>
    <row r="52" spans="1:75" x14ac:dyDescent="0.3">
      <c r="F52" s="34"/>
      <c r="H52" s="32"/>
      <c r="I52" s="32"/>
      <c r="J52" s="198"/>
      <c r="K52" s="198"/>
      <c r="L52" s="34"/>
      <c r="M52" s="34"/>
      <c r="N52" s="34"/>
      <c r="O52" s="34"/>
      <c r="P52" s="34"/>
      <c r="Q52" s="34"/>
      <c r="R52" s="3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76" t="s">
        <v>5</v>
      </c>
      <c r="AE52" s="30"/>
      <c r="AF52" s="176" t="s">
        <v>4</v>
      </c>
      <c r="AG52" s="30"/>
      <c r="AH52" s="176" t="s">
        <v>6</v>
      </c>
      <c r="AI52" s="176"/>
      <c r="AJ52" s="176" t="s">
        <v>7</v>
      </c>
      <c r="AK52" s="176"/>
      <c r="AL52" s="25"/>
      <c r="AN52" s="176" t="s">
        <v>5</v>
      </c>
      <c r="AO52" s="176"/>
      <c r="AP52" s="176" t="s">
        <v>8</v>
      </c>
      <c r="AR52" s="25"/>
      <c r="AS52" s="25"/>
      <c r="AT52" s="25"/>
    </row>
    <row r="53" spans="1:75" x14ac:dyDescent="0.3">
      <c r="A53" s="22"/>
      <c r="C53" s="23"/>
      <c r="F53" s="32"/>
      <c r="H53" s="32"/>
      <c r="I53" s="32"/>
      <c r="J53" s="198"/>
      <c r="K53" s="198"/>
      <c r="L53" s="32"/>
      <c r="M53" s="32"/>
      <c r="N53" s="33"/>
      <c r="O53" s="33"/>
      <c r="P53" s="32"/>
      <c r="Q53" s="32"/>
      <c r="R53" s="32"/>
      <c r="T53" s="25"/>
      <c r="U53" s="25"/>
      <c r="V53" s="25"/>
      <c r="W53" s="25"/>
      <c r="X53" s="25"/>
      <c r="Y53" s="25"/>
      <c r="Z53" s="25"/>
      <c r="AA53" s="25"/>
      <c r="AB53" s="176" t="s">
        <v>11</v>
      </c>
      <c r="AC53" s="176"/>
      <c r="AD53" s="176" t="s">
        <v>9</v>
      </c>
      <c r="AE53" s="30"/>
      <c r="AF53" s="176" t="s">
        <v>10</v>
      </c>
      <c r="AG53" s="30"/>
      <c r="AH53" s="176" t="s">
        <v>12</v>
      </c>
      <c r="AI53" s="176"/>
      <c r="AJ53" s="176" t="s">
        <v>13</v>
      </c>
      <c r="AK53" s="176"/>
      <c r="AL53" s="25"/>
      <c r="AN53" s="176" t="s">
        <v>8</v>
      </c>
      <c r="AO53" s="176"/>
      <c r="AP53" s="176" t="s">
        <v>6</v>
      </c>
      <c r="AR53" s="25"/>
      <c r="AS53" s="25"/>
      <c r="AT53" s="25"/>
    </row>
    <row r="54" spans="1:75" x14ac:dyDescent="0.3">
      <c r="F54" s="34"/>
      <c r="H54" s="32"/>
      <c r="I54" s="32"/>
      <c r="J54" s="198"/>
      <c r="K54" s="198"/>
      <c r="L54" s="34"/>
      <c r="M54" s="34"/>
      <c r="N54" s="34"/>
      <c r="O54" s="34"/>
      <c r="P54" s="34"/>
      <c r="Q54" s="34"/>
      <c r="R54" s="34"/>
      <c r="T54" s="176" t="s">
        <v>14</v>
      </c>
      <c r="U54" s="25"/>
      <c r="V54" s="176" t="s">
        <v>15</v>
      </c>
      <c r="W54" s="176" t="s">
        <v>16</v>
      </c>
      <c r="X54" s="176" t="s">
        <v>17</v>
      </c>
      <c r="Y54" s="25"/>
      <c r="Z54" s="25"/>
      <c r="AA54" s="25"/>
      <c r="AB54" s="176" t="s">
        <v>5</v>
      </c>
      <c r="AC54" s="176"/>
      <c r="AD54" s="31" t="s">
        <v>112</v>
      </c>
      <c r="AE54" s="30"/>
      <c r="AF54" s="31" t="s">
        <v>112</v>
      </c>
      <c r="AG54" s="30"/>
      <c r="AH54" s="31" t="s">
        <v>113</v>
      </c>
      <c r="AI54" s="176"/>
      <c r="AJ54" s="31" t="s">
        <v>113</v>
      </c>
      <c r="AK54" s="176"/>
      <c r="AL54" s="31" t="s">
        <v>112</v>
      </c>
      <c r="AM54" s="30"/>
      <c r="AN54" s="176" t="s">
        <v>6</v>
      </c>
      <c r="AO54" s="176"/>
      <c r="AP54" s="176" t="s">
        <v>18</v>
      </c>
      <c r="AR54" s="37"/>
      <c r="AS54" s="37"/>
      <c r="AT54" s="211"/>
    </row>
    <row r="55" spans="1:75" x14ac:dyDescent="0.3">
      <c r="F55" s="32"/>
      <c r="H55" s="32"/>
      <c r="I55" s="32"/>
      <c r="J55" s="198"/>
      <c r="K55" s="198"/>
      <c r="L55" s="32"/>
      <c r="M55" s="32"/>
      <c r="N55" s="33"/>
      <c r="O55" s="33"/>
      <c r="P55" s="32"/>
      <c r="Q55" s="32"/>
      <c r="R55" s="32"/>
      <c r="T55" s="176" t="s">
        <v>19</v>
      </c>
      <c r="U55" s="25"/>
      <c r="V55" s="176" t="s">
        <v>20</v>
      </c>
      <c r="W55" s="176" t="s">
        <v>21</v>
      </c>
      <c r="X55" s="31" t="s">
        <v>50</v>
      </c>
      <c r="Y55" s="25"/>
      <c r="Z55" s="31" t="s">
        <v>23</v>
      </c>
      <c r="AA55" s="176"/>
      <c r="AB55" s="176" t="s">
        <v>24</v>
      </c>
      <c r="AC55" s="176"/>
      <c r="AD55" s="31" t="s">
        <v>116</v>
      </c>
      <c r="AE55" s="30"/>
      <c r="AF55" s="176" t="s">
        <v>6</v>
      </c>
      <c r="AG55" s="30"/>
      <c r="AH55" s="188" t="s">
        <v>26</v>
      </c>
      <c r="AI55" s="188"/>
      <c r="AJ55" s="188" t="s">
        <v>27</v>
      </c>
      <c r="AK55" s="176"/>
      <c r="AL55" s="176" t="s">
        <v>6</v>
      </c>
      <c r="AM55" s="30"/>
      <c r="AN55" s="188" t="s">
        <v>28</v>
      </c>
      <c r="AO55" s="188"/>
      <c r="AP55" s="188" t="s">
        <v>29</v>
      </c>
      <c r="AR55" s="37"/>
      <c r="AS55" s="37"/>
      <c r="AT55" s="39"/>
      <c r="BW55" s="207"/>
    </row>
    <row r="56" spans="1:75" x14ac:dyDescent="0.3">
      <c r="A56" s="22"/>
      <c r="C56" s="23"/>
      <c r="F56" s="195"/>
      <c r="H56" s="195"/>
      <c r="I56" s="195"/>
      <c r="J56" s="119"/>
      <c r="K56" s="119"/>
      <c r="L56" s="32"/>
      <c r="M56" s="32"/>
      <c r="N56" s="33"/>
      <c r="O56" s="33"/>
      <c r="P56" s="32"/>
      <c r="Q56" s="32"/>
      <c r="R56" s="32"/>
      <c r="T56" s="25"/>
      <c r="U56" s="25"/>
      <c r="V56" s="188" t="s">
        <v>30</v>
      </c>
      <c r="W56" s="188" t="s">
        <v>31</v>
      </c>
      <c r="X56" s="188" t="s">
        <v>32</v>
      </c>
      <c r="Y56" s="184"/>
      <c r="Z56" s="188" t="s">
        <v>33</v>
      </c>
      <c r="AA56" s="188"/>
      <c r="AB56" s="188" t="s">
        <v>39</v>
      </c>
      <c r="AC56" s="188"/>
      <c r="AD56" s="188" t="s">
        <v>40</v>
      </c>
      <c r="AE56" s="216"/>
      <c r="AF56" s="188" t="s">
        <v>41</v>
      </c>
      <c r="AG56" s="216"/>
      <c r="AH56" s="188" t="s">
        <v>42</v>
      </c>
      <c r="AI56" s="188"/>
      <c r="AJ56" s="188" t="s">
        <v>43</v>
      </c>
      <c r="AK56" s="188"/>
      <c r="AL56" s="188" t="s">
        <v>37</v>
      </c>
      <c r="AM56" s="216"/>
      <c r="AN56" s="188" t="s">
        <v>44</v>
      </c>
      <c r="AO56" s="188"/>
      <c r="AP56" s="188" t="s">
        <v>45</v>
      </c>
      <c r="AR56" s="37"/>
      <c r="AS56" s="37"/>
      <c r="AT56" s="39"/>
    </row>
    <row r="57" spans="1:75" x14ac:dyDescent="0.3">
      <c r="F57" s="32"/>
      <c r="H57" s="34"/>
      <c r="I57" s="34"/>
      <c r="J57" s="198"/>
      <c r="K57" s="198"/>
      <c r="L57" s="34"/>
      <c r="M57" s="34"/>
      <c r="N57" s="34"/>
      <c r="O57" s="34"/>
      <c r="P57" s="34"/>
      <c r="Q57" s="34"/>
      <c r="R57" s="34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R57" s="37"/>
      <c r="AS57" s="37"/>
      <c r="AT57" s="39"/>
    </row>
    <row r="58" spans="1:75" x14ac:dyDescent="0.3">
      <c r="A58" s="22"/>
      <c r="C58" s="23"/>
      <c r="F58" s="32"/>
      <c r="H58" s="32"/>
      <c r="I58" s="32"/>
      <c r="J58" s="48"/>
      <c r="K58" s="48"/>
      <c r="L58" s="32"/>
      <c r="M58" s="32"/>
      <c r="N58" s="33"/>
      <c r="O58" s="33"/>
      <c r="P58" s="32"/>
      <c r="Q58" s="32"/>
      <c r="R58" s="32"/>
      <c r="T58" s="25"/>
      <c r="U58" s="25"/>
      <c r="V58" s="25"/>
      <c r="W58" s="25"/>
      <c r="X58" s="25"/>
      <c r="Y58" s="25"/>
      <c r="Z58" s="189" t="s">
        <v>115</v>
      </c>
      <c r="AA58" s="188"/>
      <c r="AB58" s="189" t="s">
        <v>114</v>
      </c>
      <c r="AC58" s="188"/>
      <c r="AD58" s="188" t="s">
        <v>46</v>
      </c>
      <c r="AE58" s="216"/>
      <c r="AF58" s="188" t="s">
        <v>47</v>
      </c>
      <c r="AG58" s="216"/>
      <c r="AH58" s="188" t="s">
        <v>46</v>
      </c>
      <c r="AI58" s="188"/>
      <c r="AJ58" s="188" t="s">
        <v>47</v>
      </c>
      <c r="AK58" s="188"/>
      <c r="AL58" s="188" t="s">
        <v>46</v>
      </c>
      <c r="AM58" s="216"/>
      <c r="AN58" s="188" t="s">
        <v>46</v>
      </c>
      <c r="AO58" s="188"/>
      <c r="AP58" s="188" t="s">
        <v>47</v>
      </c>
      <c r="AR58" s="37"/>
      <c r="AS58" s="37"/>
      <c r="AT58" s="211"/>
    </row>
    <row r="59" spans="1:75" x14ac:dyDescent="0.3">
      <c r="A59" s="22"/>
      <c r="C59" s="23"/>
      <c r="F59" s="195"/>
      <c r="H59" s="195"/>
      <c r="I59" s="195"/>
      <c r="J59" s="197"/>
      <c r="K59" s="197"/>
      <c r="L59" s="32"/>
      <c r="M59" s="32"/>
      <c r="N59" s="33"/>
      <c r="O59" s="33"/>
      <c r="P59" s="195"/>
      <c r="Q59" s="195"/>
      <c r="R59" s="32"/>
      <c r="T59" s="24">
        <v>1</v>
      </c>
      <c r="U59" s="25"/>
      <c r="V59" s="177" t="s">
        <v>129</v>
      </c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R59" s="37"/>
      <c r="AS59" s="37"/>
      <c r="AT59" s="39"/>
    </row>
    <row r="60" spans="1:75" x14ac:dyDescent="0.3">
      <c r="A60" s="22"/>
      <c r="C60" s="23"/>
      <c r="H60" s="195"/>
      <c r="I60" s="195"/>
      <c r="J60" s="197"/>
      <c r="K60" s="197"/>
      <c r="L60" s="32"/>
      <c r="M60" s="32"/>
      <c r="N60" s="33"/>
      <c r="O60" s="33"/>
      <c r="P60" s="195"/>
      <c r="Q60" s="195"/>
      <c r="R60" s="32"/>
      <c r="T60" s="24">
        <v>2</v>
      </c>
      <c r="U60" s="25"/>
      <c r="V60" s="196" t="s">
        <v>164</v>
      </c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R60" s="37"/>
      <c r="AS60" s="37"/>
      <c r="AT60" s="39"/>
    </row>
    <row r="61" spans="1:75" x14ac:dyDescent="0.3">
      <c r="L61" s="23"/>
      <c r="M61" s="23"/>
      <c r="T61" s="25"/>
      <c r="U61" s="25"/>
      <c r="V61" s="25"/>
      <c r="W61" s="25"/>
      <c r="X61" s="25"/>
      <c r="Y61" s="25"/>
      <c r="Z61" s="37"/>
      <c r="AA61" s="37"/>
      <c r="AB61" s="46"/>
      <c r="AC61" s="46"/>
      <c r="AD61" s="37"/>
      <c r="AE61" s="37"/>
      <c r="AF61" s="39"/>
      <c r="AG61" s="39"/>
      <c r="AH61" s="25"/>
      <c r="AI61" s="25"/>
      <c r="AJ61" s="25"/>
      <c r="AK61" s="25"/>
      <c r="AL61" s="25"/>
      <c r="AM61" s="25"/>
      <c r="AN61" s="25"/>
      <c r="AO61" s="25"/>
      <c r="AP61" s="25"/>
      <c r="AQ61" s="195"/>
    </row>
    <row r="62" spans="1:75" x14ac:dyDescent="0.3">
      <c r="A62" s="22"/>
      <c r="R62" s="23"/>
      <c r="T62" s="24">
        <v>3</v>
      </c>
      <c r="U62" s="25"/>
      <c r="V62" s="26" t="s">
        <v>204</v>
      </c>
      <c r="W62" s="25"/>
      <c r="X62" s="37">
        <f>F22</f>
        <v>264</v>
      </c>
      <c r="Y62" s="25"/>
      <c r="Z62" s="37"/>
      <c r="AA62" s="37"/>
      <c r="AB62" s="218">
        <f>CUR_IT_CUST</f>
        <v>430</v>
      </c>
      <c r="AC62" s="71"/>
      <c r="AD62" s="37">
        <f>ROUND(X62*AB62,0)</f>
        <v>113520</v>
      </c>
      <c r="AE62" s="37"/>
      <c r="AF62" s="33">
        <f>ROUND((AD62/AD$74)*100,1)</f>
        <v>6.4</v>
      </c>
      <c r="AG62" s="39"/>
      <c r="AH62" s="32">
        <f>L22-AD62</f>
        <v>0</v>
      </c>
      <c r="AI62" s="37"/>
      <c r="AJ62" s="108">
        <f>IF(AD62=0,"0.0 ",ROUND((AH62/AD62)*100,1))</f>
        <v>0</v>
      </c>
      <c r="AK62" s="70"/>
      <c r="AL62" s="37"/>
      <c r="AM62" s="37"/>
      <c r="AN62" s="37">
        <f>AD62+AL62</f>
        <v>113520</v>
      </c>
      <c r="AO62" s="37"/>
      <c r="AP62" s="78">
        <f>IF(AN62=0,"0.0 ",ROUND((AH62/AN62)*100,1))</f>
        <v>0</v>
      </c>
      <c r="AQ62" s="195"/>
    </row>
    <row r="63" spans="1:75" x14ac:dyDescent="0.3">
      <c r="A63" s="23"/>
      <c r="R63" s="23"/>
      <c r="T63" s="24"/>
      <c r="U63" s="25"/>
      <c r="V63" s="26"/>
      <c r="W63" s="25"/>
      <c r="X63" s="32"/>
      <c r="Y63" s="25"/>
      <c r="Z63" s="32"/>
      <c r="AA63" s="37"/>
      <c r="AB63" s="35"/>
      <c r="AC63" s="35"/>
      <c r="AD63" s="32"/>
      <c r="AE63" s="37"/>
      <c r="AF63" s="39"/>
      <c r="AG63" s="39"/>
      <c r="AH63" s="37"/>
      <c r="AI63" s="37"/>
      <c r="AJ63" s="70"/>
      <c r="AK63" s="70"/>
      <c r="AL63" s="37"/>
      <c r="AM63" s="37"/>
      <c r="AN63" s="37"/>
      <c r="AO63" s="37"/>
      <c r="AP63" s="39"/>
      <c r="AQ63" s="32"/>
    </row>
    <row r="64" spans="1:75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T64" s="24">
        <v>4</v>
      </c>
      <c r="U64" s="25"/>
      <c r="V64" s="177" t="s">
        <v>124</v>
      </c>
      <c r="W64" s="25"/>
      <c r="X64" s="37"/>
      <c r="Y64" s="25"/>
      <c r="Z64" s="37"/>
      <c r="AA64" s="37"/>
      <c r="AB64" s="147"/>
      <c r="AC64" s="147"/>
      <c r="AD64" s="37"/>
      <c r="AE64" s="37"/>
      <c r="AF64" s="69"/>
      <c r="AG64" s="39"/>
      <c r="AH64" s="37"/>
      <c r="AI64" s="37"/>
      <c r="AJ64" s="70"/>
      <c r="AK64" s="70"/>
      <c r="AL64" s="37"/>
      <c r="AM64" s="37"/>
      <c r="AN64" s="37"/>
      <c r="AO64" s="37"/>
      <c r="AP64" s="39"/>
    </row>
    <row r="65" spans="1:42" x14ac:dyDescent="0.3">
      <c r="L65" s="30"/>
      <c r="M65" s="30"/>
      <c r="N65" s="30"/>
      <c r="O65" s="30"/>
      <c r="R65" s="30"/>
      <c r="T65" s="24">
        <v>5</v>
      </c>
      <c r="U65" s="25"/>
      <c r="V65" s="26" t="s">
        <v>86</v>
      </c>
      <c r="W65" s="25"/>
      <c r="X65" s="36"/>
      <c r="Y65" s="25"/>
      <c r="Z65" s="36">
        <f>H25</f>
        <v>1672200</v>
      </c>
      <c r="AA65" s="37"/>
      <c r="AB65" s="147">
        <f>CUR_IT_COM</f>
        <v>0.99819999999999998</v>
      </c>
      <c r="AC65" s="46"/>
      <c r="AD65" s="36">
        <f>ROUND(Z65*AB65,0)</f>
        <v>1669190</v>
      </c>
      <c r="AE65" s="32"/>
      <c r="AF65" s="38">
        <f>ROUND((AD65/AD$74)*100,1)</f>
        <v>93.6</v>
      </c>
      <c r="AG65" s="33"/>
      <c r="AH65" s="36">
        <f>L25-AD65</f>
        <v>266047</v>
      </c>
      <c r="AI65" s="32"/>
      <c r="AJ65" s="107">
        <f>IF(AD65=0,"0.0 ",ROUND((AH65/AD65)*100,1))</f>
        <v>15.9</v>
      </c>
      <c r="AK65" s="44"/>
      <c r="AL65" s="36"/>
      <c r="AM65" s="195"/>
      <c r="AN65" s="36">
        <f>AD65+AL65</f>
        <v>1669190</v>
      </c>
      <c r="AO65" s="32"/>
      <c r="AP65" s="78">
        <f>IF(AN65=0,"0.0 ",ROUND((AH65/AN65)*100,1))</f>
        <v>15.9</v>
      </c>
    </row>
    <row r="66" spans="1:42" x14ac:dyDescent="0.3">
      <c r="L66" s="30"/>
      <c r="M66" s="30"/>
      <c r="N66" s="30"/>
      <c r="O66" s="30"/>
      <c r="R66" s="30"/>
      <c r="T66" s="24"/>
      <c r="U66" s="25"/>
      <c r="V66" s="26"/>
      <c r="W66" s="25"/>
      <c r="X66" s="32"/>
      <c r="Y66" s="25"/>
      <c r="Z66" s="32"/>
      <c r="AA66" s="37"/>
      <c r="AB66" s="147"/>
      <c r="AC66" s="46"/>
      <c r="AD66" s="32"/>
      <c r="AE66" s="32"/>
      <c r="AF66" s="33"/>
      <c r="AG66" s="33"/>
      <c r="AH66" s="32"/>
      <c r="AI66" s="32"/>
      <c r="AJ66" s="108"/>
      <c r="AK66" s="44"/>
      <c r="AL66" s="32"/>
      <c r="AM66" s="195"/>
      <c r="AN66" s="32"/>
      <c r="AO66" s="32"/>
      <c r="AP66" s="78"/>
    </row>
    <row r="67" spans="1:42" x14ac:dyDescent="0.3">
      <c r="L67" s="30"/>
      <c r="M67" s="30"/>
      <c r="N67" s="30"/>
      <c r="O67" s="30"/>
      <c r="R67" s="30"/>
      <c r="T67" s="24">
        <v>6</v>
      </c>
      <c r="U67" s="25"/>
      <c r="V67" s="196" t="s">
        <v>238</v>
      </c>
      <c r="W67" s="25"/>
      <c r="X67" s="45">
        <f>X62</f>
        <v>264</v>
      </c>
      <c r="Y67" s="25"/>
      <c r="Z67" s="45">
        <f>Z65</f>
        <v>1672200</v>
      </c>
      <c r="AA67" s="37"/>
      <c r="AB67" s="147"/>
      <c r="AC67" s="46"/>
      <c r="AD67" s="36">
        <f>SUM(AD62:AD65)</f>
        <v>1782710</v>
      </c>
      <c r="AE67" s="37"/>
      <c r="AF67" s="38">
        <f>SUM(AF62:AF65)</f>
        <v>100</v>
      </c>
      <c r="AG67" s="33"/>
      <c r="AH67" s="36">
        <f>L27-AD67</f>
        <v>266047</v>
      </c>
      <c r="AI67" s="32"/>
      <c r="AJ67" s="107">
        <f>IF(AD67=0,"0.0 ",ROUND((AH67/AD67)*100,1))</f>
        <v>14.9</v>
      </c>
      <c r="AK67" s="44"/>
      <c r="AL67" s="36"/>
      <c r="AM67" s="195"/>
      <c r="AN67" s="36">
        <f>SUM(AN62:AN65)</f>
        <v>1782710</v>
      </c>
      <c r="AO67" s="32"/>
      <c r="AP67" s="78">
        <f>IF(AN67=0,"0.0 ",ROUND((AH67/AN67)*100,1))</f>
        <v>14.9</v>
      </c>
    </row>
    <row r="68" spans="1:42" x14ac:dyDescent="0.3">
      <c r="L68" s="30"/>
      <c r="M68" s="30"/>
      <c r="N68" s="30"/>
      <c r="O68" s="30"/>
      <c r="R68" s="30"/>
      <c r="T68" s="24"/>
      <c r="U68" s="25"/>
      <c r="V68" s="26"/>
      <c r="W68" s="25"/>
      <c r="X68" s="32"/>
      <c r="Y68" s="25"/>
      <c r="Z68" s="32"/>
      <c r="AA68" s="37"/>
      <c r="AB68" s="147"/>
      <c r="AC68" s="46"/>
      <c r="AD68" s="32"/>
      <c r="AE68" s="32"/>
      <c r="AF68" s="33"/>
      <c r="AG68" s="33"/>
      <c r="AH68" s="32"/>
      <c r="AI68" s="32"/>
      <c r="AJ68" s="108"/>
      <c r="AK68" s="44"/>
      <c r="AL68" s="32"/>
      <c r="AM68" s="195"/>
      <c r="AN68" s="32"/>
      <c r="AO68" s="32"/>
      <c r="AP68" s="78"/>
    </row>
    <row r="69" spans="1:42" x14ac:dyDescent="0.3">
      <c r="L69" s="30"/>
      <c r="M69" s="30"/>
      <c r="N69" s="30"/>
      <c r="O69" s="30"/>
      <c r="R69" s="30"/>
      <c r="T69" s="24">
        <v>7</v>
      </c>
      <c r="U69" s="25"/>
      <c r="V69" s="177" t="s">
        <v>206</v>
      </c>
      <c r="W69" s="25"/>
      <c r="X69" s="32"/>
      <c r="Y69" s="25"/>
      <c r="Z69" s="32"/>
      <c r="AA69" s="37"/>
      <c r="AB69" s="147"/>
      <c r="AC69" s="46"/>
      <c r="AD69" s="32"/>
      <c r="AE69" s="32"/>
      <c r="AF69" s="33"/>
      <c r="AG69" s="33"/>
      <c r="AH69" s="32"/>
      <c r="AI69" s="32"/>
      <c r="AJ69" s="108"/>
      <c r="AK69" s="44"/>
      <c r="AL69" s="32"/>
      <c r="AM69" s="195"/>
      <c r="AN69" s="32"/>
      <c r="AO69" s="32"/>
      <c r="AP69" s="78"/>
    </row>
    <row r="70" spans="1:42" x14ac:dyDescent="0.3">
      <c r="L70" s="30"/>
      <c r="M70" s="30"/>
      <c r="N70" s="30"/>
      <c r="O70" s="30"/>
      <c r="R70" s="30"/>
      <c r="T70" s="24">
        <v>8</v>
      </c>
      <c r="U70" s="25"/>
      <c r="V70" s="149" t="s">
        <v>306</v>
      </c>
      <c r="W70" s="25"/>
      <c r="X70" s="32"/>
      <c r="Y70" s="25"/>
      <c r="Z70" s="32"/>
      <c r="AA70" s="37"/>
      <c r="AB70" s="43">
        <v>0</v>
      </c>
      <c r="AC70" s="174"/>
      <c r="AD70" s="36">
        <f>ROUND(Z65*AB70,0)</f>
        <v>0</v>
      </c>
      <c r="AE70" s="32"/>
      <c r="AF70" s="38">
        <f>ROUND((AD70/AD$74)*100,1)</f>
        <v>0</v>
      </c>
      <c r="AG70" s="33"/>
      <c r="AH70" s="36">
        <f>L30-AD70</f>
        <v>0</v>
      </c>
      <c r="AI70" s="32"/>
      <c r="AJ70" s="107" t="str">
        <f>IF(AD70=0,"0.0 ",ROUND((AH70/AD70)*100,1))</f>
        <v xml:space="preserve">0.0 </v>
      </c>
      <c r="AK70" s="44"/>
      <c r="AL70" s="36"/>
      <c r="AM70" s="195"/>
      <c r="AN70" s="36">
        <f>AD70+AL70</f>
        <v>0</v>
      </c>
      <c r="AO70" s="32"/>
      <c r="AP70" s="78" t="str">
        <f>IF(AN70=0,"0.0 ",ROUND((AH70/AN70)*100,1))</f>
        <v xml:space="preserve">0.0 </v>
      </c>
    </row>
    <row r="71" spans="1:42" x14ac:dyDescent="0.3">
      <c r="L71" s="30"/>
      <c r="M71" s="30"/>
      <c r="N71" s="30"/>
      <c r="O71" s="30"/>
      <c r="R71" s="30"/>
      <c r="T71" s="24"/>
      <c r="U71" s="25"/>
      <c r="V71" s="26"/>
      <c r="W71" s="25"/>
      <c r="X71" s="32"/>
      <c r="Y71" s="25"/>
      <c r="Z71" s="32"/>
      <c r="AA71" s="37"/>
      <c r="AB71" s="147"/>
      <c r="AC71" s="46"/>
      <c r="AD71" s="32"/>
      <c r="AE71" s="32"/>
      <c r="AF71" s="33"/>
      <c r="AG71" s="33"/>
      <c r="AH71" s="32"/>
      <c r="AI71" s="32"/>
      <c r="AJ71" s="108"/>
      <c r="AK71" s="44"/>
      <c r="AL71" s="32"/>
      <c r="AM71" s="195"/>
      <c r="AN71" s="32"/>
      <c r="AO71" s="32"/>
      <c r="AP71" s="78"/>
    </row>
    <row r="72" spans="1:42" x14ac:dyDescent="0.3">
      <c r="L72" s="30"/>
      <c r="M72" s="30"/>
      <c r="N72" s="30"/>
      <c r="O72" s="30"/>
      <c r="R72" s="30"/>
      <c r="T72" s="24">
        <v>9</v>
      </c>
      <c r="U72" s="25"/>
      <c r="V72" s="215" t="s">
        <v>209</v>
      </c>
      <c r="W72" s="25"/>
      <c r="X72" s="32"/>
      <c r="Y72" s="25"/>
      <c r="Z72" s="32"/>
      <c r="AA72" s="37"/>
      <c r="AB72" s="147"/>
      <c r="AC72" s="46"/>
      <c r="AD72" s="36">
        <f>SUM(AD69:AD70)</f>
        <v>0</v>
      </c>
      <c r="AE72" s="32"/>
      <c r="AF72" s="38">
        <f>ROUND((AD72/AD$74)*100,1)</f>
        <v>0</v>
      </c>
      <c r="AG72" s="33"/>
      <c r="AH72" s="36">
        <f>L32-AD72</f>
        <v>0</v>
      </c>
      <c r="AI72" s="32"/>
      <c r="AJ72" s="107" t="str">
        <f>IF(AD72=0,"0.0 ",ROUND((AH72/AD72)*100,1))</f>
        <v xml:space="preserve">0.0 </v>
      </c>
      <c r="AK72" s="44"/>
      <c r="AL72" s="36"/>
      <c r="AM72" s="195"/>
      <c r="AN72" s="36">
        <f>SUM(AN69:AN70)</f>
        <v>0</v>
      </c>
      <c r="AO72" s="32"/>
      <c r="AP72" s="78" t="str">
        <f>IF(AN72=0,"0.0 ",ROUND((AH72/AN72)*100,1))</f>
        <v xml:space="preserve">0.0 </v>
      </c>
    </row>
    <row r="73" spans="1:42" x14ac:dyDescent="0.3">
      <c r="C73" s="30"/>
      <c r="D73" s="30"/>
      <c r="E73" s="30"/>
      <c r="F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T73" s="24"/>
      <c r="U73" s="25"/>
      <c r="V73" s="25"/>
      <c r="W73" s="27"/>
      <c r="X73" s="37"/>
      <c r="Y73" s="25"/>
      <c r="Z73" s="37"/>
      <c r="AA73" s="37"/>
      <c r="AB73" s="46"/>
      <c r="AC73" s="46"/>
      <c r="AD73" s="37"/>
      <c r="AE73" s="37"/>
      <c r="AF73" s="37"/>
      <c r="AG73" s="37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ht="16.2" thickBot="1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5">
        <v>10</v>
      </c>
      <c r="U74" s="25"/>
      <c r="V74" s="185" t="s">
        <v>224</v>
      </c>
      <c r="W74" s="25"/>
      <c r="X74" s="40">
        <f>X67</f>
        <v>264</v>
      </c>
      <c r="Y74" s="25"/>
      <c r="Z74" s="40">
        <f>Z67</f>
        <v>1672200</v>
      </c>
      <c r="AA74" s="37"/>
      <c r="AB74" s="46"/>
      <c r="AC74" s="46"/>
      <c r="AD74" s="40">
        <f>AD67+AD72</f>
        <v>1782710</v>
      </c>
      <c r="AE74" s="37"/>
      <c r="AF74" s="76">
        <f>ROUND((AD74/AD$74)*100,1)</f>
        <v>100</v>
      </c>
      <c r="AG74" s="37"/>
      <c r="AH74" s="40">
        <f>AH67+AH72</f>
        <v>266047</v>
      </c>
      <c r="AI74" s="25"/>
      <c r="AJ74" s="110">
        <f>IF(AD74=0,"0.0 ",ROUND((AH74/AD74)*100,1))</f>
        <v>14.9</v>
      </c>
      <c r="AK74" s="25"/>
      <c r="AL74" s="77"/>
      <c r="AM74" s="25"/>
      <c r="AN74" s="40">
        <f>AN67+AN72</f>
        <v>1782710</v>
      </c>
      <c r="AO74" s="25"/>
      <c r="AP74" s="78">
        <f>IF(AN74=0,"0.0 ",ROUND((AH74/AN74)*100,1))</f>
        <v>14.9</v>
      </c>
    </row>
    <row r="75" spans="1:42" ht="16.2" thickTop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T75" s="25"/>
      <c r="U75" s="25"/>
      <c r="V75" s="25"/>
      <c r="W75" s="25"/>
      <c r="X75" s="37"/>
      <c r="Y75" s="25"/>
      <c r="Z75" s="37"/>
      <c r="AA75" s="37"/>
      <c r="AB75" s="46"/>
      <c r="AC75" s="46"/>
      <c r="AD75" s="37"/>
      <c r="AE75" s="37"/>
      <c r="AF75" s="37"/>
      <c r="AG75" s="37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T76" s="25"/>
      <c r="U76" s="25"/>
      <c r="V76" s="27"/>
      <c r="W76" s="25"/>
      <c r="X76" s="37"/>
      <c r="Y76" s="25"/>
      <c r="Z76" s="37"/>
      <c r="AA76" s="37"/>
      <c r="AB76" s="46"/>
      <c r="AC76" s="46"/>
      <c r="AD76" s="37"/>
      <c r="AE76" s="37"/>
      <c r="AF76" s="37"/>
      <c r="AG76" s="37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T77" s="25"/>
      <c r="U77" s="25"/>
      <c r="W77" s="25"/>
      <c r="X77" s="37"/>
      <c r="Y77" s="25"/>
      <c r="Z77" s="37"/>
      <c r="AA77" s="37"/>
      <c r="AB77" s="46"/>
      <c r="AC77" s="46"/>
      <c r="AD77" s="37"/>
      <c r="AE77" s="37"/>
      <c r="AF77" s="37"/>
      <c r="AG77" s="37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x14ac:dyDescent="0.3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T78" s="25"/>
      <c r="U78" s="25"/>
      <c r="V78" s="26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x14ac:dyDescent="0.3">
      <c r="A79" s="22"/>
      <c r="C79" s="23"/>
      <c r="D79" s="23"/>
      <c r="E79" s="23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42" x14ac:dyDescent="0.3">
      <c r="A80" s="22"/>
      <c r="C80" s="23"/>
      <c r="Z80" s="30"/>
      <c r="AA80" s="30"/>
      <c r="AB80" s="30"/>
      <c r="AC80" s="30"/>
      <c r="AD80" s="30"/>
      <c r="AE80" s="30"/>
      <c r="AF80" s="30"/>
      <c r="AG80" s="30"/>
      <c r="AJ80" s="30"/>
      <c r="AK80" s="30"/>
      <c r="AL80" s="30"/>
      <c r="AM80" s="30"/>
    </row>
    <row r="81" spans="1:39" x14ac:dyDescent="0.3">
      <c r="Y81" s="30"/>
      <c r="Z81" s="30"/>
      <c r="AA81" s="30"/>
      <c r="AB81" s="30"/>
      <c r="AC81" s="30"/>
      <c r="AD81" s="30"/>
      <c r="AE81" s="30"/>
      <c r="AF81" s="30"/>
      <c r="AG81" s="30"/>
      <c r="AJ81" s="30"/>
      <c r="AK81" s="30"/>
      <c r="AL81" s="30"/>
      <c r="AM81" s="30"/>
    </row>
    <row r="82" spans="1:39" x14ac:dyDescent="0.3">
      <c r="A82" s="22"/>
      <c r="C82" s="23"/>
      <c r="T82" s="30"/>
      <c r="U82" s="30"/>
      <c r="V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x14ac:dyDescent="0.3">
      <c r="A83" s="22"/>
      <c r="C83" s="23"/>
      <c r="F83" s="195"/>
      <c r="H83" s="195"/>
      <c r="I83" s="195"/>
      <c r="J83" s="119"/>
      <c r="K83" s="119"/>
      <c r="L83" s="32"/>
      <c r="M83" s="32"/>
      <c r="N83" s="33"/>
      <c r="O83" s="33"/>
      <c r="P83" s="22"/>
      <c r="Q83" s="22"/>
      <c r="R83" s="32"/>
      <c r="T83" s="30"/>
      <c r="U83" s="30"/>
      <c r="V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x14ac:dyDescent="0.3">
      <c r="A84" s="22"/>
      <c r="C84" s="23"/>
      <c r="F84" s="195"/>
      <c r="H84" s="195"/>
      <c r="I84" s="195"/>
      <c r="J84" s="119"/>
      <c r="K84" s="119"/>
      <c r="L84" s="32"/>
      <c r="M84" s="32"/>
      <c r="N84" s="33"/>
      <c r="O84" s="33"/>
      <c r="P84" s="22"/>
      <c r="Q84" s="22"/>
      <c r="R84" s="32"/>
      <c r="T84" s="30"/>
      <c r="U84" s="30"/>
      <c r="V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x14ac:dyDescent="0.3">
      <c r="A85" s="22"/>
      <c r="C85" s="23"/>
      <c r="F85" s="195"/>
      <c r="H85" s="195"/>
      <c r="I85" s="195"/>
      <c r="J85" s="119"/>
      <c r="K85" s="119"/>
      <c r="L85" s="32"/>
      <c r="M85" s="32"/>
      <c r="N85" s="33"/>
      <c r="O85" s="33"/>
      <c r="P85" s="22"/>
      <c r="Q85" s="22"/>
      <c r="R85" s="32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x14ac:dyDescent="0.3">
      <c r="F86" s="34"/>
      <c r="H86" s="32"/>
      <c r="I86" s="32"/>
      <c r="J86" s="198"/>
      <c r="K86" s="198"/>
      <c r="L86" s="34"/>
      <c r="M86" s="34"/>
      <c r="N86" s="34"/>
      <c r="O86" s="34"/>
      <c r="P86" s="34"/>
      <c r="Q86" s="34"/>
      <c r="R86" s="34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x14ac:dyDescent="0.3">
      <c r="A87" s="22"/>
      <c r="C87" s="23"/>
      <c r="F87" s="32"/>
      <c r="H87" s="32"/>
      <c r="I87" s="32"/>
      <c r="J87" s="198"/>
      <c r="K87" s="198"/>
      <c r="L87" s="32"/>
      <c r="M87" s="32"/>
      <c r="N87" s="33"/>
      <c r="O87" s="33"/>
      <c r="P87" s="32"/>
      <c r="Q87" s="32"/>
      <c r="R87" s="32"/>
      <c r="T87" s="23"/>
      <c r="U87" s="23"/>
    </row>
    <row r="88" spans="1:39" x14ac:dyDescent="0.3">
      <c r="F88" s="34"/>
      <c r="H88" s="32"/>
      <c r="I88" s="32"/>
      <c r="J88" s="198"/>
      <c r="K88" s="198"/>
      <c r="L88" s="34"/>
      <c r="M88" s="34"/>
      <c r="N88" s="34"/>
      <c r="O88" s="34"/>
      <c r="P88" s="34"/>
      <c r="Q88" s="34"/>
      <c r="R88" s="34"/>
      <c r="T88" s="23"/>
    </row>
    <row r="89" spans="1:39" x14ac:dyDescent="0.3">
      <c r="A89" s="22"/>
      <c r="C89" s="23"/>
      <c r="F89" s="195"/>
      <c r="H89" s="195"/>
      <c r="I89" s="195"/>
      <c r="J89" s="206"/>
      <c r="K89" s="206"/>
      <c r="L89" s="32"/>
      <c r="M89" s="32"/>
      <c r="N89" s="33"/>
      <c r="O89" s="33"/>
      <c r="P89" s="32"/>
      <c r="Q89" s="32"/>
      <c r="R89" s="32"/>
      <c r="S89" s="32"/>
    </row>
    <row r="90" spans="1:39" x14ac:dyDescent="0.3">
      <c r="A90" s="22"/>
      <c r="C90" s="23"/>
      <c r="F90" s="195"/>
      <c r="H90" s="195"/>
      <c r="I90" s="195"/>
      <c r="J90" s="119"/>
      <c r="K90" s="119"/>
      <c r="L90" s="32"/>
      <c r="M90" s="32"/>
      <c r="N90" s="33"/>
      <c r="O90" s="33"/>
      <c r="P90" s="32"/>
      <c r="Q90" s="32"/>
      <c r="R90" s="32"/>
      <c r="T90" s="23"/>
    </row>
    <row r="91" spans="1:39" x14ac:dyDescent="0.3">
      <c r="A91" s="22"/>
      <c r="C91" s="23"/>
      <c r="F91" s="195"/>
      <c r="H91" s="195"/>
      <c r="I91" s="195"/>
      <c r="J91" s="119"/>
      <c r="K91" s="119"/>
      <c r="L91" s="32"/>
      <c r="M91" s="32"/>
      <c r="N91" s="33"/>
      <c r="O91" s="33"/>
      <c r="P91" s="32"/>
      <c r="Q91" s="32"/>
      <c r="R91" s="32"/>
      <c r="T91" s="23"/>
      <c r="V91" s="32"/>
      <c r="X91" s="195"/>
      <c r="Y91" s="119"/>
      <c r="Z91" s="32"/>
      <c r="AA91" s="32"/>
      <c r="AB91" s="33"/>
      <c r="AC91" s="33"/>
      <c r="AD91" s="32"/>
      <c r="AE91" s="32"/>
      <c r="AF91" s="204"/>
      <c r="AG91" s="204"/>
      <c r="AH91" s="22"/>
      <c r="AI91" s="22"/>
      <c r="AJ91" s="32"/>
      <c r="AK91" s="32"/>
      <c r="AL91" s="208"/>
      <c r="AM91" s="208"/>
    </row>
    <row r="92" spans="1:39" x14ac:dyDescent="0.3">
      <c r="F92" s="32"/>
      <c r="H92" s="34"/>
      <c r="I92" s="34"/>
      <c r="J92" s="198"/>
      <c r="K92" s="198"/>
      <c r="L92" s="34"/>
      <c r="M92" s="34"/>
      <c r="N92" s="34"/>
      <c r="O92" s="34"/>
      <c r="P92" s="34"/>
      <c r="Q92" s="34"/>
      <c r="R92" s="34"/>
      <c r="T92" s="23"/>
      <c r="V92" s="32"/>
      <c r="X92" s="195"/>
      <c r="Y92" s="119"/>
      <c r="Z92" s="32"/>
      <c r="AA92" s="32"/>
      <c r="AB92" s="33"/>
      <c r="AC92" s="33"/>
      <c r="AD92" s="32"/>
      <c r="AE92" s="32"/>
      <c r="AF92" s="44"/>
      <c r="AG92" s="44"/>
      <c r="AH92" s="22"/>
      <c r="AI92" s="22"/>
      <c r="AJ92" s="32"/>
      <c r="AK92" s="32"/>
      <c r="AL92" s="33"/>
      <c r="AM92" s="33"/>
    </row>
    <row r="93" spans="1:39" x14ac:dyDescent="0.3">
      <c r="A93" s="22"/>
      <c r="C93" s="23"/>
      <c r="F93" s="32"/>
      <c r="H93" s="32"/>
      <c r="I93" s="32"/>
      <c r="J93" s="198"/>
      <c r="K93" s="198"/>
      <c r="L93" s="32"/>
      <c r="M93" s="32"/>
      <c r="N93" s="33"/>
      <c r="O93" s="33"/>
      <c r="P93" s="32"/>
      <c r="Q93" s="32"/>
      <c r="R93" s="32"/>
      <c r="T93" s="23"/>
      <c r="V93" s="32"/>
      <c r="X93" s="195"/>
      <c r="Y93" s="119"/>
      <c r="Z93" s="32"/>
      <c r="AA93" s="32"/>
      <c r="AB93" s="33"/>
      <c r="AC93" s="33"/>
      <c r="AD93" s="32"/>
      <c r="AE93" s="32"/>
      <c r="AF93" s="44"/>
      <c r="AG93" s="44"/>
      <c r="AH93" s="22"/>
      <c r="AI93" s="22"/>
      <c r="AJ93" s="32"/>
      <c r="AK93" s="32"/>
      <c r="AL93" s="33"/>
      <c r="AM93" s="33"/>
    </row>
    <row r="94" spans="1:39" x14ac:dyDescent="0.3">
      <c r="F94" s="32"/>
      <c r="H94" s="34"/>
      <c r="I94" s="34"/>
      <c r="J94" s="198"/>
      <c r="K94" s="198"/>
      <c r="L94" s="34"/>
      <c r="M94" s="34"/>
      <c r="N94" s="34"/>
      <c r="O94" s="34"/>
      <c r="P94" s="34"/>
      <c r="Q94" s="34"/>
      <c r="R94" s="34"/>
      <c r="V94" s="34"/>
      <c r="X94" s="32"/>
      <c r="Y94" s="198"/>
      <c r="Z94" s="34"/>
      <c r="AA94" s="34"/>
      <c r="AB94" s="34"/>
      <c r="AC94" s="34"/>
      <c r="AD94" s="34"/>
      <c r="AE94" s="34"/>
      <c r="AH94" s="34"/>
      <c r="AI94" s="34"/>
      <c r="AJ94" s="34"/>
      <c r="AK94" s="34"/>
      <c r="AL94" s="33"/>
      <c r="AM94" s="33"/>
    </row>
    <row r="95" spans="1:39" x14ac:dyDescent="0.3">
      <c r="A95" s="22"/>
      <c r="C95" s="23"/>
      <c r="F95" s="32"/>
      <c r="H95" s="32"/>
      <c r="I95" s="32"/>
      <c r="J95" s="198"/>
      <c r="K95" s="198"/>
      <c r="L95" s="32"/>
      <c r="M95" s="32"/>
      <c r="N95" s="32"/>
      <c r="O95" s="32"/>
      <c r="P95" s="32"/>
      <c r="Q95" s="32"/>
      <c r="R95" s="32"/>
      <c r="T95" s="23"/>
      <c r="V95" s="32"/>
      <c r="X95" s="32"/>
      <c r="Y95" s="48"/>
      <c r="Z95" s="32"/>
      <c r="AA95" s="32"/>
      <c r="AB95" s="33"/>
      <c r="AC95" s="33"/>
      <c r="AD95" s="32"/>
      <c r="AE95" s="32"/>
      <c r="AF95" s="44"/>
      <c r="AG95" s="44"/>
      <c r="AH95" s="32"/>
      <c r="AI95" s="32"/>
      <c r="AJ95" s="32"/>
      <c r="AK95" s="32"/>
      <c r="AL95" s="33"/>
      <c r="AM95" s="33"/>
    </row>
    <row r="96" spans="1:39" x14ac:dyDescent="0.3">
      <c r="A96" s="22"/>
      <c r="C96" s="23"/>
      <c r="F96" s="32"/>
      <c r="H96" s="195"/>
      <c r="I96" s="195"/>
      <c r="J96" s="203"/>
      <c r="K96" s="203"/>
      <c r="L96" s="32"/>
      <c r="M96" s="32"/>
      <c r="N96" s="33"/>
      <c r="O96" s="33"/>
      <c r="P96" s="32"/>
      <c r="Q96" s="32"/>
      <c r="R96" s="32"/>
      <c r="V96" s="34"/>
      <c r="X96" s="32"/>
      <c r="Y96" s="198"/>
      <c r="Z96" s="34"/>
      <c r="AA96" s="34"/>
      <c r="AB96" s="34"/>
      <c r="AC96" s="34"/>
      <c r="AD96" s="34"/>
      <c r="AE96" s="34"/>
      <c r="AH96" s="34"/>
      <c r="AI96" s="34"/>
      <c r="AJ96" s="34"/>
      <c r="AK96" s="34"/>
      <c r="AL96" s="33"/>
      <c r="AM96" s="33"/>
    </row>
    <row r="97" spans="1:39" x14ac:dyDescent="0.3">
      <c r="A97" s="22"/>
      <c r="C97" s="23"/>
      <c r="H97" s="195"/>
      <c r="I97" s="195"/>
      <c r="J97" s="203"/>
      <c r="K97" s="203"/>
      <c r="L97" s="32"/>
      <c r="M97" s="32"/>
      <c r="N97" s="33"/>
      <c r="O97" s="33"/>
      <c r="P97" s="32"/>
      <c r="Q97" s="32"/>
      <c r="R97" s="32"/>
      <c r="T97" s="23"/>
      <c r="V97" s="195"/>
      <c r="X97" s="195"/>
      <c r="Y97" s="206"/>
      <c r="Z97" s="32"/>
      <c r="AA97" s="32"/>
      <c r="AB97" s="33"/>
      <c r="AC97" s="33"/>
      <c r="AD97" s="32"/>
      <c r="AE97" s="32"/>
      <c r="AF97" s="33"/>
      <c r="AG97" s="33"/>
      <c r="AH97" s="32"/>
      <c r="AI97" s="32"/>
      <c r="AJ97" s="32"/>
      <c r="AK97" s="32"/>
      <c r="AL97" s="33"/>
      <c r="AM97" s="33"/>
    </row>
    <row r="98" spans="1:39" x14ac:dyDescent="0.3">
      <c r="F98" s="32"/>
      <c r="H98" s="32"/>
      <c r="I98" s="32"/>
      <c r="J98" s="198"/>
      <c r="K98" s="198"/>
      <c r="L98" s="34"/>
      <c r="M98" s="34"/>
      <c r="N98" s="34"/>
      <c r="O98" s="34"/>
      <c r="P98" s="34"/>
      <c r="Q98" s="34"/>
      <c r="R98" s="34"/>
      <c r="T98" s="23"/>
      <c r="V98" s="195"/>
      <c r="X98" s="32"/>
      <c r="Y98" s="119"/>
      <c r="Z98" s="32"/>
      <c r="AA98" s="32"/>
      <c r="AB98" s="33"/>
      <c r="AC98" s="33"/>
      <c r="AD98" s="32"/>
      <c r="AE98" s="32"/>
      <c r="AF98" s="44"/>
      <c r="AG98" s="44"/>
      <c r="AH98" s="32"/>
      <c r="AI98" s="32"/>
      <c r="AJ98" s="32"/>
      <c r="AK98" s="32"/>
      <c r="AL98" s="33"/>
      <c r="AM98" s="33"/>
    </row>
    <row r="99" spans="1:39" x14ac:dyDescent="0.3">
      <c r="A99" s="22"/>
      <c r="C99" s="23"/>
      <c r="F99" s="32"/>
      <c r="H99" s="32"/>
      <c r="I99" s="32"/>
      <c r="J99" s="48"/>
      <c r="K99" s="48"/>
      <c r="L99" s="32"/>
      <c r="M99" s="32"/>
      <c r="N99" s="33"/>
      <c r="O99" s="33"/>
      <c r="P99" s="32"/>
      <c r="Q99" s="32"/>
      <c r="R99" s="32"/>
      <c r="T99" s="23"/>
      <c r="V99" s="195"/>
      <c r="X99" s="32"/>
      <c r="Y99" s="119"/>
      <c r="Z99" s="32"/>
      <c r="AA99" s="32"/>
      <c r="AB99" s="33"/>
      <c r="AC99" s="33"/>
      <c r="AD99" s="32"/>
      <c r="AE99" s="32"/>
      <c r="AF99" s="44"/>
      <c r="AG99" s="44"/>
      <c r="AH99" s="32"/>
      <c r="AI99" s="32"/>
      <c r="AJ99" s="32"/>
      <c r="AK99" s="32"/>
      <c r="AL99" s="33"/>
      <c r="AM99" s="33"/>
    </row>
    <row r="100" spans="1:39" x14ac:dyDescent="0.3">
      <c r="F100" s="32"/>
      <c r="H100" s="32"/>
      <c r="I100" s="32"/>
      <c r="J100" s="198"/>
      <c r="K100" s="198"/>
      <c r="L100" s="34"/>
      <c r="M100" s="34"/>
      <c r="N100" s="34"/>
      <c r="O100" s="34"/>
      <c r="P100" s="34"/>
      <c r="Q100" s="34"/>
      <c r="R100" s="34"/>
      <c r="V100" s="32"/>
      <c r="X100" s="34"/>
      <c r="Y100" s="198"/>
      <c r="Z100" s="34"/>
      <c r="AA100" s="34"/>
      <c r="AB100" s="34"/>
      <c r="AC100" s="34"/>
      <c r="AD100" s="34"/>
      <c r="AE100" s="34"/>
      <c r="AH100" s="34"/>
      <c r="AI100" s="34"/>
      <c r="AJ100" s="34"/>
      <c r="AK100" s="34"/>
      <c r="AL100" s="33"/>
      <c r="AM100" s="33"/>
    </row>
    <row r="101" spans="1:39" x14ac:dyDescent="0.3">
      <c r="A101" s="22"/>
      <c r="C101" s="23"/>
      <c r="F101" s="32"/>
      <c r="H101" s="32"/>
      <c r="I101" s="32"/>
      <c r="J101" s="48"/>
      <c r="K101" s="48"/>
      <c r="L101" s="32"/>
      <c r="M101" s="32"/>
      <c r="N101" s="33"/>
      <c r="O101" s="33"/>
      <c r="P101" s="32"/>
      <c r="Q101" s="32"/>
      <c r="R101" s="32"/>
      <c r="T101" s="23"/>
      <c r="V101" s="32"/>
      <c r="X101" s="32"/>
      <c r="Y101" s="198"/>
      <c r="Z101" s="32"/>
      <c r="AA101" s="32"/>
      <c r="AB101" s="33"/>
      <c r="AC101" s="33"/>
      <c r="AD101" s="32"/>
      <c r="AE101" s="32"/>
      <c r="AF101" s="44"/>
      <c r="AG101" s="44"/>
      <c r="AH101" s="32"/>
      <c r="AI101" s="32"/>
      <c r="AJ101" s="32"/>
      <c r="AK101" s="32"/>
      <c r="AL101" s="33"/>
      <c r="AM101" s="33"/>
    </row>
    <row r="102" spans="1:39" x14ac:dyDescent="0.3">
      <c r="A102" s="22"/>
      <c r="C102" s="23"/>
      <c r="F102" s="32"/>
      <c r="H102" s="195"/>
      <c r="I102" s="195"/>
      <c r="J102" s="197"/>
      <c r="K102" s="197"/>
      <c r="L102" s="32"/>
      <c r="M102" s="32"/>
      <c r="N102" s="33"/>
      <c r="O102" s="33"/>
      <c r="P102" s="32"/>
      <c r="Q102" s="32"/>
      <c r="R102" s="32"/>
      <c r="V102" s="32"/>
      <c r="X102" s="34"/>
      <c r="Y102" s="198"/>
      <c r="Z102" s="34"/>
      <c r="AA102" s="34"/>
      <c r="AB102" s="34"/>
      <c r="AC102" s="34"/>
      <c r="AD102" s="34"/>
      <c r="AE102" s="34"/>
      <c r="AH102" s="34"/>
      <c r="AI102" s="34"/>
      <c r="AJ102" s="34"/>
      <c r="AK102" s="34"/>
      <c r="AL102" s="33"/>
      <c r="AM102" s="33"/>
    </row>
    <row r="103" spans="1:39" x14ac:dyDescent="0.3">
      <c r="F103" s="34"/>
      <c r="H103" s="34"/>
      <c r="I103" s="34"/>
      <c r="J103" s="198"/>
      <c r="K103" s="198"/>
      <c r="L103" s="34"/>
      <c r="M103" s="34"/>
      <c r="N103" s="34"/>
      <c r="O103" s="34"/>
      <c r="P103" s="34"/>
      <c r="Q103" s="34"/>
      <c r="R103" s="34"/>
      <c r="T103" s="23"/>
      <c r="V103" s="32"/>
      <c r="X103" s="32"/>
      <c r="Y103" s="198"/>
      <c r="Z103" s="32"/>
      <c r="AA103" s="32"/>
      <c r="AB103" s="32"/>
      <c r="AC103" s="32"/>
      <c r="AD103" s="32"/>
      <c r="AE103" s="32"/>
      <c r="AF103" s="44"/>
      <c r="AG103" s="44"/>
      <c r="AH103" s="32"/>
      <c r="AI103" s="32"/>
      <c r="AJ103" s="32"/>
      <c r="AK103" s="32"/>
      <c r="AL103" s="33"/>
      <c r="AM103" s="33"/>
    </row>
    <row r="104" spans="1:39" x14ac:dyDescent="0.3">
      <c r="A104" s="22"/>
      <c r="C104" s="23"/>
      <c r="F104" s="32"/>
      <c r="H104" s="32"/>
      <c r="I104" s="32"/>
      <c r="J104" s="198"/>
      <c r="K104" s="198"/>
      <c r="L104" s="32"/>
      <c r="M104" s="32"/>
      <c r="N104" s="33"/>
      <c r="O104" s="33"/>
      <c r="P104" s="32"/>
      <c r="Q104" s="32"/>
      <c r="R104" s="32"/>
      <c r="S104" s="32"/>
      <c r="T104" s="23"/>
      <c r="V104" s="32"/>
      <c r="X104" s="32"/>
      <c r="Y104" s="203"/>
      <c r="Z104" s="32"/>
      <c r="AA104" s="32"/>
      <c r="AB104" s="33"/>
      <c r="AC104" s="33"/>
      <c r="AD104" s="32"/>
      <c r="AE104" s="32"/>
      <c r="AF104" s="44"/>
      <c r="AG104" s="44"/>
      <c r="AH104" s="32"/>
      <c r="AI104" s="32"/>
      <c r="AJ104" s="32"/>
      <c r="AK104" s="32"/>
      <c r="AL104" s="33"/>
      <c r="AM104" s="33"/>
    </row>
    <row r="105" spans="1:39" x14ac:dyDescent="0.3">
      <c r="F105" s="34"/>
      <c r="H105" s="34"/>
      <c r="I105" s="34"/>
      <c r="J105" s="198"/>
      <c r="K105" s="198"/>
      <c r="L105" s="34"/>
      <c r="M105" s="34"/>
      <c r="N105" s="34"/>
      <c r="O105" s="34"/>
      <c r="P105" s="34"/>
      <c r="Q105" s="34"/>
      <c r="R105" s="34"/>
      <c r="S105" s="32"/>
      <c r="T105" s="23"/>
      <c r="X105" s="32"/>
      <c r="Y105" s="203"/>
      <c r="Z105" s="32"/>
      <c r="AA105" s="32"/>
      <c r="AB105" s="33"/>
      <c r="AC105" s="33"/>
      <c r="AD105" s="32"/>
      <c r="AE105" s="32"/>
      <c r="AF105" s="44"/>
      <c r="AG105" s="44"/>
      <c r="AH105" s="32"/>
      <c r="AI105" s="32"/>
      <c r="AJ105" s="32"/>
      <c r="AK105" s="32"/>
      <c r="AL105" s="33"/>
      <c r="AM105" s="33"/>
    </row>
    <row r="106" spans="1:39" x14ac:dyDescent="0.3">
      <c r="A106" s="22"/>
      <c r="C106" s="23"/>
      <c r="F106" s="195"/>
      <c r="H106" s="212"/>
      <c r="I106" s="212"/>
      <c r="J106" s="198"/>
      <c r="K106" s="198"/>
      <c r="L106" s="32"/>
      <c r="M106" s="32"/>
      <c r="N106" s="33"/>
      <c r="O106" s="33"/>
      <c r="P106" s="32"/>
      <c r="Q106" s="32"/>
      <c r="R106" s="32"/>
      <c r="S106" s="32"/>
      <c r="V106" s="32"/>
      <c r="X106" s="32"/>
      <c r="Y106" s="198"/>
      <c r="Z106" s="34"/>
      <c r="AA106" s="34"/>
      <c r="AB106" s="34"/>
      <c r="AC106" s="34"/>
      <c r="AD106" s="34"/>
      <c r="AE106" s="34"/>
      <c r="AH106" s="34"/>
      <c r="AI106" s="34"/>
      <c r="AJ106" s="34"/>
      <c r="AK106" s="34"/>
      <c r="AL106" s="33"/>
      <c r="AM106" s="33"/>
    </row>
    <row r="107" spans="1:39" x14ac:dyDescent="0.3">
      <c r="T107" s="23"/>
      <c r="V107" s="32"/>
      <c r="X107" s="32"/>
      <c r="Y107" s="48"/>
      <c r="Z107" s="32"/>
      <c r="AA107" s="32"/>
      <c r="AB107" s="33"/>
      <c r="AC107" s="33"/>
      <c r="AD107" s="32"/>
      <c r="AE107" s="32"/>
      <c r="AF107" s="44"/>
      <c r="AG107" s="44"/>
      <c r="AH107" s="32"/>
      <c r="AI107" s="32"/>
      <c r="AJ107" s="32"/>
      <c r="AK107" s="32"/>
      <c r="AL107" s="33"/>
      <c r="AM107" s="33"/>
    </row>
    <row r="108" spans="1:39" x14ac:dyDescent="0.3">
      <c r="A108" s="22"/>
      <c r="C108" s="23"/>
      <c r="V108" s="32"/>
      <c r="X108" s="32"/>
      <c r="Y108" s="198"/>
      <c r="Z108" s="34"/>
      <c r="AA108" s="34"/>
      <c r="AB108" s="34"/>
      <c r="AC108" s="34"/>
      <c r="AD108" s="34"/>
      <c r="AE108" s="34"/>
      <c r="AH108" s="34"/>
      <c r="AI108" s="34"/>
      <c r="AJ108" s="34"/>
      <c r="AK108" s="34"/>
      <c r="AL108" s="33"/>
      <c r="AM108" s="33"/>
    </row>
    <row r="109" spans="1:39" x14ac:dyDescent="0.3">
      <c r="A109" s="22"/>
      <c r="C109" s="23"/>
      <c r="F109" s="195"/>
      <c r="H109" s="195"/>
      <c r="I109" s="195"/>
      <c r="J109" s="119"/>
      <c r="K109" s="119"/>
      <c r="L109" s="32"/>
      <c r="M109" s="32"/>
      <c r="N109" s="33"/>
      <c r="O109" s="33"/>
      <c r="P109" s="22"/>
      <c r="Q109" s="22"/>
      <c r="R109" s="32"/>
      <c r="T109" s="23"/>
      <c r="V109" s="32"/>
      <c r="X109" s="32"/>
      <c r="Y109" s="48"/>
      <c r="Z109" s="32"/>
      <c r="AA109" s="32"/>
      <c r="AB109" s="33"/>
      <c r="AC109" s="33"/>
      <c r="AD109" s="32"/>
      <c r="AE109" s="32"/>
      <c r="AF109" s="44"/>
      <c r="AG109" s="44"/>
      <c r="AH109" s="32"/>
      <c r="AI109" s="32"/>
      <c r="AJ109" s="32"/>
      <c r="AK109" s="32"/>
      <c r="AL109" s="33"/>
      <c r="AM109" s="33"/>
    </row>
    <row r="110" spans="1:39" x14ac:dyDescent="0.3">
      <c r="A110" s="22"/>
      <c r="C110" s="23"/>
      <c r="F110" s="195"/>
      <c r="H110" s="195"/>
      <c r="I110" s="195"/>
      <c r="J110" s="119"/>
      <c r="K110" s="119"/>
      <c r="L110" s="32"/>
      <c r="M110" s="32"/>
      <c r="N110" s="33"/>
      <c r="O110" s="33"/>
      <c r="P110" s="22"/>
      <c r="Q110" s="22"/>
      <c r="R110" s="32"/>
      <c r="T110" s="23"/>
      <c r="V110" s="195"/>
      <c r="X110" s="32"/>
      <c r="Y110" s="197"/>
      <c r="Z110" s="32"/>
      <c r="AA110" s="32"/>
      <c r="AB110" s="33"/>
      <c r="AC110" s="33"/>
      <c r="AD110" s="32"/>
      <c r="AE110" s="32"/>
      <c r="AF110" s="44"/>
      <c r="AG110" s="44"/>
      <c r="AH110" s="32"/>
      <c r="AI110" s="32"/>
      <c r="AJ110" s="32"/>
      <c r="AK110" s="32"/>
      <c r="AL110" s="33"/>
      <c r="AM110" s="33"/>
    </row>
    <row r="111" spans="1:39" x14ac:dyDescent="0.3">
      <c r="A111" s="22"/>
      <c r="C111" s="23"/>
      <c r="F111" s="195"/>
      <c r="H111" s="195"/>
      <c r="I111" s="195"/>
      <c r="J111" s="119"/>
      <c r="K111" s="119"/>
      <c r="L111" s="32"/>
      <c r="M111" s="32"/>
      <c r="N111" s="33"/>
      <c r="O111" s="33"/>
      <c r="P111" s="22"/>
      <c r="Q111" s="22"/>
      <c r="R111" s="32"/>
      <c r="V111" s="34"/>
      <c r="X111" s="34"/>
      <c r="Y111" s="198"/>
      <c r="Z111" s="34"/>
      <c r="AA111" s="34"/>
      <c r="AB111" s="34"/>
      <c r="AC111" s="34"/>
      <c r="AD111" s="34"/>
      <c r="AE111" s="34"/>
      <c r="AH111" s="34"/>
      <c r="AI111" s="34"/>
      <c r="AJ111" s="34"/>
      <c r="AK111" s="34"/>
      <c r="AL111" s="33"/>
      <c r="AM111" s="33"/>
    </row>
    <row r="112" spans="1:39" x14ac:dyDescent="0.3">
      <c r="F112" s="34"/>
      <c r="H112" s="32"/>
      <c r="I112" s="32"/>
      <c r="J112" s="198"/>
      <c r="K112" s="198"/>
      <c r="L112" s="34"/>
      <c r="M112" s="34"/>
      <c r="N112" s="34"/>
      <c r="O112" s="34"/>
      <c r="P112" s="34"/>
      <c r="Q112" s="34"/>
      <c r="R112" s="34"/>
      <c r="T112" s="23"/>
      <c r="V112" s="32"/>
      <c r="X112" s="32"/>
      <c r="Y112" s="198"/>
      <c r="Z112" s="32"/>
      <c r="AA112" s="32"/>
      <c r="AB112" s="33"/>
      <c r="AC112" s="33"/>
      <c r="AD112" s="32"/>
      <c r="AE112" s="32"/>
      <c r="AF112" s="33"/>
      <c r="AG112" s="33"/>
      <c r="AH112" s="32"/>
      <c r="AI112" s="32"/>
      <c r="AJ112" s="32"/>
      <c r="AK112" s="32"/>
      <c r="AL112" s="33"/>
      <c r="AM112" s="33"/>
    </row>
    <row r="113" spans="1:39" x14ac:dyDescent="0.3">
      <c r="A113" s="22"/>
      <c r="C113" s="23"/>
      <c r="F113" s="32"/>
      <c r="H113" s="32"/>
      <c r="I113" s="32"/>
      <c r="J113" s="198"/>
      <c r="K113" s="198"/>
      <c r="L113" s="32"/>
      <c r="M113" s="32"/>
      <c r="N113" s="33"/>
      <c r="O113" s="33"/>
      <c r="P113" s="32"/>
      <c r="Q113" s="32"/>
      <c r="R113" s="32"/>
      <c r="V113" s="34"/>
      <c r="X113" s="34"/>
      <c r="Y113" s="198"/>
      <c r="Z113" s="34"/>
      <c r="AA113" s="34"/>
      <c r="AB113" s="34"/>
      <c r="AC113" s="34"/>
      <c r="AD113" s="34"/>
      <c r="AE113" s="34"/>
      <c r="AH113" s="34"/>
      <c r="AI113" s="34"/>
      <c r="AJ113" s="34"/>
      <c r="AK113" s="34"/>
      <c r="AL113" s="33"/>
      <c r="AM113" s="33"/>
    </row>
    <row r="114" spans="1:39" x14ac:dyDescent="0.3">
      <c r="F114" s="34"/>
      <c r="H114" s="32"/>
      <c r="I114" s="32"/>
      <c r="J114" s="198"/>
      <c r="K114" s="198"/>
      <c r="L114" s="34"/>
      <c r="M114" s="34"/>
      <c r="N114" s="34"/>
      <c r="O114" s="34"/>
      <c r="P114" s="34"/>
      <c r="Q114" s="34"/>
      <c r="R114" s="34"/>
      <c r="T114" s="23"/>
      <c r="V114" s="195"/>
      <c r="X114" s="195"/>
      <c r="Y114" s="198"/>
      <c r="Z114" s="32"/>
      <c r="AA114" s="32"/>
      <c r="AB114" s="33"/>
      <c r="AC114" s="33"/>
      <c r="AD114" s="32"/>
      <c r="AE114" s="32"/>
      <c r="AH114" s="32"/>
      <c r="AI114" s="32"/>
      <c r="AJ114" s="32"/>
      <c r="AK114" s="32"/>
      <c r="AL114" s="33"/>
      <c r="AM114" s="33"/>
    </row>
    <row r="115" spans="1:39" x14ac:dyDescent="0.3">
      <c r="A115" s="22"/>
      <c r="C115" s="23"/>
      <c r="F115" s="195"/>
      <c r="H115" s="195"/>
      <c r="I115" s="195"/>
      <c r="J115" s="206"/>
      <c r="K115" s="206"/>
      <c r="L115" s="32"/>
      <c r="M115" s="32"/>
      <c r="N115" s="33"/>
      <c r="O115" s="33"/>
      <c r="P115" s="32"/>
      <c r="Q115" s="32"/>
      <c r="R115" s="32"/>
      <c r="S115" s="32"/>
    </row>
    <row r="116" spans="1:39" x14ac:dyDescent="0.3">
      <c r="A116" s="22"/>
      <c r="C116" s="23"/>
      <c r="F116" s="195"/>
      <c r="H116" s="195"/>
      <c r="I116" s="195"/>
      <c r="J116" s="119"/>
      <c r="K116" s="119"/>
      <c r="L116" s="32"/>
      <c r="M116" s="32"/>
      <c r="N116" s="33"/>
      <c r="O116" s="33"/>
      <c r="P116" s="32"/>
      <c r="Q116" s="32"/>
      <c r="R116" s="32"/>
      <c r="T116" s="23"/>
    </row>
    <row r="117" spans="1:39" x14ac:dyDescent="0.3">
      <c r="A117" s="22"/>
      <c r="C117" s="23"/>
      <c r="F117" s="195"/>
      <c r="H117" s="195"/>
      <c r="I117" s="195"/>
      <c r="J117" s="119"/>
      <c r="K117" s="119"/>
      <c r="L117" s="32"/>
      <c r="M117" s="32"/>
      <c r="N117" s="33"/>
      <c r="O117" s="33"/>
      <c r="P117" s="32"/>
      <c r="Q117" s="32"/>
      <c r="R117" s="32"/>
      <c r="T117" s="23"/>
      <c r="V117" s="32"/>
      <c r="X117" s="195"/>
      <c r="Y117" s="119"/>
      <c r="Z117" s="32"/>
      <c r="AA117" s="32"/>
      <c r="AB117" s="33"/>
      <c r="AC117" s="33"/>
      <c r="AD117" s="32"/>
      <c r="AE117" s="32"/>
      <c r="AF117" s="204"/>
      <c r="AG117" s="204"/>
      <c r="AH117" s="22"/>
      <c r="AI117" s="22"/>
      <c r="AJ117" s="32"/>
      <c r="AK117" s="32"/>
      <c r="AL117" s="208"/>
      <c r="AM117" s="208"/>
    </row>
    <row r="118" spans="1:39" x14ac:dyDescent="0.3">
      <c r="F118" s="32"/>
      <c r="H118" s="34"/>
      <c r="I118" s="34"/>
      <c r="J118" s="198"/>
      <c r="K118" s="198"/>
      <c r="L118" s="34"/>
      <c r="M118" s="34"/>
      <c r="N118" s="34"/>
      <c r="O118" s="34"/>
      <c r="P118" s="34"/>
      <c r="Q118" s="34"/>
      <c r="R118" s="34"/>
      <c r="T118" s="23"/>
      <c r="V118" s="32"/>
      <c r="X118" s="195"/>
      <c r="Y118" s="119"/>
      <c r="Z118" s="32"/>
      <c r="AA118" s="32"/>
      <c r="AB118" s="33"/>
      <c r="AC118" s="33"/>
      <c r="AD118" s="32"/>
      <c r="AE118" s="32"/>
      <c r="AF118" s="44"/>
      <c r="AG118" s="44"/>
      <c r="AH118" s="22"/>
      <c r="AI118" s="22"/>
      <c r="AJ118" s="32"/>
      <c r="AK118" s="32"/>
      <c r="AL118" s="33"/>
      <c r="AM118" s="33"/>
    </row>
    <row r="119" spans="1:39" x14ac:dyDescent="0.3">
      <c r="A119" s="22"/>
      <c r="C119" s="23"/>
      <c r="F119" s="32"/>
      <c r="H119" s="32"/>
      <c r="I119" s="32"/>
      <c r="J119" s="198"/>
      <c r="K119" s="198"/>
      <c r="L119" s="32"/>
      <c r="M119" s="32"/>
      <c r="N119" s="33"/>
      <c r="O119" s="33"/>
      <c r="P119" s="32"/>
      <c r="Q119" s="32"/>
      <c r="R119" s="32"/>
      <c r="T119" s="23"/>
      <c r="V119" s="32"/>
      <c r="X119" s="195"/>
      <c r="Y119" s="119"/>
      <c r="Z119" s="32"/>
      <c r="AA119" s="32"/>
      <c r="AB119" s="33"/>
      <c r="AC119" s="33"/>
      <c r="AD119" s="32"/>
      <c r="AE119" s="32"/>
      <c r="AF119" s="44"/>
      <c r="AG119" s="44"/>
      <c r="AH119" s="22"/>
      <c r="AI119" s="22"/>
      <c r="AJ119" s="32"/>
      <c r="AK119" s="32"/>
      <c r="AL119" s="33"/>
      <c r="AM119" s="33"/>
    </row>
    <row r="120" spans="1:39" x14ac:dyDescent="0.3">
      <c r="F120" s="32"/>
      <c r="H120" s="34"/>
      <c r="I120" s="34"/>
      <c r="J120" s="198"/>
      <c r="K120" s="198"/>
      <c r="L120" s="34"/>
      <c r="M120" s="34"/>
      <c r="N120" s="34"/>
      <c r="O120" s="34"/>
      <c r="P120" s="34"/>
      <c r="Q120" s="34"/>
      <c r="R120" s="34"/>
      <c r="V120" s="34"/>
      <c r="X120" s="32"/>
      <c r="Y120" s="198"/>
      <c r="Z120" s="34"/>
      <c r="AA120" s="34"/>
      <c r="AB120" s="34"/>
      <c r="AC120" s="34"/>
      <c r="AD120" s="34"/>
      <c r="AE120" s="34"/>
      <c r="AH120" s="34"/>
      <c r="AI120" s="34"/>
      <c r="AJ120" s="34"/>
      <c r="AK120" s="34"/>
      <c r="AL120" s="33"/>
      <c r="AM120" s="33"/>
    </row>
    <row r="121" spans="1:39" x14ac:dyDescent="0.3">
      <c r="A121" s="22"/>
      <c r="C121" s="23"/>
      <c r="F121" s="32"/>
      <c r="H121" s="32"/>
      <c r="I121" s="32"/>
      <c r="J121" s="198"/>
      <c r="K121" s="198"/>
      <c r="L121" s="32"/>
      <c r="M121" s="32"/>
      <c r="N121" s="32"/>
      <c r="O121" s="32"/>
      <c r="P121" s="32"/>
      <c r="Q121" s="32"/>
      <c r="R121" s="32"/>
      <c r="T121" s="23"/>
      <c r="V121" s="32"/>
      <c r="X121" s="32"/>
      <c r="Y121" s="198"/>
      <c r="Z121" s="32"/>
      <c r="AA121" s="32"/>
      <c r="AB121" s="33"/>
      <c r="AC121" s="33"/>
      <c r="AD121" s="32"/>
      <c r="AE121" s="32"/>
      <c r="AF121" s="44"/>
      <c r="AG121" s="44"/>
      <c r="AH121" s="32"/>
      <c r="AI121" s="32"/>
      <c r="AJ121" s="32"/>
      <c r="AK121" s="32"/>
      <c r="AL121" s="33"/>
      <c r="AM121" s="33"/>
    </row>
    <row r="122" spans="1:39" x14ac:dyDescent="0.3">
      <c r="A122" s="22"/>
      <c r="C122" s="23"/>
      <c r="F122" s="32"/>
      <c r="H122" s="195"/>
      <c r="I122" s="195"/>
      <c r="J122" s="203"/>
      <c r="K122" s="203"/>
      <c r="L122" s="32"/>
      <c r="M122" s="32"/>
      <c r="N122" s="33"/>
      <c r="O122" s="33"/>
      <c r="P122" s="32"/>
      <c r="Q122" s="32"/>
      <c r="R122" s="32"/>
      <c r="V122" s="34"/>
      <c r="X122" s="32"/>
      <c r="Y122" s="198"/>
      <c r="Z122" s="34"/>
      <c r="AA122" s="34"/>
      <c r="AB122" s="34"/>
      <c r="AC122" s="34"/>
      <c r="AD122" s="34"/>
      <c r="AE122" s="34"/>
      <c r="AH122" s="34"/>
      <c r="AI122" s="34"/>
      <c r="AJ122" s="34"/>
      <c r="AK122" s="34"/>
      <c r="AL122" s="33"/>
      <c r="AM122" s="33"/>
    </row>
    <row r="123" spans="1:39" x14ac:dyDescent="0.3">
      <c r="A123" s="22"/>
      <c r="C123" s="23"/>
      <c r="H123" s="195"/>
      <c r="I123" s="195"/>
      <c r="J123" s="203"/>
      <c r="K123" s="203"/>
      <c r="L123" s="32"/>
      <c r="M123" s="32"/>
      <c r="N123" s="33"/>
      <c r="O123" s="33"/>
      <c r="P123" s="32"/>
      <c r="Q123" s="32"/>
      <c r="R123" s="32"/>
      <c r="T123" s="23"/>
      <c r="V123" s="195"/>
      <c r="X123" s="195"/>
      <c r="Y123" s="206"/>
      <c r="Z123" s="32"/>
      <c r="AA123" s="32"/>
      <c r="AB123" s="33"/>
      <c r="AC123" s="33"/>
      <c r="AD123" s="32"/>
      <c r="AE123" s="32"/>
      <c r="AF123" s="33"/>
      <c r="AG123" s="33"/>
      <c r="AH123" s="32"/>
      <c r="AI123" s="32"/>
      <c r="AJ123" s="32"/>
      <c r="AK123" s="32"/>
      <c r="AL123" s="33"/>
      <c r="AM123" s="33"/>
    </row>
    <row r="124" spans="1:39" x14ac:dyDescent="0.3">
      <c r="F124" s="32"/>
      <c r="H124" s="32"/>
      <c r="I124" s="32"/>
      <c r="J124" s="198"/>
      <c r="K124" s="198"/>
      <c r="L124" s="34"/>
      <c r="M124" s="34"/>
      <c r="N124" s="34"/>
      <c r="O124" s="34"/>
      <c r="P124" s="34"/>
      <c r="Q124" s="34"/>
      <c r="R124" s="34"/>
      <c r="T124" s="23"/>
      <c r="V124" s="195"/>
      <c r="X124" s="32"/>
      <c r="Y124" s="119"/>
      <c r="Z124" s="32"/>
      <c r="AA124" s="32"/>
      <c r="AB124" s="33"/>
      <c r="AC124" s="33"/>
      <c r="AD124" s="32"/>
      <c r="AE124" s="32"/>
      <c r="AF124" s="44"/>
      <c r="AG124" s="44"/>
      <c r="AH124" s="32"/>
      <c r="AI124" s="32"/>
      <c r="AJ124" s="32"/>
      <c r="AK124" s="32"/>
      <c r="AL124" s="33"/>
      <c r="AM124" s="33"/>
    </row>
    <row r="125" spans="1:39" x14ac:dyDescent="0.3">
      <c r="A125" s="22"/>
      <c r="C125" s="23"/>
      <c r="F125" s="32"/>
      <c r="H125" s="32"/>
      <c r="I125" s="32"/>
      <c r="J125" s="48"/>
      <c r="K125" s="48"/>
      <c r="L125" s="32"/>
      <c r="M125" s="32"/>
      <c r="N125" s="33"/>
      <c r="O125" s="33"/>
      <c r="P125" s="32"/>
      <c r="Q125" s="32"/>
      <c r="R125" s="32"/>
      <c r="T125" s="23"/>
      <c r="V125" s="195"/>
      <c r="X125" s="32"/>
      <c r="Y125" s="119"/>
      <c r="Z125" s="32"/>
      <c r="AA125" s="32"/>
      <c r="AB125" s="33"/>
      <c r="AC125" s="33"/>
      <c r="AD125" s="32"/>
      <c r="AE125" s="32"/>
      <c r="AF125" s="44"/>
      <c r="AG125" s="44"/>
      <c r="AH125" s="32"/>
      <c r="AI125" s="32"/>
      <c r="AJ125" s="32"/>
      <c r="AK125" s="32"/>
      <c r="AL125" s="33"/>
      <c r="AM125" s="33"/>
    </row>
    <row r="126" spans="1:39" x14ac:dyDescent="0.3">
      <c r="F126" s="32"/>
      <c r="H126" s="32"/>
      <c r="I126" s="32"/>
      <c r="J126" s="198"/>
      <c r="K126" s="198"/>
      <c r="L126" s="34"/>
      <c r="M126" s="34"/>
      <c r="N126" s="34"/>
      <c r="O126" s="34"/>
      <c r="P126" s="34"/>
      <c r="Q126" s="34"/>
      <c r="R126" s="34"/>
      <c r="V126" s="32"/>
      <c r="X126" s="34"/>
      <c r="Y126" s="198"/>
      <c r="Z126" s="34"/>
      <c r="AA126" s="34"/>
      <c r="AB126" s="34"/>
      <c r="AC126" s="34"/>
      <c r="AD126" s="34"/>
      <c r="AE126" s="34"/>
      <c r="AH126" s="34"/>
      <c r="AI126" s="34"/>
      <c r="AJ126" s="34"/>
      <c r="AK126" s="34"/>
      <c r="AL126" s="33"/>
      <c r="AM126" s="33"/>
    </row>
    <row r="127" spans="1:39" x14ac:dyDescent="0.3">
      <c r="A127" s="22"/>
      <c r="C127" s="23"/>
      <c r="F127" s="32"/>
      <c r="H127" s="32"/>
      <c r="I127" s="32"/>
      <c r="J127" s="48"/>
      <c r="K127" s="48"/>
      <c r="L127" s="32"/>
      <c r="M127" s="32"/>
      <c r="N127" s="33"/>
      <c r="O127" s="33"/>
      <c r="P127" s="32"/>
      <c r="Q127" s="32"/>
      <c r="R127" s="32"/>
      <c r="T127" s="23"/>
      <c r="V127" s="32"/>
      <c r="X127" s="32"/>
      <c r="Y127" s="198"/>
      <c r="Z127" s="32"/>
      <c r="AA127" s="32"/>
      <c r="AB127" s="33"/>
      <c r="AC127" s="33"/>
      <c r="AD127" s="32"/>
      <c r="AE127" s="32"/>
      <c r="AF127" s="44"/>
      <c r="AG127" s="44"/>
      <c r="AH127" s="32"/>
      <c r="AI127" s="32"/>
      <c r="AJ127" s="32"/>
      <c r="AK127" s="32"/>
      <c r="AL127" s="33"/>
      <c r="AM127" s="33"/>
    </row>
    <row r="128" spans="1:39" x14ac:dyDescent="0.3">
      <c r="A128" s="22"/>
      <c r="C128" s="23"/>
      <c r="F128" s="195"/>
      <c r="H128" s="195"/>
      <c r="I128" s="195"/>
      <c r="J128" s="197"/>
      <c r="K128" s="197"/>
      <c r="L128" s="32"/>
      <c r="M128" s="32"/>
      <c r="N128" s="33"/>
      <c r="O128" s="33"/>
      <c r="P128" s="32"/>
      <c r="Q128" s="32"/>
      <c r="R128" s="32"/>
      <c r="V128" s="32"/>
      <c r="X128" s="34"/>
      <c r="Y128" s="198"/>
      <c r="Z128" s="34"/>
      <c r="AA128" s="34"/>
      <c r="AB128" s="34"/>
      <c r="AC128" s="34"/>
      <c r="AD128" s="34"/>
      <c r="AE128" s="34"/>
      <c r="AH128" s="34"/>
      <c r="AI128" s="34"/>
      <c r="AJ128" s="34"/>
      <c r="AK128" s="34"/>
      <c r="AL128" s="33"/>
      <c r="AM128" s="33"/>
    </row>
    <row r="129" spans="1:39" x14ac:dyDescent="0.3">
      <c r="F129" s="34"/>
      <c r="H129" s="34"/>
      <c r="I129" s="34"/>
      <c r="J129" s="198"/>
      <c r="K129" s="198"/>
      <c r="L129" s="34"/>
      <c r="M129" s="34"/>
      <c r="N129" s="34"/>
      <c r="O129" s="34"/>
      <c r="P129" s="34"/>
      <c r="Q129" s="34"/>
      <c r="R129" s="34"/>
      <c r="T129" s="23"/>
      <c r="V129" s="32"/>
      <c r="X129" s="32"/>
      <c r="Y129" s="198"/>
      <c r="Z129" s="32"/>
      <c r="AA129" s="32"/>
      <c r="AB129" s="32"/>
      <c r="AC129" s="32"/>
      <c r="AD129" s="32"/>
      <c r="AE129" s="32"/>
      <c r="AF129" s="44"/>
      <c r="AG129" s="44"/>
      <c r="AH129" s="32"/>
      <c r="AI129" s="32"/>
      <c r="AJ129" s="32"/>
      <c r="AK129" s="32"/>
      <c r="AL129" s="33"/>
      <c r="AM129" s="33"/>
    </row>
    <row r="130" spans="1:39" x14ac:dyDescent="0.3">
      <c r="A130" s="22"/>
      <c r="C130" s="23"/>
      <c r="F130" s="32"/>
      <c r="H130" s="32"/>
      <c r="I130" s="32"/>
      <c r="J130" s="198"/>
      <c r="K130" s="198"/>
      <c r="L130" s="32"/>
      <c r="M130" s="32"/>
      <c r="N130" s="33"/>
      <c r="O130" s="33"/>
      <c r="P130" s="32"/>
      <c r="Q130" s="32"/>
      <c r="R130" s="32"/>
      <c r="S130" s="32"/>
      <c r="T130" s="23"/>
      <c r="V130" s="32"/>
      <c r="X130" s="32"/>
      <c r="Y130" s="203"/>
      <c r="Z130" s="32"/>
      <c r="AA130" s="32"/>
      <c r="AB130" s="33"/>
      <c r="AC130" s="33"/>
      <c r="AD130" s="32"/>
      <c r="AE130" s="32"/>
      <c r="AF130" s="44"/>
      <c r="AG130" s="44"/>
      <c r="AH130" s="32"/>
      <c r="AI130" s="32"/>
      <c r="AJ130" s="32"/>
      <c r="AK130" s="32"/>
      <c r="AL130" s="33"/>
      <c r="AM130" s="33"/>
    </row>
    <row r="131" spans="1:39" x14ac:dyDescent="0.3">
      <c r="F131" s="34"/>
      <c r="H131" s="34"/>
      <c r="I131" s="34"/>
      <c r="J131" s="198"/>
      <c r="K131" s="198"/>
      <c r="L131" s="34"/>
      <c r="M131" s="34"/>
      <c r="N131" s="34"/>
      <c r="O131" s="34"/>
      <c r="P131" s="34"/>
      <c r="Q131" s="34"/>
      <c r="R131" s="34"/>
      <c r="S131" s="32"/>
      <c r="T131" s="23"/>
      <c r="X131" s="32"/>
      <c r="Y131" s="203"/>
      <c r="Z131" s="32"/>
      <c r="AA131" s="32"/>
      <c r="AB131" s="33"/>
      <c r="AC131" s="33"/>
      <c r="AD131" s="32"/>
      <c r="AE131" s="32"/>
      <c r="AF131" s="44"/>
      <c r="AG131" s="44"/>
      <c r="AH131" s="32"/>
      <c r="AI131" s="32"/>
      <c r="AJ131" s="32"/>
      <c r="AK131" s="32"/>
      <c r="AL131" s="33"/>
      <c r="AM131" s="33"/>
    </row>
    <row r="132" spans="1:39" x14ac:dyDescent="0.3">
      <c r="A132" s="22"/>
      <c r="C132" s="23"/>
      <c r="V132" s="32"/>
      <c r="X132" s="32"/>
      <c r="Y132" s="198"/>
      <c r="Z132" s="34"/>
      <c r="AA132" s="34"/>
      <c r="AB132" s="34"/>
      <c r="AC132" s="34"/>
      <c r="AD132" s="34"/>
      <c r="AE132" s="34"/>
      <c r="AH132" s="34"/>
      <c r="AI132" s="34"/>
      <c r="AJ132" s="34"/>
      <c r="AK132" s="34"/>
      <c r="AL132" s="33"/>
      <c r="AM132" s="33"/>
    </row>
    <row r="133" spans="1:39" x14ac:dyDescent="0.3">
      <c r="A133" s="22"/>
      <c r="C133" s="23"/>
      <c r="F133" s="32"/>
      <c r="H133" s="32"/>
      <c r="I133" s="32"/>
      <c r="L133" s="32"/>
      <c r="M133" s="32"/>
      <c r="N133" s="33"/>
      <c r="O133" s="33"/>
      <c r="P133" s="195"/>
      <c r="Q133" s="195"/>
      <c r="R133" s="32"/>
      <c r="T133" s="23"/>
      <c r="V133" s="32"/>
      <c r="X133" s="32"/>
      <c r="Y133" s="48"/>
      <c r="Z133" s="32"/>
      <c r="AA133" s="32"/>
      <c r="AB133" s="33"/>
      <c r="AC133" s="33"/>
      <c r="AD133" s="32"/>
      <c r="AE133" s="32"/>
      <c r="AF133" s="44"/>
      <c r="AG133" s="44"/>
      <c r="AH133" s="32"/>
      <c r="AI133" s="32"/>
      <c r="AJ133" s="32"/>
      <c r="AK133" s="32"/>
      <c r="AL133" s="33"/>
      <c r="AM133" s="33"/>
    </row>
    <row r="134" spans="1:39" x14ac:dyDescent="0.3">
      <c r="F134" s="34"/>
      <c r="H134" s="34"/>
      <c r="I134" s="34"/>
      <c r="J134" s="198"/>
      <c r="K134" s="198"/>
      <c r="L134" s="34"/>
      <c r="M134" s="34"/>
      <c r="N134" s="34"/>
      <c r="O134" s="34"/>
      <c r="P134" s="34"/>
      <c r="Q134" s="34"/>
      <c r="R134" s="34"/>
      <c r="V134" s="32"/>
      <c r="X134" s="32"/>
      <c r="Y134" s="198"/>
      <c r="Z134" s="34"/>
      <c r="AA134" s="34"/>
      <c r="AB134" s="34"/>
      <c r="AC134" s="34"/>
      <c r="AD134" s="34"/>
      <c r="AE134" s="34"/>
      <c r="AH134" s="34"/>
      <c r="AI134" s="34"/>
      <c r="AJ134" s="34"/>
      <c r="AK134" s="34"/>
      <c r="AL134" s="33"/>
      <c r="AM134" s="33"/>
    </row>
    <row r="135" spans="1:39" x14ac:dyDescent="0.3">
      <c r="T135" s="23"/>
      <c r="V135" s="32"/>
      <c r="X135" s="32"/>
      <c r="Y135" s="48"/>
      <c r="Z135" s="32"/>
      <c r="AA135" s="32"/>
      <c r="AB135" s="33"/>
      <c r="AC135" s="33"/>
      <c r="AD135" s="32"/>
      <c r="AE135" s="32"/>
      <c r="AF135" s="44"/>
      <c r="AG135" s="44"/>
      <c r="AH135" s="32"/>
      <c r="AI135" s="32"/>
      <c r="AJ135" s="32"/>
      <c r="AK135" s="32"/>
      <c r="AL135" s="33"/>
      <c r="AM135" s="33"/>
    </row>
    <row r="136" spans="1:39" x14ac:dyDescent="0.3">
      <c r="C136" s="23"/>
      <c r="L136" s="32"/>
      <c r="M136" s="32"/>
      <c r="N136" s="32"/>
      <c r="O136" s="32"/>
      <c r="P136" s="32"/>
      <c r="Q136" s="32"/>
      <c r="R136" s="32"/>
      <c r="S136" s="32"/>
      <c r="T136" s="23"/>
      <c r="V136" s="195"/>
      <c r="X136" s="32"/>
      <c r="Y136" s="197"/>
      <c r="Z136" s="32"/>
      <c r="AA136" s="32"/>
      <c r="AB136" s="33"/>
      <c r="AC136" s="33"/>
      <c r="AD136" s="32"/>
      <c r="AE136" s="32"/>
      <c r="AF136" s="44"/>
      <c r="AG136" s="44"/>
      <c r="AH136" s="32"/>
      <c r="AI136" s="32"/>
      <c r="AJ136" s="32"/>
      <c r="AK136" s="32"/>
      <c r="AL136" s="33"/>
      <c r="AM136" s="33"/>
    </row>
    <row r="137" spans="1:39" x14ac:dyDescent="0.3">
      <c r="A137" s="23"/>
      <c r="V137" s="34"/>
      <c r="X137" s="34"/>
      <c r="Y137" s="198"/>
      <c r="Z137" s="34"/>
      <c r="AA137" s="34"/>
      <c r="AB137" s="34"/>
      <c r="AC137" s="34"/>
      <c r="AD137" s="34"/>
      <c r="AE137" s="34"/>
      <c r="AH137" s="34"/>
      <c r="AI137" s="34"/>
      <c r="AJ137" s="34"/>
      <c r="AK137" s="34"/>
      <c r="AL137" s="33"/>
      <c r="AM137" s="33"/>
    </row>
    <row r="138" spans="1:39" x14ac:dyDescent="0.3">
      <c r="J138" s="22"/>
      <c r="K138" s="22"/>
      <c r="T138" s="23"/>
      <c r="V138" s="32"/>
      <c r="X138" s="32"/>
      <c r="Y138" s="198"/>
      <c r="Z138" s="32"/>
      <c r="AA138" s="32"/>
      <c r="AB138" s="33"/>
      <c r="AC138" s="33"/>
      <c r="AD138" s="32"/>
      <c r="AE138" s="32"/>
      <c r="AF138" s="33"/>
      <c r="AG138" s="33"/>
      <c r="AH138" s="32"/>
      <c r="AI138" s="32"/>
      <c r="AJ138" s="32"/>
      <c r="AK138" s="32"/>
      <c r="AL138" s="33"/>
      <c r="AM138" s="33"/>
    </row>
    <row r="139" spans="1:39" x14ac:dyDescent="0.3">
      <c r="H139" s="23"/>
      <c r="I139" s="23"/>
      <c r="V139" s="34"/>
      <c r="X139" s="34"/>
      <c r="Y139" s="198"/>
      <c r="Z139" s="34"/>
      <c r="AA139" s="34"/>
      <c r="AB139" s="34"/>
      <c r="AC139" s="34"/>
      <c r="AD139" s="34"/>
      <c r="AE139" s="34"/>
      <c r="AH139" s="34"/>
      <c r="AI139" s="34"/>
      <c r="AJ139" s="34"/>
      <c r="AK139" s="34"/>
      <c r="AL139" s="33"/>
      <c r="AM139" s="33"/>
    </row>
    <row r="140" spans="1:39" x14ac:dyDescent="0.3">
      <c r="J140" s="22"/>
      <c r="K140" s="22"/>
      <c r="T140" s="23"/>
    </row>
    <row r="141" spans="1:39" x14ac:dyDescent="0.3">
      <c r="L141" s="23"/>
      <c r="M141" s="23"/>
      <c r="Z141" s="23"/>
      <c r="AA141" s="23"/>
    </row>
    <row r="142" spans="1:39" x14ac:dyDescent="0.3">
      <c r="A142" s="22"/>
      <c r="R142" s="23"/>
      <c r="AJ142" s="23"/>
      <c r="AK142" s="23"/>
    </row>
    <row r="143" spans="1:39" x14ac:dyDescent="0.3">
      <c r="A143" s="22"/>
      <c r="R143" s="23"/>
      <c r="AJ143" s="23"/>
      <c r="AK143" s="23"/>
    </row>
    <row r="144" spans="1:39" x14ac:dyDescent="0.3">
      <c r="A144" s="23"/>
      <c r="R144" s="23"/>
      <c r="AJ144" s="23"/>
      <c r="AK144" s="23"/>
    </row>
    <row r="145" spans="1:39" x14ac:dyDescent="0.3">
      <c r="L145" s="23"/>
      <c r="M145" s="23"/>
      <c r="R145" s="22"/>
      <c r="Z145" s="23"/>
      <c r="AA145" s="23"/>
      <c r="AJ145" s="22"/>
      <c r="AK145" s="22"/>
    </row>
    <row r="146" spans="1:39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</row>
    <row r="147" spans="1:39" x14ac:dyDescent="0.3">
      <c r="L147" s="30"/>
      <c r="M147" s="30"/>
      <c r="N147" s="30"/>
      <c r="O147" s="30"/>
      <c r="R147" s="30"/>
      <c r="Z147" s="30"/>
      <c r="AA147" s="30"/>
      <c r="AB147" s="30"/>
      <c r="AC147" s="30"/>
      <c r="AD147" s="30"/>
      <c r="AE147" s="30"/>
      <c r="AF147" s="30"/>
      <c r="AG147" s="30"/>
      <c r="AJ147" s="30"/>
      <c r="AK147" s="30"/>
      <c r="AL147" s="30"/>
      <c r="AM147" s="30"/>
    </row>
    <row r="148" spans="1:39" x14ac:dyDescent="0.3">
      <c r="L148" s="30"/>
      <c r="M148" s="30"/>
      <c r="N148" s="30"/>
      <c r="O148" s="30"/>
      <c r="R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30"/>
      <c r="AL148" s="30"/>
      <c r="AM148" s="30"/>
    </row>
    <row r="149" spans="1:39" x14ac:dyDescent="0.3">
      <c r="A149" s="30"/>
      <c r="C149" s="30"/>
      <c r="D149" s="30"/>
      <c r="E149" s="30"/>
      <c r="F149" s="30"/>
      <c r="J149" s="30"/>
      <c r="K149" s="30"/>
      <c r="L149" s="30"/>
      <c r="M149" s="30"/>
      <c r="N149" s="30"/>
      <c r="O149" s="30"/>
      <c r="P149" s="30"/>
      <c r="Q149" s="30"/>
      <c r="R149" s="30"/>
      <c r="T149" s="30"/>
      <c r="U149" s="30"/>
      <c r="V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x14ac:dyDescent="0.3">
      <c r="A150" s="30"/>
      <c r="C150" s="30"/>
      <c r="D150" s="30"/>
      <c r="E150" s="30"/>
      <c r="F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T150" s="30"/>
      <c r="U150" s="30"/>
      <c r="V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spans="1:39" x14ac:dyDescent="0.3">
      <c r="C151" s="30"/>
      <c r="D151" s="30"/>
      <c r="E151" s="30"/>
      <c r="F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T151" s="30"/>
      <c r="U151" s="30"/>
      <c r="V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</row>
    <row r="153" spans="1:39" x14ac:dyDescent="0.3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x14ac:dyDescent="0.3">
      <c r="A154" s="22"/>
      <c r="C154" s="23"/>
      <c r="D154" s="23"/>
      <c r="E154" s="23"/>
      <c r="T154" s="23"/>
      <c r="U154" s="23"/>
    </row>
    <row r="155" spans="1:39" x14ac:dyDescent="0.3">
      <c r="A155" s="22"/>
      <c r="D155" s="23"/>
      <c r="E155" s="23"/>
      <c r="U155" s="23"/>
    </row>
    <row r="157" spans="1:39" x14ac:dyDescent="0.3">
      <c r="A157" s="22"/>
      <c r="C157" s="23"/>
      <c r="F157" s="195"/>
      <c r="H157" s="195"/>
      <c r="I157" s="195"/>
      <c r="J157" s="119"/>
      <c r="K157" s="119"/>
      <c r="L157" s="32"/>
      <c r="M157" s="32"/>
      <c r="N157" s="33"/>
      <c r="O157" s="33"/>
      <c r="R157" s="32"/>
      <c r="T157" s="23"/>
      <c r="V157" s="32"/>
      <c r="X157" s="195"/>
      <c r="Y157" s="119"/>
      <c r="Z157" s="32"/>
      <c r="AA157" s="32"/>
      <c r="AB157" s="33"/>
      <c r="AC157" s="33"/>
      <c r="AD157" s="32"/>
      <c r="AE157" s="32"/>
      <c r="AF157" s="204"/>
      <c r="AG157" s="204"/>
      <c r="AJ157" s="32"/>
      <c r="AK157" s="32"/>
      <c r="AL157" s="208"/>
      <c r="AM157" s="208"/>
    </row>
    <row r="158" spans="1:39" x14ac:dyDescent="0.3">
      <c r="A158" s="22"/>
      <c r="C158" s="23"/>
      <c r="F158" s="195"/>
      <c r="H158" s="195"/>
      <c r="I158" s="195"/>
      <c r="J158" s="119"/>
      <c r="K158" s="119"/>
      <c r="L158" s="32"/>
      <c r="M158" s="32"/>
      <c r="N158" s="33"/>
      <c r="O158" s="33"/>
      <c r="P158" s="22"/>
      <c r="Q158" s="22"/>
      <c r="R158" s="32"/>
      <c r="T158" s="23"/>
      <c r="V158" s="32"/>
      <c r="X158" s="195"/>
      <c r="Y158" s="119"/>
      <c r="Z158" s="32"/>
      <c r="AA158" s="32"/>
      <c r="AB158" s="33"/>
      <c r="AC158" s="33"/>
      <c r="AD158" s="32"/>
      <c r="AE158" s="32"/>
      <c r="AF158" s="44"/>
      <c r="AG158" s="44"/>
      <c r="AH158" s="22"/>
      <c r="AI158" s="22"/>
      <c r="AJ158" s="32"/>
      <c r="AK158" s="32"/>
      <c r="AL158" s="33"/>
      <c r="AM158" s="33"/>
    </row>
    <row r="159" spans="1:39" x14ac:dyDescent="0.3">
      <c r="F159" s="34"/>
      <c r="H159" s="32"/>
      <c r="I159" s="32"/>
      <c r="J159" s="198"/>
      <c r="K159" s="198"/>
      <c r="L159" s="34"/>
      <c r="M159" s="34"/>
      <c r="N159" s="34"/>
      <c r="O159" s="34"/>
      <c r="P159" s="34"/>
      <c r="Q159" s="34"/>
      <c r="R159" s="34"/>
      <c r="V159" s="34"/>
      <c r="X159" s="32"/>
      <c r="Y159" s="198"/>
      <c r="Z159" s="34"/>
      <c r="AA159" s="34"/>
      <c r="AB159" s="34"/>
      <c r="AC159" s="34"/>
      <c r="AD159" s="34"/>
      <c r="AE159" s="34"/>
      <c r="AH159" s="34"/>
      <c r="AI159" s="34"/>
      <c r="AJ159" s="34"/>
      <c r="AK159" s="34"/>
      <c r="AL159" s="33"/>
      <c r="AM159" s="33"/>
    </row>
    <row r="160" spans="1:39" x14ac:dyDescent="0.3">
      <c r="A160" s="22"/>
      <c r="C160" s="23"/>
      <c r="F160" s="32"/>
      <c r="H160" s="32"/>
      <c r="I160" s="32"/>
      <c r="J160" s="198"/>
      <c r="K160" s="198"/>
      <c r="L160" s="32"/>
      <c r="M160" s="32"/>
      <c r="N160" s="33"/>
      <c r="O160" s="33"/>
      <c r="P160" s="32"/>
      <c r="Q160" s="32"/>
      <c r="R160" s="32"/>
      <c r="T160" s="23"/>
      <c r="V160" s="32"/>
      <c r="X160" s="32"/>
      <c r="Y160" s="48"/>
      <c r="Z160" s="32"/>
      <c r="AA160" s="32"/>
      <c r="AB160" s="33"/>
      <c r="AC160" s="33"/>
      <c r="AD160" s="32"/>
      <c r="AE160" s="32"/>
      <c r="AF160" s="44"/>
      <c r="AG160" s="44"/>
      <c r="AH160" s="32"/>
      <c r="AI160" s="32"/>
      <c r="AJ160" s="32"/>
      <c r="AK160" s="32"/>
      <c r="AL160" s="33"/>
      <c r="AM160" s="33"/>
    </row>
    <row r="161" spans="1:39" x14ac:dyDescent="0.3">
      <c r="F161" s="34"/>
      <c r="H161" s="32"/>
      <c r="I161" s="32"/>
      <c r="J161" s="198"/>
      <c r="K161" s="198"/>
      <c r="L161" s="34"/>
      <c r="M161" s="34"/>
      <c r="N161" s="34"/>
      <c r="O161" s="34"/>
      <c r="P161" s="34"/>
      <c r="Q161" s="34"/>
      <c r="R161" s="34"/>
      <c r="V161" s="34"/>
      <c r="X161" s="32"/>
      <c r="Y161" s="198"/>
      <c r="Z161" s="34"/>
      <c r="AA161" s="34"/>
      <c r="AB161" s="34"/>
      <c r="AC161" s="34"/>
      <c r="AD161" s="34"/>
      <c r="AE161" s="34"/>
      <c r="AH161" s="34"/>
      <c r="AI161" s="34"/>
      <c r="AJ161" s="34"/>
      <c r="AK161" s="34"/>
      <c r="AL161" s="33"/>
      <c r="AM161" s="33"/>
    </row>
    <row r="162" spans="1:39" x14ac:dyDescent="0.3">
      <c r="F162" s="32"/>
      <c r="H162" s="32"/>
      <c r="I162" s="32"/>
      <c r="J162" s="198"/>
      <c r="K162" s="198"/>
      <c r="L162" s="32"/>
      <c r="M162" s="32"/>
      <c r="N162" s="33"/>
      <c r="O162" s="33"/>
      <c r="P162" s="32"/>
      <c r="Q162" s="32"/>
      <c r="R162" s="32"/>
      <c r="V162" s="32"/>
      <c r="X162" s="32"/>
      <c r="Y162" s="48"/>
      <c r="Z162" s="32"/>
      <c r="AA162" s="32"/>
      <c r="AB162" s="33"/>
      <c r="AC162" s="33"/>
      <c r="AD162" s="32"/>
      <c r="AE162" s="32"/>
      <c r="AF162" s="44"/>
      <c r="AG162" s="44"/>
      <c r="AH162" s="32"/>
      <c r="AI162" s="32"/>
      <c r="AJ162" s="32"/>
      <c r="AK162" s="32"/>
      <c r="AL162" s="33"/>
      <c r="AM162" s="33"/>
    </row>
    <row r="163" spans="1:39" x14ac:dyDescent="0.3">
      <c r="A163" s="22"/>
      <c r="C163" s="23"/>
      <c r="F163" s="195"/>
      <c r="H163" s="195"/>
      <c r="I163" s="195"/>
      <c r="J163" s="119"/>
      <c r="K163" s="119"/>
      <c r="L163" s="32"/>
      <c r="M163" s="32"/>
      <c r="N163" s="33"/>
      <c r="O163" s="33"/>
      <c r="P163" s="32"/>
      <c r="Q163" s="32"/>
      <c r="R163" s="32"/>
      <c r="T163" s="23"/>
      <c r="V163" s="195"/>
      <c r="X163" s="32"/>
      <c r="Y163" s="119"/>
      <c r="Z163" s="32"/>
      <c r="AA163" s="32"/>
      <c r="AB163" s="33"/>
      <c r="AC163" s="33"/>
      <c r="AD163" s="32"/>
      <c r="AE163" s="32"/>
      <c r="AF163" s="204"/>
      <c r="AG163" s="204"/>
      <c r="AH163" s="32"/>
      <c r="AI163" s="32"/>
      <c r="AJ163" s="32"/>
      <c r="AK163" s="32"/>
      <c r="AL163" s="208"/>
      <c r="AM163" s="208"/>
    </row>
    <row r="164" spans="1:39" x14ac:dyDescent="0.3">
      <c r="A164" s="22"/>
      <c r="C164" s="23"/>
      <c r="F164" s="195"/>
      <c r="H164" s="195"/>
      <c r="I164" s="195"/>
      <c r="J164" s="119"/>
      <c r="K164" s="119"/>
      <c r="L164" s="32"/>
      <c r="M164" s="32"/>
      <c r="N164" s="33"/>
      <c r="O164" s="33"/>
      <c r="P164" s="32"/>
      <c r="Q164" s="32"/>
      <c r="R164" s="32"/>
      <c r="T164" s="23"/>
      <c r="V164" s="195"/>
      <c r="X164" s="32"/>
      <c r="Y164" s="119"/>
      <c r="Z164" s="32"/>
      <c r="AA164" s="32"/>
      <c r="AB164" s="33"/>
      <c r="AC164" s="33"/>
      <c r="AD164" s="32"/>
      <c r="AE164" s="32"/>
      <c r="AF164" s="44"/>
      <c r="AG164" s="44"/>
      <c r="AH164" s="32"/>
      <c r="AI164" s="32"/>
      <c r="AJ164" s="32"/>
      <c r="AK164" s="32"/>
      <c r="AL164" s="33"/>
      <c r="AM164" s="33"/>
    </row>
    <row r="165" spans="1:39" x14ac:dyDescent="0.3">
      <c r="F165" s="32"/>
      <c r="H165" s="34"/>
      <c r="I165" s="34"/>
      <c r="J165" s="198"/>
      <c r="K165" s="198"/>
      <c r="L165" s="34"/>
      <c r="M165" s="34"/>
      <c r="N165" s="34"/>
      <c r="O165" s="34"/>
      <c r="P165" s="34"/>
      <c r="Q165" s="34"/>
      <c r="R165" s="34"/>
      <c r="V165" s="32"/>
      <c r="X165" s="34"/>
      <c r="Y165" s="198"/>
      <c r="Z165" s="34"/>
      <c r="AA165" s="34"/>
      <c r="AB165" s="34"/>
      <c r="AC165" s="34"/>
      <c r="AD165" s="34"/>
      <c r="AE165" s="34"/>
      <c r="AH165" s="34"/>
      <c r="AI165" s="34"/>
      <c r="AJ165" s="34"/>
      <c r="AK165" s="34"/>
      <c r="AL165" s="33"/>
      <c r="AM165" s="33"/>
    </row>
    <row r="166" spans="1:39" x14ac:dyDescent="0.3">
      <c r="A166" s="22"/>
      <c r="C166" s="23"/>
      <c r="F166" s="32"/>
      <c r="H166" s="32"/>
      <c r="I166" s="32"/>
      <c r="J166" s="198"/>
      <c r="K166" s="198"/>
      <c r="L166" s="32"/>
      <c r="M166" s="32"/>
      <c r="N166" s="33"/>
      <c r="O166" s="33"/>
      <c r="P166" s="32"/>
      <c r="Q166" s="32"/>
      <c r="R166" s="32"/>
      <c r="T166" s="23"/>
      <c r="V166" s="32"/>
      <c r="X166" s="32"/>
      <c r="Y166" s="198"/>
      <c r="Z166" s="32"/>
      <c r="AA166" s="32"/>
      <c r="AB166" s="33"/>
      <c r="AC166" s="33"/>
      <c r="AD166" s="32"/>
      <c r="AE166" s="32"/>
      <c r="AF166" s="44"/>
      <c r="AG166" s="44"/>
      <c r="AH166" s="32"/>
      <c r="AI166" s="32"/>
      <c r="AJ166" s="32"/>
      <c r="AK166" s="32"/>
      <c r="AL166" s="33"/>
      <c r="AM166" s="33"/>
    </row>
    <row r="167" spans="1:39" x14ac:dyDescent="0.3">
      <c r="F167" s="32"/>
      <c r="H167" s="34"/>
      <c r="I167" s="34"/>
      <c r="J167" s="198"/>
      <c r="K167" s="198"/>
      <c r="L167" s="34"/>
      <c r="M167" s="34"/>
      <c r="N167" s="34"/>
      <c r="O167" s="34"/>
      <c r="P167" s="34"/>
      <c r="Q167" s="34"/>
      <c r="R167" s="34"/>
      <c r="V167" s="32"/>
      <c r="X167" s="34"/>
      <c r="Y167" s="198"/>
      <c r="Z167" s="34"/>
      <c r="AA167" s="34"/>
      <c r="AB167" s="34"/>
      <c r="AC167" s="34"/>
      <c r="AD167" s="34"/>
      <c r="AE167" s="34"/>
      <c r="AH167" s="34"/>
      <c r="AI167" s="34"/>
      <c r="AJ167" s="34"/>
      <c r="AK167" s="34"/>
      <c r="AL167" s="33"/>
      <c r="AM167" s="33"/>
    </row>
    <row r="168" spans="1:39" x14ac:dyDescent="0.3">
      <c r="F168" s="32"/>
      <c r="H168" s="32"/>
      <c r="I168" s="32"/>
      <c r="J168" s="198"/>
      <c r="K168" s="198"/>
      <c r="L168" s="32"/>
      <c r="M168" s="32"/>
      <c r="N168" s="32"/>
      <c r="O168" s="32"/>
      <c r="P168" s="32"/>
      <c r="Q168" s="32"/>
      <c r="R168" s="32"/>
      <c r="V168" s="32"/>
      <c r="X168" s="32"/>
      <c r="Y168" s="198"/>
      <c r="Z168" s="32"/>
      <c r="AA168" s="32"/>
      <c r="AB168" s="32"/>
      <c r="AC168" s="32"/>
      <c r="AD168" s="32"/>
      <c r="AE168" s="32"/>
      <c r="AF168" s="44"/>
      <c r="AG168" s="44"/>
      <c r="AH168" s="32"/>
      <c r="AI168" s="32"/>
      <c r="AJ168" s="32"/>
      <c r="AK168" s="32"/>
      <c r="AL168" s="33"/>
      <c r="AM168" s="33"/>
    </row>
    <row r="169" spans="1:39" x14ac:dyDescent="0.3">
      <c r="A169" s="22"/>
      <c r="C169" s="23"/>
      <c r="F169" s="195"/>
      <c r="H169" s="195"/>
      <c r="I169" s="195"/>
      <c r="J169" s="197"/>
      <c r="K169" s="197"/>
      <c r="L169" s="32"/>
      <c r="M169" s="32"/>
      <c r="N169" s="33"/>
      <c r="O169" s="33"/>
      <c r="P169" s="195"/>
      <c r="Q169" s="195"/>
      <c r="R169" s="32"/>
      <c r="T169" s="23"/>
      <c r="V169" s="195"/>
      <c r="X169" s="195"/>
      <c r="Y169" s="206"/>
      <c r="Z169" s="32"/>
      <c r="AA169" s="32"/>
      <c r="AB169" s="33"/>
      <c r="AC169" s="33"/>
      <c r="AD169" s="32"/>
      <c r="AE169" s="32"/>
      <c r="AF169" s="44"/>
      <c r="AG169" s="44"/>
      <c r="AH169" s="195"/>
      <c r="AI169" s="195"/>
      <c r="AJ169" s="32"/>
      <c r="AK169" s="32"/>
      <c r="AL169" s="33"/>
      <c r="AM169" s="33"/>
    </row>
    <row r="170" spans="1:39" x14ac:dyDescent="0.3">
      <c r="A170" s="22"/>
      <c r="C170" s="23"/>
      <c r="F170" s="195"/>
      <c r="H170" s="195"/>
      <c r="I170" s="195"/>
      <c r="J170" s="197"/>
      <c r="K170" s="197"/>
      <c r="L170" s="32"/>
      <c r="M170" s="32"/>
      <c r="N170" s="33"/>
      <c r="O170" s="33"/>
      <c r="P170" s="195"/>
      <c r="Q170" s="195"/>
      <c r="R170" s="32"/>
      <c r="T170" s="23"/>
      <c r="V170" s="195"/>
      <c r="X170" s="32"/>
      <c r="Y170" s="200"/>
      <c r="Z170" s="32"/>
      <c r="AA170" s="32"/>
      <c r="AB170" s="33"/>
      <c r="AC170" s="33"/>
      <c r="AD170" s="32"/>
      <c r="AE170" s="32"/>
      <c r="AF170" s="44"/>
      <c r="AG170" s="44"/>
      <c r="AH170" s="195"/>
      <c r="AI170" s="195"/>
      <c r="AJ170" s="32"/>
      <c r="AK170" s="32"/>
      <c r="AL170" s="33"/>
      <c r="AM170" s="33"/>
    </row>
    <row r="171" spans="1:39" x14ac:dyDescent="0.3">
      <c r="A171" s="22"/>
      <c r="C171" s="23"/>
      <c r="F171" s="195"/>
      <c r="H171" s="195"/>
      <c r="I171" s="195"/>
      <c r="J171" s="197"/>
      <c r="K171" s="197"/>
      <c r="L171" s="32"/>
      <c r="M171" s="32"/>
      <c r="N171" s="33"/>
      <c r="O171" s="33"/>
      <c r="P171" s="195"/>
      <c r="Q171" s="195"/>
      <c r="R171" s="32"/>
      <c r="T171" s="23"/>
      <c r="V171" s="195"/>
      <c r="X171" s="32"/>
      <c r="Y171" s="200"/>
      <c r="Z171" s="32"/>
      <c r="AA171" s="32"/>
      <c r="AB171" s="33"/>
      <c r="AC171" s="33"/>
      <c r="AD171" s="32"/>
      <c r="AE171" s="32"/>
      <c r="AF171" s="44"/>
      <c r="AG171" s="44"/>
      <c r="AH171" s="195"/>
      <c r="AI171" s="195"/>
      <c r="AJ171" s="32"/>
      <c r="AK171" s="32"/>
      <c r="AL171" s="33"/>
      <c r="AM171" s="33"/>
    </row>
    <row r="172" spans="1:39" x14ac:dyDescent="0.3">
      <c r="F172" s="34"/>
      <c r="H172" s="34"/>
      <c r="I172" s="34"/>
      <c r="J172" s="198"/>
      <c r="K172" s="198"/>
      <c r="L172" s="34"/>
      <c r="M172" s="34"/>
      <c r="N172" s="34"/>
      <c r="O172" s="34"/>
      <c r="P172" s="34"/>
      <c r="Q172" s="34"/>
      <c r="R172" s="34"/>
      <c r="V172" s="34"/>
      <c r="X172" s="34"/>
      <c r="Y172" s="198"/>
      <c r="Z172" s="34"/>
      <c r="AA172" s="34"/>
      <c r="AB172" s="34"/>
      <c r="AC172" s="34"/>
      <c r="AD172" s="34"/>
      <c r="AE172" s="34"/>
      <c r="AH172" s="34"/>
      <c r="AI172" s="34"/>
      <c r="AJ172" s="34"/>
      <c r="AK172" s="34"/>
      <c r="AL172" s="33"/>
      <c r="AM172" s="33"/>
    </row>
    <row r="173" spans="1:39" x14ac:dyDescent="0.3">
      <c r="A173" s="22"/>
      <c r="C173" s="23"/>
      <c r="F173" s="32"/>
      <c r="H173" s="32"/>
      <c r="I173" s="32"/>
      <c r="J173" s="48"/>
      <c r="K173" s="48"/>
      <c r="L173" s="32"/>
      <c r="M173" s="32"/>
      <c r="N173" s="33"/>
      <c r="O173" s="33"/>
      <c r="P173" s="32"/>
      <c r="Q173" s="32"/>
      <c r="R173" s="32"/>
      <c r="T173" s="23"/>
      <c r="V173" s="32"/>
      <c r="X173" s="32"/>
      <c r="Y173" s="48"/>
      <c r="Z173" s="32"/>
      <c r="AA173" s="32"/>
      <c r="AB173" s="33"/>
      <c r="AC173" s="33"/>
      <c r="AD173" s="32"/>
      <c r="AE173" s="32"/>
      <c r="AF173" s="44"/>
      <c r="AG173" s="44"/>
      <c r="AH173" s="32"/>
      <c r="AI173" s="32"/>
      <c r="AJ173" s="32"/>
      <c r="AK173" s="32"/>
      <c r="AL173" s="33"/>
      <c r="AM173" s="33"/>
    </row>
    <row r="174" spans="1:39" x14ac:dyDescent="0.3">
      <c r="F174" s="34"/>
      <c r="H174" s="34"/>
      <c r="I174" s="34"/>
      <c r="J174" s="198"/>
      <c r="K174" s="198"/>
      <c r="L174" s="34"/>
      <c r="M174" s="34"/>
      <c r="N174" s="34"/>
      <c r="O174" s="34"/>
      <c r="P174" s="34"/>
      <c r="Q174" s="34"/>
      <c r="R174" s="34"/>
      <c r="V174" s="34"/>
      <c r="X174" s="34"/>
      <c r="Y174" s="198"/>
      <c r="Z174" s="34"/>
      <c r="AA174" s="34"/>
      <c r="AB174" s="34"/>
      <c r="AC174" s="34"/>
      <c r="AD174" s="34"/>
      <c r="AE174" s="34"/>
      <c r="AH174" s="34"/>
      <c r="AI174" s="34"/>
      <c r="AJ174" s="34"/>
      <c r="AK174" s="34"/>
      <c r="AL174" s="33"/>
      <c r="AM174" s="33"/>
    </row>
    <row r="175" spans="1:39" x14ac:dyDescent="0.3">
      <c r="A175" s="22"/>
      <c r="C175" s="23"/>
      <c r="F175" s="32"/>
      <c r="H175" s="32"/>
      <c r="I175" s="32"/>
      <c r="J175" s="48"/>
      <c r="K175" s="48"/>
      <c r="L175" s="32"/>
      <c r="M175" s="32"/>
      <c r="N175" s="33"/>
      <c r="O175" s="33"/>
      <c r="P175" s="32"/>
      <c r="Q175" s="32"/>
      <c r="R175" s="32"/>
      <c r="T175" s="23"/>
      <c r="V175" s="32"/>
      <c r="X175" s="32"/>
      <c r="Y175" s="48"/>
      <c r="Z175" s="32"/>
      <c r="AA175" s="32"/>
      <c r="AB175" s="33"/>
      <c r="AC175" s="33"/>
      <c r="AD175" s="32"/>
      <c r="AE175" s="32"/>
      <c r="AF175" s="44"/>
      <c r="AG175" s="44"/>
      <c r="AH175" s="32"/>
      <c r="AI175" s="32"/>
      <c r="AJ175" s="32"/>
      <c r="AK175" s="32"/>
      <c r="AL175" s="33"/>
      <c r="AM175" s="33"/>
    </row>
    <row r="176" spans="1:39" x14ac:dyDescent="0.3">
      <c r="A176" s="22"/>
      <c r="C176" s="23"/>
      <c r="F176" s="32"/>
      <c r="H176" s="32"/>
      <c r="I176" s="32"/>
      <c r="J176" s="48"/>
      <c r="K176" s="48"/>
      <c r="L176" s="32"/>
      <c r="M176" s="32"/>
      <c r="N176" s="33"/>
      <c r="O176" s="33"/>
      <c r="P176" s="32"/>
      <c r="Q176" s="32"/>
      <c r="R176" s="32"/>
      <c r="T176" s="23"/>
      <c r="V176" s="32"/>
      <c r="X176" s="32"/>
      <c r="Y176" s="48"/>
      <c r="Z176" s="32"/>
      <c r="AA176" s="32"/>
      <c r="AB176" s="33"/>
      <c r="AC176" s="33"/>
      <c r="AD176" s="32"/>
      <c r="AE176" s="32"/>
      <c r="AF176" s="44"/>
      <c r="AG176" s="44"/>
      <c r="AH176" s="32"/>
      <c r="AI176" s="32"/>
      <c r="AJ176" s="32"/>
      <c r="AK176" s="32"/>
      <c r="AL176" s="33"/>
      <c r="AM176" s="33"/>
    </row>
    <row r="177" spans="1:39" x14ac:dyDescent="0.3">
      <c r="F177" s="34"/>
      <c r="H177" s="34"/>
      <c r="I177" s="34"/>
      <c r="J177" s="198"/>
      <c r="K177" s="198"/>
      <c r="L177" s="34"/>
      <c r="M177" s="34"/>
      <c r="N177" s="34"/>
      <c r="O177" s="34"/>
      <c r="P177" s="34"/>
      <c r="Q177" s="34"/>
      <c r="R177" s="34"/>
      <c r="V177" s="34"/>
      <c r="X177" s="34"/>
      <c r="Y177" s="198"/>
      <c r="Z177" s="34"/>
      <c r="AA177" s="34"/>
      <c r="AB177" s="34"/>
      <c r="AC177" s="34"/>
      <c r="AD177" s="34"/>
      <c r="AE177" s="34"/>
      <c r="AH177" s="34"/>
      <c r="AI177" s="34"/>
      <c r="AJ177" s="34"/>
      <c r="AK177" s="34"/>
      <c r="AL177" s="32"/>
      <c r="AM177" s="32"/>
    </row>
    <row r="178" spans="1:39" x14ac:dyDescent="0.3">
      <c r="F178" s="32"/>
      <c r="H178" s="32"/>
      <c r="I178" s="32"/>
      <c r="J178" s="48"/>
      <c r="K178" s="48"/>
      <c r="L178" s="32"/>
      <c r="M178" s="32"/>
      <c r="N178" s="32"/>
      <c r="O178" s="32"/>
      <c r="P178" s="32"/>
      <c r="Q178" s="32"/>
      <c r="R178" s="32"/>
      <c r="V178" s="32"/>
      <c r="X178" s="32"/>
      <c r="Y178" s="48"/>
      <c r="Z178" s="32"/>
      <c r="AA178" s="32"/>
      <c r="AB178" s="32"/>
      <c r="AC178" s="32"/>
    </row>
    <row r="179" spans="1:39" x14ac:dyDescent="0.3">
      <c r="C179" s="23"/>
      <c r="F179" s="32"/>
      <c r="H179" s="32"/>
      <c r="I179" s="32"/>
      <c r="J179" s="48"/>
      <c r="K179" s="48"/>
      <c r="L179" s="32"/>
      <c r="M179" s="32"/>
      <c r="N179" s="32"/>
      <c r="O179" s="32"/>
      <c r="P179" s="32"/>
      <c r="Q179" s="32"/>
      <c r="R179" s="32"/>
      <c r="T179" s="23"/>
      <c r="V179" s="32"/>
      <c r="X179" s="32"/>
      <c r="Y179" s="48"/>
      <c r="Z179" s="32"/>
      <c r="AA179" s="32"/>
      <c r="AB179" s="32"/>
      <c r="AC179" s="32"/>
    </row>
    <row r="180" spans="1:39" x14ac:dyDescent="0.3">
      <c r="A180" s="23"/>
    </row>
    <row r="181" spans="1:39" x14ac:dyDescent="0.3">
      <c r="J181" s="22"/>
      <c r="K181" s="22"/>
      <c r="Y181" s="22"/>
    </row>
    <row r="182" spans="1:39" x14ac:dyDescent="0.3">
      <c r="H182" s="23"/>
      <c r="I182" s="23"/>
      <c r="X182" s="23"/>
    </row>
    <row r="183" spans="1:39" x14ac:dyDescent="0.3">
      <c r="J183" s="22"/>
      <c r="K183" s="22"/>
      <c r="Y183" s="22"/>
    </row>
    <row r="184" spans="1:39" x14ac:dyDescent="0.3">
      <c r="L184" s="23"/>
      <c r="M184" s="23"/>
      <c r="Z184" s="23"/>
      <c r="AA184" s="23"/>
    </row>
    <row r="185" spans="1:39" x14ac:dyDescent="0.3">
      <c r="A185" s="22"/>
      <c r="R185" s="23"/>
      <c r="AJ185" s="23"/>
      <c r="AK185" s="23"/>
    </row>
    <row r="186" spans="1:39" x14ac:dyDescent="0.3">
      <c r="A186" s="22"/>
      <c r="R186" s="23"/>
      <c r="AJ186" s="23"/>
      <c r="AK186" s="23"/>
    </row>
    <row r="187" spans="1:39" x14ac:dyDescent="0.3">
      <c r="A187" s="23"/>
      <c r="R187" s="23"/>
      <c r="AJ187" s="23"/>
      <c r="AK187" s="23"/>
    </row>
    <row r="188" spans="1:39" x14ac:dyDescent="0.3">
      <c r="L188" s="23"/>
      <c r="M188" s="23"/>
      <c r="R188" s="22"/>
      <c r="Z188" s="23"/>
      <c r="AA188" s="23"/>
      <c r="AJ188" s="22"/>
      <c r="AK188" s="22"/>
    </row>
    <row r="189" spans="1:39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</row>
    <row r="190" spans="1:39" x14ac:dyDescent="0.3">
      <c r="L190" s="30"/>
      <c r="M190" s="30"/>
      <c r="N190" s="30"/>
      <c r="O190" s="30"/>
      <c r="R190" s="30"/>
      <c r="Z190" s="30"/>
      <c r="AA190" s="30"/>
      <c r="AB190" s="30"/>
      <c r="AC190" s="30"/>
      <c r="AD190" s="30"/>
      <c r="AE190" s="30"/>
      <c r="AF190" s="30"/>
      <c r="AG190" s="30"/>
      <c r="AJ190" s="30"/>
      <c r="AK190" s="30"/>
      <c r="AL190" s="30"/>
      <c r="AM190" s="30"/>
    </row>
    <row r="191" spans="1:39" x14ac:dyDescent="0.3">
      <c r="L191" s="30"/>
      <c r="M191" s="30"/>
      <c r="N191" s="30"/>
      <c r="O191" s="30"/>
      <c r="R191" s="30"/>
      <c r="Y191" s="30"/>
      <c r="Z191" s="30"/>
      <c r="AA191" s="30"/>
      <c r="AB191" s="30"/>
      <c r="AC191" s="30"/>
      <c r="AD191" s="30"/>
      <c r="AE191" s="30"/>
      <c r="AF191" s="30"/>
      <c r="AG191" s="30"/>
      <c r="AJ191" s="30"/>
      <c r="AK191" s="30"/>
      <c r="AL191" s="30"/>
      <c r="AM191" s="30"/>
    </row>
    <row r="192" spans="1:39" x14ac:dyDescent="0.3">
      <c r="A192" s="30"/>
      <c r="C192" s="30"/>
      <c r="D192" s="30"/>
      <c r="E192" s="30"/>
      <c r="F192" s="30"/>
      <c r="J192" s="30"/>
      <c r="K192" s="30"/>
      <c r="L192" s="30"/>
      <c r="M192" s="30"/>
      <c r="N192" s="30"/>
      <c r="O192" s="30"/>
      <c r="P192" s="30"/>
      <c r="Q192" s="30"/>
      <c r="R192" s="30"/>
      <c r="T192" s="30"/>
      <c r="U192" s="30"/>
      <c r="V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x14ac:dyDescent="0.3">
      <c r="A193" s="30"/>
      <c r="C193" s="30"/>
      <c r="D193" s="30"/>
      <c r="E193" s="30"/>
      <c r="F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T193" s="30"/>
      <c r="U193" s="30"/>
      <c r="V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spans="1:39" x14ac:dyDescent="0.3">
      <c r="C194" s="30"/>
      <c r="D194" s="30"/>
      <c r="E194" s="30"/>
      <c r="F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T194" s="30"/>
      <c r="U194" s="30"/>
      <c r="V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spans="1:39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</row>
    <row r="196" spans="1:39" x14ac:dyDescent="0.3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spans="1:39" x14ac:dyDescent="0.3">
      <c r="A197" s="22"/>
      <c r="C197" s="23"/>
      <c r="D197" s="23"/>
      <c r="E197" s="23"/>
      <c r="T197" s="23"/>
      <c r="U197" s="23"/>
    </row>
    <row r="199" spans="1:39" x14ac:dyDescent="0.3">
      <c r="A199" s="22"/>
      <c r="C199" s="23"/>
      <c r="F199" s="195"/>
      <c r="H199" s="207"/>
      <c r="I199" s="207"/>
      <c r="J199" s="119"/>
      <c r="K199" s="119"/>
      <c r="L199" s="32"/>
      <c r="M199" s="32"/>
      <c r="N199" s="22"/>
      <c r="O199" s="22"/>
      <c r="P199" s="22"/>
      <c r="Q199" s="22"/>
      <c r="R199" s="32"/>
      <c r="T199" s="23"/>
      <c r="V199" s="32"/>
      <c r="X199" s="22"/>
      <c r="Y199" s="119"/>
      <c r="Z199" s="32"/>
      <c r="AA199" s="32"/>
      <c r="AB199" s="22"/>
      <c r="AC199" s="22"/>
      <c r="AD199" s="32"/>
      <c r="AE199" s="32"/>
      <c r="AF199" s="204"/>
      <c r="AG199" s="204"/>
      <c r="AH199" s="32"/>
      <c r="AI199" s="32"/>
      <c r="AJ199" s="32"/>
      <c r="AK199" s="32"/>
      <c r="AL199" s="208"/>
      <c r="AM199" s="208"/>
    </row>
    <row r="200" spans="1:39" x14ac:dyDescent="0.3">
      <c r="F200" s="195"/>
      <c r="H200" s="207"/>
      <c r="I200" s="207"/>
      <c r="J200" s="207"/>
      <c r="K200" s="207"/>
      <c r="R200" s="32"/>
      <c r="V200" s="32"/>
      <c r="Y200" s="207"/>
    </row>
    <row r="201" spans="1:39" x14ac:dyDescent="0.3">
      <c r="A201" s="22"/>
      <c r="C201" s="23"/>
      <c r="F201" s="195"/>
      <c r="H201" s="195"/>
      <c r="I201" s="195"/>
      <c r="J201" s="197"/>
      <c r="K201" s="197"/>
      <c r="L201" s="32"/>
      <c r="M201" s="32"/>
      <c r="N201" s="33"/>
      <c r="O201" s="33"/>
      <c r="P201" s="195"/>
      <c r="Q201" s="195"/>
      <c r="R201" s="32"/>
      <c r="T201" s="23"/>
      <c r="V201" s="32"/>
      <c r="X201" s="32"/>
      <c r="Y201" s="200"/>
      <c r="Z201" s="32"/>
      <c r="AA201" s="32"/>
      <c r="AB201" s="33"/>
      <c r="AC201" s="33"/>
      <c r="AD201" s="32"/>
      <c r="AE201" s="32"/>
      <c r="AF201" s="44"/>
      <c r="AG201" s="44"/>
      <c r="AH201" s="195"/>
      <c r="AI201" s="195"/>
      <c r="AJ201" s="32"/>
      <c r="AK201" s="32"/>
      <c r="AL201" s="33"/>
      <c r="AM201" s="33"/>
    </row>
    <row r="202" spans="1:39" x14ac:dyDescent="0.3">
      <c r="F202" s="34"/>
      <c r="H202" s="34"/>
      <c r="I202" s="34"/>
      <c r="J202" s="198"/>
      <c r="K202" s="198"/>
      <c r="L202" s="34"/>
      <c r="M202" s="34"/>
      <c r="N202" s="34"/>
      <c r="O202" s="34"/>
      <c r="P202" s="34"/>
      <c r="Q202" s="34"/>
      <c r="R202" s="34"/>
      <c r="V202" s="34"/>
      <c r="X202" s="34"/>
      <c r="Y202" s="198"/>
      <c r="Z202" s="34"/>
      <c r="AA202" s="34"/>
      <c r="AB202" s="34"/>
      <c r="AC202" s="34"/>
      <c r="AD202" s="34"/>
      <c r="AE202" s="34"/>
      <c r="AH202" s="34"/>
      <c r="AI202" s="34"/>
      <c r="AJ202" s="34"/>
      <c r="AK202" s="34"/>
    </row>
    <row r="203" spans="1:39" x14ac:dyDescent="0.3">
      <c r="A203" s="22"/>
      <c r="D203" s="23"/>
      <c r="E203" s="23"/>
      <c r="F203" s="32"/>
      <c r="H203" s="32"/>
      <c r="I203" s="32"/>
      <c r="J203" s="48"/>
      <c r="K203" s="48"/>
      <c r="L203" s="32"/>
      <c r="M203" s="32"/>
      <c r="N203" s="33"/>
      <c r="O203" s="33"/>
      <c r="P203" s="32"/>
      <c r="Q203" s="32"/>
      <c r="R203" s="32"/>
      <c r="U203" s="23"/>
      <c r="V203" s="32"/>
      <c r="X203" s="32"/>
      <c r="Y203" s="48"/>
      <c r="Z203" s="32"/>
      <c r="AA203" s="32"/>
      <c r="AB203" s="33"/>
      <c r="AC203" s="33"/>
      <c r="AD203" s="32"/>
      <c r="AE203" s="32"/>
      <c r="AF203" s="44"/>
      <c r="AG203" s="44"/>
      <c r="AH203" s="32"/>
      <c r="AI203" s="32"/>
      <c r="AJ203" s="32"/>
      <c r="AK203" s="32"/>
      <c r="AL203" s="33"/>
      <c r="AM203" s="33"/>
    </row>
    <row r="204" spans="1:39" x14ac:dyDescent="0.3">
      <c r="F204" s="34"/>
      <c r="H204" s="34"/>
      <c r="I204" s="34"/>
      <c r="J204" s="198"/>
      <c r="K204" s="198"/>
      <c r="L204" s="34"/>
      <c r="M204" s="34"/>
      <c r="N204" s="34"/>
      <c r="O204" s="34"/>
      <c r="P204" s="34"/>
      <c r="Q204" s="34"/>
      <c r="R204" s="34"/>
      <c r="V204" s="34"/>
      <c r="X204" s="34"/>
      <c r="Y204" s="198"/>
      <c r="Z204" s="34"/>
      <c r="AA204" s="34"/>
      <c r="AB204" s="34"/>
      <c r="AC204" s="34"/>
      <c r="AD204" s="34"/>
      <c r="AE204" s="34"/>
      <c r="AH204" s="34"/>
      <c r="AI204" s="34"/>
      <c r="AJ204" s="34"/>
      <c r="AK204" s="34"/>
    </row>
    <row r="205" spans="1:39" x14ac:dyDescent="0.3">
      <c r="R205" s="32"/>
    </row>
    <row r="206" spans="1:39" x14ac:dyDescent="0.3">
      <c r="R206" s="32"/>
    </row>
    <row r="207" spans="1:39" x14ac:dyDescent="0.3">
      <c r="R207" s="32"/>
    </row>
    <row r="208" spans="1:39" x14ac:dyDescent="0.3">
      <c r="A208" s="22"/>
      <c r="C208" s="23"/>
      <c r="D208" s="23"/>
      <c r="E208" s="23"/>
      <c r="H208" s="32"/>
      <c r="I208" s="32"/>
      <c r="J208" s="48"/>
      <c r="K208" s="48"/>
      <c r="L208" s="32"/>
      <c r="M208" s="32"/>
      <c r="N208" s="33"/>
      <c r="O208" s="33"/>
      <c r="P208" s="32"/>
      <c r="Q208" s="32"/>
      <c r="R208" s="32"/>
      <c r="T208" s="23"/>
      <c r="U208" s="23"/>
      <c r="X208" s="32"/>
      <c r="Y208" s="48"/>
      <c r="Z208" s="32"/>
      <c r="AA208" s="32"/>
      <c r="AB208" s="33"/>
      <c r="AC208" s="33"/>
    </row>
    <row r="209" spans="1:39" x14ac:dyDescent="0.3">
      <c r="H209" s="32"/>
      <c r="I209" s="32"/>
      <c r="J209" s="48"/>
      <c r="K209" s="48"/>
      <c r="L209" s="32"/>
      <c r="M209" s="32"/>
      <c r="N209" s="33"/>
      <c r="O209" s="33"/>
      <c r="P209" s="32"/>
      <c r="Q209" s="32"/>
      <c r="R209" s="32"/>
      <c r="X209" s="32"/>
      <c r="Y209" s="48"/>
      <c r="Z209" s="32"/>
      <c r="AA209" s="32"/>
      <c r="AB209" s="33"/>
      <c r="AC209" s="33"/>
    </row>
    <row r="210" spans="1:39" x14ac:dyDescent="0.3">
      <c r="A210" s="22"/>
      <c r="C210" s="23"/>
      <c r="F210" s="195"/>
      <c r="H210" s="195"/>
      <c r="I210" s="195"/>
      <c r="J210" s="58"/>
      <c r="K210" s="58"/>
      <c r="L210" s="195"/>
      <c r="M210" s="195"/>
      <c r="N210" s="33"/>
      <c r="O210" s="33"/>
      <c r="P210" s="32"/>
      <c r="Q210" s="32"/>
      <c r="R210" s="32"/>
      <c r="T210" s="23"/>
      <c r="V210" s="32"/>
      <c r="X210" s="32"/>
      <c r="Y210" s="58"/>
      <c r="Z210" s="32"/>
      <c r="AA210" s="32"/>
      <c r="AB210" s="33"/>
      <c r="AC210" s="33"/>
      <c r="AD210" s="32"/>
      <c r="AE210" s="32"/>
      <c r="AF210" s="44"/>
      <c r="AG210" s="44"/>
      <c r="AH210" s="32"/>
      <c r="AI210" s="32"/>
      <c r="AJ210" s="32"/>
      <c r="AK210" s="32"/>
      <c r="AL210" s="33"/>
      <c r="AM210" s="33"/>
    </row>
    <row r="211" spans="1:39" x14ac:dyDescent="0.3">
      <c r="F211" s="195"/>
      <c r="H211" s="207"/>
      <c r="I211" s="207"/>
      <c r="J211" s="207"/>
      <c r="K211" s="207"/>
      <c r="R211" s="32"/>
      <c r="V211" s="32"/>
      <c r="Y211" s="207"/>
    </row>
    <row r="212" spans="1:39" x14ac:dyDescent="0.3">
      <c r="A212" s="22"/>
      <c r="C212" s="23"/>
      <c r="F212" s="195"/>
      <c r="H212" s="195"/>
      <c r="I212" s="195"/>
      <c r="J212" s="119"/>
      <c r="K212" s="119"/>
      <c r="L212" s="32"/>
      <c r="M212" s="32"/>
      <c r="N212" s="33"/>
      <c r="O212" s="33"/>
      <c r="P212" s="32"/>
      <c r="Q212" s="32"/>
      <c r="R212" s="32"/>
      <c r="T212" s="23"/>
      <c r="V212" s="32"/>
      <c r="X212" s="32"/>
      <c r="Y212" s="119"/>
      <c r="Z212" s="32"/>
      <c r="AA212" s="32"/>
      <c r="AB212" s="33"/>
      <c r="AC212" s="33"/>
      <c r="AD212" s="32"/>
      <c r="AE212" s="32"/>
      <c r="AF212" s="44"/>
      <c r="AG212" s="44"/>
      <c r="AH212" s="32"/>
      <c r="AI212" s="32"/>
      <c r="AJ212" s="32"/>
      <c r="AK212" s="32"/>
      <c r="AL212" s="33"/>
      <c r="AM212" s="33"/>
    </row>
    <row r="213" spans="1:39" x14ac:dyDescent="0.3">
      <c r="F213" s="195"/>
      <c r="H213" s="207"/>
      <c r="I213" s="207"/>
      <c r="J213" s="207"/>
      <c r="K213" s="207"/>
      <c r="R213" s="32"/>
      <c r="V213" s="32"/>
      <c r="Y213" s="207"/>
    </row>
    <row r="214" spans="1:39" x14ac:dyDescent="0.3">
      <c r="A214" s="22"/>
      <c r="C214" s="23"/>
      <c r="F214" s="195"/>
      <c r="H214" s="195"/>
      <c r="I214" s="195"/>
      <c r="J214" s="197"/>
      <c r="K214" s="197"/>
      <c r="L214" s="32"/>
      <c r="M214" s="32"/>
      <c r="N214" s="33"/>
      <c r="O214" s="33"/>
      <c r="P214" s="32"/>
      <c r="Q214" s="32"/>
      <c r="R214" s="32"/>
      <c r="T214" s="23"/>
      <c r="V214" s="32"/>
      <c r="X214" s="32"/>
      <c r="Y214" s="200"/>
      <c r="Z214" s="32"/>
      <c r="AA214" s="32"/>
      <c r="AB214" s="33"/>
      <c r="AC214" s="33"/>
      <c r="AD214" s="32"/>
      <c r="AE214" s="32"/>
      <c r="AF214" s="44"/>
      <c r="AG214" s="44"/>
      <c r="AH214" s="32"/>
      <c r="AI214" s="32"/>
      <c r="AJ214" s="32"/>
      <c r="AK214" s="32"/>
      <c r="AL214" s="33"/>
      <c r="AM214" s="33"/>
    </row>
    <row r="215" spans="1:39" x14ac:dyDescent="0.3">
      <c r="F215" s="34"/>
      <c r="H215" s="34"/>
      <c r="I215" s="34"/>
      <c r="J215" s="198"/>
      <c r="K215" s="198"/>
      <c r="L215" s="34"/>
      <c r="M215" s="34"/>
      <c r="N215" s="34"/>
      <c r="O215" s="34"/>
      <c r="P215" s="34"/>
      <c r="Q215" s="34"/>
      <c r="R215" s="34"/>
      <c r="S215" s="32"/>
      <c r="V215" s="34"/>
      <c r="X215" s="34"/>
      <c r="Y215" s="198"/>
      <c r="Z215" s="34"/>
      <c r="AA215" s="34"/>
      <c r="AB215" s="34"/>
      <c r="AC215" s="34"/>
      <c r="AD215" s="34"/>
      <c r="AE215" s="34"/>
      <c r="AH215" s="34"/>
      <c r="AI215" s="34"/>
      <c r="AJ215" s="34"/>
      <c r="AK215" s="34"/>
    </row>
    <row r="216" spans="1:39" x14ac:dyDescent="0.3">
      <c r="A216" s="22"/>
      <c r="D216" s="23"/>
      <c r="E216" s="23"/>
      <c r="F216" s="32"/>
      <c r="H216" s="32"/>
      <c r="I216" s="32"/>
      <c r="J216" s="48"/>
      <c r="K216" s="48"/>
      <c r="L216" s="32"/>
      <c r="M216" s="32"/>
      <c r="N216" s="33"/>
      <c r="O216" s="33"/>
      <c r="P216" s="195"/>
      <c r="Q216" s="195"/>
      <c r="R216" s="32"/>
      <c r="S216" s="32"/>
      <c r="U216" s="23"/>
      <c r="V216" s="32"/>
      <c r="X216" s="32"/>
      <c r="Y216" s="48"/>
      <c r="Z216" s="32"/>
      <c r="AA216" s="32"/>
      <c r="AB216" s="33"/>
      <c r="AC216" s="33"/>
      <c r="AD216" s="32"/>
      <c r="AE216" s="32"/>
      <c r="AF216" s="44"/>
      <c r="AG216" s="44"/>
      <c r="AH216" s="195"/>
      <c r="AI216" s="195"/>
      <c r="AJ216" s="32"/>
      <c r="AK216" s="32"/>
      <c r="AL216" s="33"/>
      <c r="AM216" s="33"/>
    </row>
    <row r="217" spans="1:39" x14ac:dyDescent="0.3">
      <c r="F217" s="34"/>
      <c r="H217" s="34"/>
      <c r="I217" s="34"/>
      <c r="J217" s="198"/>
      <c r="K217" s="198"/>
      <c r="L217" s="34"/>
      <c r="M217" s="34"/>
      <c r="N217" s="34"/>
      <c r="O217" s="34"/>
      <c r="P217" s="34"/>
      <c r="Q217" s="34"/>
      <c r="R217" s="34"/>
      <c r="S217" s="32"/>
      <c r="V217" s="34"/>
      <c r="X217" s="34"/>
      <c r="Y217" s="198"/>
      <c r="Z217" s="34"/>
      <c r="AA217" s="34"/>
      <c r="AB217" s="34"/>
      <c r="AC217" s="34"/>
      <c r="AD217" s="34"/>
      <c r="AE217" s="34"/>
      <c r="AH217" s="34"/>
      <c r="AI217" s="34"/>
      <c r="AJ217" s="34"/>
      <c r="AK217" s="34"/>
    </row>
    <row r="218" spans="1:39" x14ac:dyDescent="0.3">
      <c r="R218" s="32"/>
    </row>
    <row r="219" spans="1:39" x14ac:dyDescent="0.3">
      <c r="F219" s="32"/>
      <c r="H219" s="32"/>
      <c r="I219" s="32"/>
      <c r="J219" s="48"/>
      <c r="K219" s="48"/>
      <c r="L219" s="32"/>
      <c r="M219" s="32"/>
      <c r="N219" s="32"/>
      <c r="O219" s="32"/>
      <c r="P219" s="32"/>
      <c r="Q219" s="32"/>
      <c r="R219" s="32"/>
      <c r="V219" s="32"/>
      <c r="X219" s="32"/>
      <c r="Y219" s="48"/>
      <c r="Z219" s="32"/>
      <c r="AA219" s="32"/>
      <c r="AB219" s="32"/>
      <c r="AC219" s="32"/>
    </row>
    <row r="220" spans="1:39" x14ac:dyDescent="0.3">
      <c r="C220" s="23"/>
      <c r="F220" s="32"/>
      <c r="H220" s="32"/>
      <c r="I220" s="32"/>
      <c r="J220" s="48"/>
      <c r="K220" s="48"/>
      <c r="L220" s="32"/>
      <c r="M220" s="32"/>
      <c r="N220" s="32"/>
      <c r="O220" s="32"/>
      <c r="P220" s="32"/>
      <c r="Q220" s="32"/>
      <c r="R220" s="32"/>
      <c r="T220" s="23"/>
      <c r="V220" s="32"/>
      <c r="X220" s="32"/>
      <c r="Y220" s="48"/>
      <c r="Z220" s="32"/>
      <c r="AA220" s="32"/>
      <c r="AB220" s="32"/>
      <c r="AC220" s="32"/>
    </row>
    <row r="221" spans="1:39" x14ac:dyDescent="0.3">
      <c r="C221" s="23"/>
      <c r="T221" s="23"/>
    </row>
    <row r="222" spans="1:39" x14ac:dyDescent="0.3">
      <c r="A222" s="23"/>
    </row>
    <row r="224" spans="1:39" x14ac:dyDescent="0.3">
      <c r="J224" s="22"/>
      <c r="K224" s="22"/>
      <c r="Y224" s="22"/>
    </row>
    <row r="225" spans="1:39" x14ac:dyDescent="0.3">
      <c r="H225" s="23"/>
      <c r="I225" s="23"/>
      <c r="X225" s="23"/>
    </row>
    <row r="226" spans="1:39" x14ac:dyDescent="0.3">
      <c r="J226" s="22"/>
      <c r="K226" s="22"/>
      <c r="Y226" s="22"/>
    </row>
    <row r="227" spans="1:39" x14ac:dyDescent="0.3">
      <c r="L227" s="23"/>
      <c r="M227" s="23"/>
      <c r="Z227" s="23"/>
      <c r="AA227" s="23"/>
    </row>
    <row r="228" spans="1:39" x14ac:dyDescent="0.3">
      <c r="A228" s="22"/>
      <c r="R228" s="23"/>
      <c r="AJ228" s="23"/>
      <c r="AK228" s="23"/>
    </row>
    <row r="229" spans="1:39" x14ac:dyDescent="0.3">
      <c r="A229" s="22"/>
      <c r="R229" s="23"/>
      <c r="AJ229" s="23"/>
      <c r="AK229" s="23"/>
    </row>
    <row r="230" spans="1:39" x14ac:dyDescent="0.3">
      <c r="A230" s="23"/>
      <c r="R230" s="23"/>
      <c r="AJ230" s="23"/>
      <c r="AK230" s="23"/>
    </row>
    <row r="231" spans="1:39" x14ac:dyDescent="0.3">
      <c r="L231" s="23"/>
      <c r="M231" s="23"/>
      <c r="R231" s="22"/>
      <c r="Z231" s="23"/>
      <c r="AA231" s="23"/>
      <c r="AJ231" s="22"/>
      <c r="AK231" s="22"/>
    </row>
    <row r="232" spans="1:39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x14ac:dyDescent="0.3">
      <c r="L233" s="30"/>
      <c r="M233" s="30"/>
      <c r="N233" s="30"/>
      <c r="O233" s="30"/>
      <c r="R233" s="30"/>
      <c r="Z233" s="30"/>
      <c r="AA233" s="30"/>
      <c r="AB233" s="30"/>
      <c r="AC233" s="30"/>
      <c r="AD233" s="30"/>
      <c r="AE233" s="30"/>
      <c r="AF233" s="30"/>
      <c r="AG233" s="30"/>
      <c r="AJ233" s="30"/>
      <c r="AK233" s="30"/>
      <c r="AL233" s="30"/>
      <c r="AM233" s="30"/>
    </row>
    <row r="234" spans="1:39" x14ac:dyDescent="0.3">
      <c r="L234" s="30"/>
      <c r="M234" s="30"/>
      <c r="N234" s="30"/>
      <c r="O234" s="30"/>
      <c r="R234" s="30"/>
      <c r="Y234" s="30"/>
      <c r="Z234" s="30"/>
      <c r="AA234" s="30"/>
      <c r="AB234" s="30"/>
      <c r="AC234" s="30"/>
      <c r="AD234" s="30"/>
      <c r="AE234" s="30"/>
      <c r="AF234" s="30"/>
      <c r="AG234" s="30"/>
      <c r="AJ234" s="30"/>
      <c r="AK234" s="30"/>
      <c r="AL234" s="30"/>
      <c r="AM234" s="30"/>
    </row>
    <row r="235" spans="1:39" x14ac:dyDescent="0.3">
      <c r="A235" s="30"/>
      <c r="C235" s="30"/>
      <c r="D235" s="30"/>
      <c r="E235" s="30"/>
      <c r="F235" s="30"/>
      <c r="J235" s="30"/>
      <c r="K235" s="30"/>
      <c r="L235" s="30"/>
      <c r="M235" s="30"/>
      <c r="N235" s="30"/>
      <c r="O235" s="30"/>
      <c r="P235" s="30"/>
      <c r="Q235" s="30"/>
      <c r="R235" s="30"/>
      <c r="T235" s="30"/>
      <c r="U235" s="30"/>
      <c r="V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spans="1:39" x14ac:dyDescent="0.3">
      <c r="A236" s="30"/>
      <c r="C236" s="30"/>
      <c r="D236" s="30"/>
      <c r="E236" s="30"/>
      <c r="F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T236" s="30"/>
      <c r="U236" s="30"/>
      <c r="V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spans="1:39" x14ac:dyDescent="0.3">
      <c r="C237" s="30"/>
      <c r="D237" s="30"/>
      <c r="E237" s="30"/>
      <c r="F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T237" s="30"/>
      <c r="U237" s="30"/>
      <c r="V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1:39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</row>
    <row r="239" spans="1:39" x14ac:dyDescent="0.3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spans="1:39" x14ac:dyDescent="0.3">
      <c r="A240" s="22"/>
      <c r="C240" s="23"/>
      <c r="D240" s="23"/>
      <c r="E240" s="23"/>
      <c r="T240" s="23"/>
      <c r="U240" s="23"/>
    </row>
    <row r="241" spans="1:39" x14ac:dyDescent="0.3">
      <c r="A241" s="22"/>
      <c r="D241" s="23"/>
      <c r="E241" s="23"/>
      <c r="U241" s="23"/>
    </row>
    <row r="243" spans="1:39" x14ac:dyDescent="0.3">
      <c r="A243" s="22"/>
      <c r="C243" s="23"/>
      <c r="F243" s="32"/>
      <c r="J243" s="59"/>
      <c r="K243" s="59"/>
      <c r="L243" s="32"/>
      <c r="M243" s="32"/>
      <c r="R243" s="32"/>
      <c r="T243" s="23"/>
      <c r="V243" s="32"/>
      <c r="Y243" s="59"/>
      <c r="Z243" s="32"/>
      <c r="AA243" s="32"/>
      <c r="AJ243" s="32"/>
      <c r="AK243" s="32"/>
    </row>
    <row r="244" spans="1:39" x14ac:dyDescent="0.3">
      <c r="F244" s="32"/>
      <c r="R244" s="32"/>
      <c r="V244" s="32"/>
      <c r="AJ244" s="32"/>
      <c r="AK244" s="32"/>
    </row>
    <row r="245" spans="1:39" x14ac:dyDescent="0.3">
      <c r="A245" s="22"/>
      <c r="C245" s="23"/>
      <c r="F245" s="195"/>
      <c r="H245" s="195"/>
      <c r="I245" s="195"/>
      <c r="J245" s="119"/>
      <c r="K245" s="119"/>
      <c r="L245" s="32"/>
      <c r="M245" s="32"/>
      <c r="N245" s="33"/>
      <c r="O245" s="33"/>
      <c r="P245" s="32"/>
      <c r="Q245" s="32"/>
      <c r="R245" s="32"/>
      <c r="T245" s="23"/>
      <c r="V245" s="32"/>
      <c r="X245" s="32"/>
      <c r="Y245" s="119"/>
      <c r="Z245" s="32"/>
      <c r="AA245" s="32"/>
      <c r="AB245" s="33"/>
      <c r="AC245" s="33"/>
      <c r="AD245" s="32"/>
      <c r="AE245" s="32"/>
      <c r="AF245" s="44"/>
      <c r="AG245" s="44"/>
      <c r="AH245" s="32"/>
      <c r="AI245" s="32"/>
      <c r="AJ245" s="32"/>
      <c r="AK245" s="32"/>
      <c r="AL245" s="33"/>
      <c r="AM245" s="33"/>
    </row>
    <row r="246" spans="1:39" x14ac:dyDescent="0.3">
      <c r="A246" s="22"/>
      <c r="C246" s="23"/>
      <c r="F246" s="195"/>
      <c r="H246" s="207"/>
      <c r="I246" s="207"/>
      <c r="J246" s="119"/>
      <c r="K246" s="119"/>
      <c r="L246" s="32"/>
      <c r="M246" s="32"/>
      <c r="N246" s="33"/>
      <c r="O246" s="33"/>
      <c r="P246" s="32"/>
      <c r="Q246" s="32"/>
      <c r="R246" s="32"/>
      <c r="T246" s="23"/>
      <c r="V246" s="32"/>
      <c r="X246" s="32"/>
      <c r="Y246" s="119"/>
      <c r="Z246" s="32"/>
      <c r="AA246" s="32"/>
      <c r="AB246" s="33"/>
      <c r="AC246" s="33"/>
      <c r="AD246" s="32"/>
      <c r="AE246" s="32"/>
      <c r="AF246" s="44"/>
      <c r="AG246" s="44"/>
      <c r="AH246" s="32"/>
      <c r="AI246" s="32"/>
      <c r="AJ246" s="32"/>
      <c r="AK246" s="32"/>
      <c r="AL246" s="33"/>
      <c r="AM246" s="33"/>
    </row>
    <row r="247" spans="1:39" x14ac:dyDescent="0.3">
      <c r="F247" s="34"/>
      <c r="H247" s="32"/>
      <c r="I247" s="32"/>
      <c r="J247" s="198"/>
      <c r="K247" s="198"/>
      <c r="L247" s="34"/>
      <c r="M247" s="34"/>
      <c r="N247" s="34"/>
      <c r="O247" s="34"/>
      <c r="P247" s="34"/>
      <c r="Q247" s="34"/>
      <c r="R247" s="34"/>
      <c r="V247" s="34"/>
      <c r="X247" s="32"/>
      <c r="Y247" s="198"/>
      <c r="Z247" s="34"/>
      <c r="AA247" s="34"/>
      <c r="AB247" s="34"/>
      <c r="AC247" s="34"/>
      <c r="AD247" s="34"/>
      <c r="AE247" s="34"/>
      <c r="AH247" s="34"/>
      <c r="AI247" s="34"/>
      <c r="AJ247" s="34"/>
      <c r="AK247" s="34"/>
    </row>
    <row r="248" spans="1:39" x14ac:dyDescent="0.3">
      <c r="A248" s="22"/>
      <c r="C248" s="23"/>
      <c r="F248" s="32"/>
      <c r="H248" s="32"/>
      <c r="I248" s="32"/>
      <c r="J248" s="48"/>
      <c r="K248" s="48"/>
      <c r="L248" s="32"/>
      <c r="M248" s="32"/>
      <c r="N248" s="33"/>
      <c r="O248" s="33"/>
      <c r="P248" s="32"/>
      <c r="Q248" s="32"/>
      <c r="R248" s="32"/>
      <c r="T248" s="23"/>
      <c r="V248" s="32"/>
      <c r="X248" s="32"/>
      <c r="Y248" s="48"/>
      <c r="Z248" s="32"/>
      <c r="AA248" s="32"/>
      <c r="AB248" s="33"/>
      <c r="AC248" s="33"/>
      <c r="AD248" s="32"/>
      <c r="AE248" s="32"/>
      <c r="AF248" s="44"/>
      <c r="AG248" s="44"/>
      <c r="AH248" s="32"/>
      <c r="AI248" s="32"/>
      <c r="AJ248" s="32"/>
      <c r="AK248" s="32"/>
      <c r="AL248" s="33"/>
      <c r="AM248" s="33"/>
    </row>
    <row r="249" spans="1:39" x14ac:dyDescent="0.3">
      <c r="F249" s="34"/>
      <c r="H249" s="32"/>
      <c r="I249" s="32"/>
      <c r="J249" s="198"/>
      <c r="K249" s="198"/>
      <c r="L249" s="34"/>
      <c r="M249" s="34"/>
      <c r="N249" s="34"/>
      <c r="O249" s="34"/>
      <c r="P249" s="34"/>
      <c r="Q249" s="34"/>
      <c r="R249" s="34"/>
      <c r="V249" s="34"/>
      <c r="X249" s="32"/>
      <c r="Y249" s="198"/>
      <c r="Z249" s="34"/>
      <c r="AA249" s="34"/>
      <c r="AB249" s="34"/>
      <c r="AC249" s="34"/>
      <c r="AD249" s="34"/>
      <c r="AE249" s="34"/>
      <c r="AH249" s="34"/>
      <c r="AI249" s="34"/>
      <c r="AJ249" s="34"/>
      <c r="AK249" s="34"/>
    </row>
    <row r="250" spans="1:39" x14ac:dyDescent="0.3">
      <c r="F250" s="32"/>
      <c r="R250" s="32"/>
      <c r="V250" s="32"/>
      <c r="AJ250" s="32"/>
      <c r="AK250" s="32"/>
    </row>
    <row r="251" spans="1:39" x14ac:dyDescent="0.3">
      <c r="A251" s="22"/>
      <c r="C251" s="23"/>
      <c r="F251" s="32"/>
      <c r="R251" s="32"/>
      <c r="T251" s="23"/>
      <c r="V251" s="32"/>
      <c r="AJ251" s="32"/>
      <c r="AK251" s="32"/>
    </row>
    <row r="252" spans="1:39" x14ac:dyDescent="0.3">
      <c r="F252" s="32"/>
      <c r="R252" s="32"/>
      <c r="V252" s="32"/>
      <c r="AJ252" s="32"/>
      <c r="AK252" s="32"/>
    </row>
    <row r="253" spans="1:39" x14ac:dyDescent="0.3">
      <c r="A253" s="22"/>
      <c r="C253" s="23"/>
      <c r="F253" s="32"/>
      <c r="H253" s="195"/>
      <c r="I253" s="195"/>
      <c r="J253" s="197"/>
      <c r="K253" s="197"/>
      <c r="L253" s="32"/>
      <c r="M253" s="32"/>
      <c r="N253" s="33"/>
      <c r="O253" s="33"/>
      <c r="P253" s="195"/>
      <c r="Q253" s="195"/>
      <c r="R253" s="32"/>
      <c r="T253" s="23"/>
      <c r="V253" s="32"/>
      <c r="X253" s="32"/>
      <c r="Y253" s="200"/>
      <c r="Z253" s="32"/>
      <c r="AA253" s="32"/>
      <c r="AB253" s="33"/>
      <c r="AC253" s="33"/>
      <c r="AD253" s="32"/>
      <c r="AE253" s="32"/>
      <c r="AF253" s="44"/>
      <c r="AG253" s="44"/>
      <c r="AH253" s="195"/>
      <c r="AI253" s="195"/>
      <c r="AJ253" s="32"/>
      <c r="AK253" s="32"/>
      <c r="AL253" s="33"/>
      <c r="AM253" s="33"/>
    </row>
    <row r="254" spans="1:39" x14ac:dyDescent="0.3">
      <c r="F254" s="34"/>
      <c r="H254" s="34"/>
      <c r="I254" s="34"/>
      <c r="J254" s="198"/>
      <c r="K254" s="198"/>
      <c r="L254" s="34"/>
      <c r="M254" s="34"/>
      <c r="N254" s="34"/>
      <c r="O254" s="34"/>
      <c r="P254" s="34"/>
      <c r="Q254" s="34"/>
      <c r="R254" s="34"/>
      <c r="V254" s="34"/>
      <c r="X254" s="34"/>
      <c r="Y254" s="198"/>
      <c r="Z254" s="34"/>
      <c r="AA254" s="34"/>
      <c r="AB254" s="34"/>
      <c r="AC254" s="34"/>
      <c r="AD254" s="34"/>
      <c r="AE254" s="34"/>
      <c r="AH254" s="34"/>
      <c r="AI254" s="34"/>
      <c r="AJ254" s="34"/>
      <c r="AK254" s="34"/>
    </row>
    <row r="256" spans="1:39" x14ac:dyDescent="0.3">
      <c r="A256" s="22"/>
      <c r="C256" s="23"/>
      <c r="F256" s="32"/>
      <c r="H256" s="32"/>
      <c r="I256" s="32"/>
      <c r="J256" s="59"/>
      <c r="K256" s="59"/>
      <c r="L256" s="32"/>
      <c r="M256" s="32"/>
      <c r="N256" s="33"/>
      <c r="O256" s="33"/>
      <c r="P256" s="32"/>
      <c r="Q256" s="32"/>
      <c r="R256" s="32"/>
      <c r="T256" s="23"/>
      <c r="V256" s="32"/>
      <c r="X256" s="32"/>
      <c r="Y256" s="59"/>
      <c r="Z256" s="32"/>
      <c r="AA256" s="32"/>
      <c r="AB256" s="33"/>
      <c r="AC256" s="33"/>
      <c r="AD256" s="32"/>
      <c r="AE256" s="32"/>
      <c r="AF256" s="44"/>
      <c r="AG256" s="44"/>
      <c r="AH256" s="32"/>
      <c r="AI256" s="32"/>
      <c r="AJ256" s="32"/>
      <c r="AK256" s="32"/>
      <c r="AL256" s="33"/>
      <c r="AM256" s="33"/>
    </row>
    <row r="257" spans="1:39" x14ac:dyDescent="0.3">
      <c r="F257" s="34"/>
      <c r="H257" s="34"/>
      <c r="I257" s="34"/>
      <c r="J257" s="198"/>
      <c r="K257" s="198"/>
      <c r="L257" s="34"/>
      <c r="M257" s="34"/>
      <c r="N257" s="34"/>
      <c r="O257" s="34"/>
      <c r="P257" s="34"/>
      <c r="Q257" s="34"/>
      <c r="R257" s="34"/>
      <c r="V257" s="34"/>
      <c r="X257" s="34"/>
      <c r="Y257" s="198"/>
      <c r="Z257" s="34"/>
      <c r="AA257" s="34"/>
      <c r="AB257" s="34"/>
      <c r="AC257" s="34"/>
      <c r="AD257" s="34"/>
      <c r="AE257" s="34"/>
      <c r="AH257" s="34"/>
      <c r="AI257" s="34"/>
      <c r="AJ257" s="34"/>
      <c r="AK257" s="34"/>
    </row>
    <row r="258" spans="1:39" x14ac:dyDescent="0.3">
      <c r="R258" s="32"/>
      <c r="AF258" s="32"/>
      <c r="AG258" s="32"/>
    </row>
    <row r="259" spans="1:39" x14ac:dyDescent="0.3">
      <c r="F259" s="32"/>
      <c r="H259" s="32"/>
      <c r="I259" s="32"/>
      <c r="J259" s="48"/>
      <c r="K259" s="48"/>
      <c r="L259" s="32"/>
      <c r="M259" s="32"/>
      <c r="N259" s="32"/>
      <c r="O259" s="32"/>
      <c r="P259" s="32"/>
      <c r="Q259" s="32"/>
      <c r="R259" s="32"/>
      <c r="V259" s="32"/>
      <c r="X259" s="32"/>
      <c r="Y259" s="48"/>
      <c r="Z259" s="32"/>
      <c r="AA259" s="32"/>
      <c r="AB259" s="32"/>
      <c r="AC259" s="32"/>
      <c r="AD259" s="32"/>
      <c r="AE259" s="32"/>
      <c r="AF259" s="32"/>
      <c r="AG259" s="32"/>
    </row>
    <row r="260" spans="1:39" x14ac:dyDescent="0.3">
      <c r="C260" s="23"/>
      <c r="F260" s="32"/>
      <c r="H260" s="32"/>
      <c r="I260" s="32"/>
      <c r="J260" s="48"/>
      <c r="K260" s="48"/>
      <c r="L260" s="32"/>
      <c r="M260" s="32"/>
      <c r="N260" s="32"/>
      <c r="O260" s="32"/>
      <c r="P260" s="32"/>
      <c r="Q260" s="32"/>
      <c r="R260" s="32"/>
      <c r="T260" s="23"/>
      <c r="V260" s="32"/>
      <c r="X260" s="32"/>
      <c r="Y260" s="48"/>
      <c r="Z260" s="32"/>
      <c r="AA260" s="32"/>
      <c r="AB260" s="32"/>
      <c r="AC260" s="32"/>
      <c r="AD260" s="32"/>
      <c r="AE260" s="32"/>
      <c r="AF260" s="32"/>
      <c r="AG260" s="32"/>
    </row>
    <row r="261" spans="1:39" x14ac:dyDescent="0.3">
      <c r="A261" s="23"/>
    </row>
    <row r="263" spans="1:39" x14ac:dyDescent="0.3">
      <c r="J263" s="22"/>
      <c r="K263" s="22"/>
      <c r="Y263" s="22"/>
    </row>
    <row r="264" spans="1:39" x14ac:dyDescent="0.3">
      <c r="H264" s="23"/>
      <c r="I264" s="23"/>
      <c r="X264" s="23"/>
    </row>
    <row r="265" spans="1:39" x14ac:dyDescent="0.3">
      <c r="J265" s="22"/>
      <c r="K265" s="22"/>
      <c r="Y265" s="22"/>
    </row>
    <row r="266" spans="1:39" x14ac:dyDescent="0.3">
      <c r="L266" s="23"/>
      <c r="M266" s="23"/>
      <c r="Z266" s="23"/>
      <c r="AA266" s="23"/>
    </row>
    <row r="267" spans="1:39" x14ac:dyDescent="0.3">
      <c r="A267" s="22"/>
      <c r="R267" s="23"/>
      <c r="AJ267" s="23"/>
      <c r="AK267" s="23"/>
    </row>
    <row r="268" spans="1:39" x14ac:dyDescent="0.3">
      <c r="A268" s="22"/>
      <c r="R268" s="23"/>
      <c r="AJ268" s="23"/>
      <c r="AK268" s="23"/>
    </row>
    <row r="269" spans="1:39" x14ac:dyDescent="0.3">
      <c r="A269" s="23"/>
      <c r="R269" s="23"/>
      <c r="AJ269" s="23"/>
      <c r="AK269" s="23"/>
    </row>
    <row r="270" spans="1:39" x14ac:dyDescent="0.3">
      <c r="L270" s="23"/>
      <c r="M270" s="23"/>
      <c r="R270" s="22"/>
      <c r="Z270" s="23"/>
      <c r="AA270" s="23"/>
      <c r="AJ270" s="22"/>
      <c r="AK270" s="22"/>
    </row>
    <row r="271" spans="1:39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</row>
    <row r="272" spans="1:39" x14ac:dyDescent="0.3">
      <c r="L272" s="30"/>
      <c r="M272" s="30"/>
      <c r="N272" s="30"/>
      <c r="O272" s="30"/>
      <c r="R272" s="30"/>
      <c r="Z272" s="30"/>
      <c r="AA272" s="30"/>
      <c r="AB272" s="30"/>
      <c r="AC272" s="30"/>
      <c r="AD272" s="30"/>
      <c r="AE272" s="30"/>
      <c r="AF272" s="30"/>
      <c r="AG272" s="30"/>
      <c r="AJ272" s="30"/>
      <c r="AK272" s="30"/>
      <c r="AL272" s="30"/>
      <c r="AM272" s="30"/>
    </row>
    <row r="273" spans="1:39" x14ac:dyDescent="0.3">
      <c r="L273" s="30"/>
      <c r="M273" s="30"/>
      <c r="N273" s="30"/>
      <c r="O273" s="30"/>
      <c r="R273" s="30"/>
      <c r="Y273" s="30"/>
      <c r="Z273" s="30"/>
      <c r="AA273" s="30"/>
      <c r="AB273" s="30"/>
      <c r="AC273" s="30"/>
      <c r="AD273" s="30"/>
      <c r="AE273" s="30"/>
      <c r="AF273" s="30"/>
      <c r="AG273" s="30"/>
      <c r="AJ273" s="30"/>
      <c r="AK273" s="30"/>
      <c r="AL273" s="30"/>
      <c r="AM273" s="30"/>
    </row>
    <row r="274" spans="1:39" x14ac:dyDescent="0.3">
      <c r="A274" s="30"/>
      <c r="C274" s="30"/>
      <c r="D274" s="30"/>
      <c r="E274" s="30"/>
      <c r="F274" s="30"/>
      <c r="J274" s="30"/>
      <c r="K274" s="30"/>
      <c r="L274" s="30"/>
      <c r="M274" s="30"/>
      <c r="N274" s="30"/>
      <c r="O274" s="30"/>
      <c r="P274" s="30"/>
      <c r="Q274" s="30"/>
      <c r="R274" s="30"/>
      <c r="T274" s="30"/>
      <c r="U274" s="30"/>
      <c r="V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</row>
    <row r="275" spans="1:39" x14ac:dyDescent="0.3">
      <c r="A275" s="30"/>
      <c r="C275" s="30"/>
      <c r="D275" s="30"/>
      <c r="E275" s="30"/>
      <c r="F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T275" s="30"/>
      <c r="U275" s="30"/>
      <c r="V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</row>
    <row r="276" spans="1:39" x14ac:dyDescent="0.3">
      <c r="C276" s="30"/>
      <c r="D276" s="30"/>
      <c r="E276" s="30"/>
      <c r="F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T276" s="30"/>
      <c r="U276" s="30"/>
      <c r="V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</row>
    <row r="277" spans="1:39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</row>
    <row r="278" spans="1:39" x14ac:dyDescent="0.3"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spans="1:39" x14ac:dyDescent="0.3">
      <c r="A279" s="22"/>
      <c r="C279" s="23"/>
      <c r="D279" s="23"/>
      <c r="E279" s="23"/>
      <c r="T279" s="23"/>
      <c r="U279" s="23"/>
    </row>
    <row r="280" spans="1:39" x14ac:dyDescent="0.3">
      <c r="A280" s="22"/>
      <c r="C280" s="23"/>
      <c r="T280" s="23"/>
    </row>
    <row r="282" spans="1:39" x14ac:dyDescent="0.3">
      <c r="A282" s="22"/>
      <c r="C282" s="23"/>
      <c r="F282" s="195"/>
      <c r="H282" s="195"/>
      <c r="I282" s="195"/>
      <c r="J282" s="119"/>
      <c r="K282" s="119"/>
      <c r="L282" s="32"/>
      <c r="M282" s="32"/>
      <c r="N282" s="33"/>
      <c r="O282" s="33"/>
      <c r="P282" s="22"/>
      <c r="Q282" s="22"/>
      <c r="R282" s="32"/>
      <c r="T282" s="23"/>
      <c r="V282" s="32"/>
      <c r="X282" s="195"/>
      <c r="Y282" s="119"/>
      <c r="Z282" s="32"/>
      <c r="AA282" s="32"/>
      <c r="AB282" s="33"/>
      <c r="AC282" s="33"/>
      <c r="AD282" s="32"/>
      <c r="AE282" s="32"/>
      <c r="AF282" s="44"/>
      <c r="AG282" s="44"/>
      <c r="AH282" s="22"/>
      <c r="AI282" s="22"/>
      <c r="AJ282" s="32"/>
      <c r="AK282" s="32"/>
      <c r="AL282" s="33"/>
      <c r="AM282" s="33"/>
    </row>
    <row r="283" spans="1:39" x14ac:dyDescent="0.3">
      <c r="F283" s="34"/>
      <c r="H283" s="32"/>
      <c r="I283" s="32"/>
      <c r="J283" s="198"/>
      <c r="K283" s="198"/>
      <c r="L283" s="34"/>
      <c r="M283" s="34"/>
      <c r="N283" s="34"/>
      <c r="O283" s="34"/>
      <c r="P283" s="34"/>
      <c r="Q283" s="34"/>
      <c r="R283" s="34"/>
      <c r="V283" s="34"/>
      <c r="X283" s="32"/>
      <c r="Y283" s="198"/>
      <c r="Z283" s="34"/>
      <c r="AA283" s="34"/>
      <c r="AB283" s="34"/>
      <c r="AC283" s="34"/>
      <c r="AD283" s="34"/>
      <c r="AE283" s="34"/>
      <c r="AH283" s="34"/>
      <c r="AI283" s="34"/>
      <c r="AJ283" s="34"/>
      <c r="AK283" s="34"/>
      <c r="AL283" s="33"/>
      <c r="AM283" s="33"/>
    </row>
    <row r="284" spans="1:39" x14ac:dyDescent="0.3">
      <c r="A284" s="22"/>
      <c r="C284" s="23"/>
      <c r="F284" s="195"/>
      <c r="H284" s="195"/>
      <c r="I284" s="195"/>
      <c r="J284" s="206"/>
      <c r="K284" s="206"/>
      <c r="L284" s="32"/>
      <c r="M284" s="32"/>
      <c r="N284" s="33"/>
      <c r="O284" s="33"/>
      <c r="P284" s="32"/>
      <c r="Q284" s="32"/>
      <c r="R284" s="32"/>
      <c r="S284" s="32"/>
      <c r="T284" s="23"/>
      <c r="V284" s="195"/>
      <c r="X284" s="195"/>
      <c r="Y284" s="206"/>
      <c r="Z284" s="32"/>
      <c r="AA284" s="32"/>
      <c r="AB284" s="33"/>
      <c r="AC284" s="33"/>
      <c r="AD284" s="32"/>
      <c r="AE284" s="32"/>
      <c r="AF284" s="33"/>
      <c r="AG284" s="33"/>
      <c r="AH284" s="32"/>
      <c r="AI284" s="32"/>
      <c r="AJ284" s="32"/>
      <c r="AK284" s="32"/>
      <c r="AL284" s="33"/>
      <c r="AM284" s="33"/>
    </row>
    <row r="285" spans="1:39" x14ac:dyDescent="0.3">
      <c r="A285" s="22"/>
      <c r="C285" s="23"/>
      <c r="F285" s="195"/>
      <c r="H285" s="195"/>
      <c r="I285" s="195"/>
      <c r="J285" s="119"/>
      <c r="K285" s="119"/>
      <c r="L285" s="32"/>
      <c r="M285" s="32"/>
      <c r="N285" s="33"/>
      <c r="O285" s="33"/>
      <c r="P285" s="32"/>
      <c r="Q285" s="32"/>
      <c r="R285" s="32"/>
      <c r="T285" s="23"/>
      <c r="V285" s="195"/>
      <c r="X285" s="32"/>
      <c r="Y285" s="119"/>
      <c r="Z285" s="32"/>
      <c r="AA285" s="32"/>
      <c r="AB285" s="33"/>
      <c r="AC285" s="33"/>
      <c r="AD285" s="32"/>
      <c r="AE285" s="32"/>
      <c r="AF285" s="44"/>
      <c r="AG285" s="44"/>
      <c r="AH285" s="32"/>
      <c r="AI285" s="32"/>
      <c r="AJ285" s="32"/>
      <c r="AK285" s="32"/>
      <c r="AL285" s="33"/>
      <c r="AM285" s="33"/>
    </row>
    <row r="286" spans="1:39" x14ac:dyDescent="0.3">
      <c r="A286" s="22"/>
      <c r="C286" s="23"/>
      <c r="F286" s="195"/>
      <c r="H286" s="195"/>
      <c r="I286" s="195"/>
      <c r="J286" s="119"/>
      <c r="K286" s="119"/>
      <c r="L286" s="32"/>
      <c r="M286" s="32"/>
      <c r="N286" s="33"/>
      <c r="O286" s="33"/>
      <c r="P286" s="32"/>
      <c r="Q286" s="32"/>
      <c r="R286" s="32"/>
      <c r="T286" s="23"/>
      <c r="V286" s="195"/>
      <c r="X286" s="32"/>
      <c r="Y286" s="119"/>
      <c r="Z286" s="32"/>
      <c r="AA286" s="32"/>
      <c r="AB286" s="33"/>
      <c r="AC286" s="33"/>
      <c r="AD286" s="32"/>
      <c r="AE286" s="32"/>
      <c r="AF286" s="44"/>
      <c r="AG286" s="44"/>
      <c r="AH286" s="32"/>
      <c r="AI286" s="32"/>
      <c r="AJ286" s="32"/>
      <c r="AK286" s="32"/>
      <c r="AL286" s="33"/>
      <c r="AM286" s="33"/>
    </row>
    <row r="287" spans="1:39" x14ac:dyDescent="0.3">
      <c r="F287" s="34"/>
      <c r="H287" s="34"/>
      <c r="I287" s="34"/>
      <c r="J287" s="198"/>
      <c r="K287" s="198"/>
      <c r="L287" s="34"/>
      <c r="M287" s="34"/>
      <c r="N287" s="34"/>
      <c r="O287" s="34"/>
      <c r="P287" s="34"/>
      <c r="Q287" s="34"/>
      <c r="R287" s="34"/>
      <c r="V287" s="34"/>
      <c r="X287" s="34"/>
      <c r="Y287" s="198"/>
      <c r="Z287" s="34"/>
      <c r="AA287" s="34"/>
      <c r="AB287" s="34"/>
      <c r="AC287" s="34"/>
      <c r="AD287" s="34"/>
      <c r="AE287" s="34"/>
      <c r="AH287" s="34"/>
      <c r="AI287" s="34"/>
      <c r="AJ287" s="34"/>
      <c r="AK287" s="34"/>
      <c r="AL287" s="33"/>
      <c r="AM287" s="33"/>
    </row>
    <row r="288" spans="1:39" x14ac:dyDescent="0.3">
      <c r="A288" s="22"/>
      <c r="C288" s="23"/>
      <c r="F288" s="32"/>
      <c r="H288" s="32"/>
      <c r="I288" s="32"/>
      <c r="J288" s="48"/>
      <c r="K288" s="48"/>
      <c r="L288" s="32"/>
      <c r="M288" s="32"/>
      <c r="N288" s="33"/>
      <c r="O288" s="33"/>
      <c r="P288" s="32"/>
      <c r="Q288" s="32"/>
      <c r="R288" s="32"/>
      <c r="T288" s="23"/>
      <c r="V288" s="32"/>
      <c r="X288" s="32"/>
      <c r="Y288" s="48"/>
      <c r="Z288" s="32"/>
      <c r="AA288" s="32"/>
      <c r="AB288" s="33"/>
      <c r="AC288" s="33"/>
      <c r="AD288" s="32"/>
      <c r="AE288" s="32"/>
      <c r="AF288" s="44"/>
      <c r="AG288" s="44"/>
      <c r="AH288" s="32"/>
      <c r="AI288" s="32"/>
      <c r="AJ288" s="32"/>
      <c r="AK288" s="32"/>
      <c r="AL288" s="33"/>
      <c r="AM288" s="33"/>
    </row>
    <row r="289" spans="1:39" x14ac:dyDescent="0.3">
      <c r="F289" s="34"/>
      <c r="H289" s="34"/>
      <c r="I289" s="34"/>
      <c r="J289" s="198"/>
      <c r="K289" s="198"/>
      <c r="L289" s="34"/>
      <c r="M289" s="34"/>
      <c r="N289" s="34"/>
      <c r="O289" s="34"/>
      <c r="P289" s="34"/>
      <c r="Q289" s="34"/>
      <c r="R289" s="34"/>
      <c r="V289" s="34"/>
      <c r="X289" s="34"/>
      <c r="Y289" s="198"/>
      <c r="Z289" s="34"/>
      <c r="AA289" s="34"/>
      <c r="AB289" s="34"/>
      <c r="AC289" s="34"/>
      <c r="AD289" s="34"/>
      <c r="AE289" s="34"/>
      <c r="AH289" s="34"/>
      <c r="AI289" s="34"/>
      <c r="AJ289" s="34"/>
      <c r="AK289" s="34"/>
      <c r="AL289" s="33"/>
      <c r="AM289" s="33"/>
    </row>
    <row r="290" spans="1:39" x14ac:dyDescent="0.3">
      <c r="A290" s="22"/>
      <c r="C290" s="23"/>
      <c r="F290" s="32"/>
      <c r="H290" s="32"/>
      <c r="I290" s="32"/>
      <c r="J290" s="48"/>
      <c r="K290" s="48"/>
      <c r="L290" s="32"/>
      <c r="M290" s="32"/>
      <c r="N290" s="33"/>
      <c r="O290" s="33"/>
      <c r="P290" s="32"/>
      <c r="Q290" s="32"/>
      <c r="R290" s="32"/>
      <c r="T290" s="23"/>
      <c r="V290" s="32"/>
      <c r="X290" s="32"/>
      <c r="Y290" s="48"/>
      <c r="Z290" s="32"/>
      <c r="AA290" s="32"/>
      <c r="AB290" s="33"/>
      <c r="AC290" s="33"/>
      <c r="AD290" s="32"/>
      <c r="AE290" s="32"/>
      <c r="AF290" s="44"/>
      <c r="AG290" s="44"/>
      <c r="AH290" s="32"/>
      <c r="AI290" s="32"/>
      <c r="AJ290" s="32"/>
      <c r="AK290" s="32"/>
      <c r="AL290" s="33"/>
      <c r="AM290" s="33"/>
    </row>
    <row r="291" spans="1:39" x14ac:dyDescent="0.3">
      <c r="A291" s="22"/>
      <c r="C291" s="23"/>
      <c r="F291" s="32"/>
      <c r="H291" s="195"/>
      <c r="I291" s="195"/>
      <c r="J291" s="197"/>
      <c r="K291" s="197"/>
      <c r="L291" s="32"/>
      <c r="M291" s="32"/>
      <c r="N291" s="33"/>
      <c r="O291" s="33"/>
      <c r="P291" s="32"/>
      <c r="Q291" s="32"/>
      <c r="R291" s="32"/>
      <c r="T291" s="23"/>
      <c r="V291" s="32"/>
      <c r="X291" s="32"/>
      <c r="Y291" s="200"/>
      <c r="Z291" s="32"/>
      <c r="AA291" s="32"/>
      <c r="AB291" s="33"/>
      <c r="AC291" s="33"/>
      <c r="AD291" s="32"/>
      <c r="AE291" s="32"/>
      <c r="AF291" s="44"/>
      <c r="AG291" s="44"/>
      <c r="AH291" s="32"/>
      <c r="AI291" s="32"/>
      <c r="AJ291" s="32"/>
      <c r="AK291" s="32"/>
      <c r="AL291" s="33"/>
      <c r="AM291" s="33"/>
    </row>
    <row r="292" spans="1:39" x14ac:dyDescent="0.3">
      <c r="F292" s="34"/>
      <c r="H292" s="34"/>
      <c r="I292" s="34"/>
      <c r="J292" s="198"/>
      <c r="K292" s="198"/>
      <c r="L292" s="34"/>
      <c r="M292" s="34"/>
      <c r="N292" s="34"/>
      <c r="O292" s="34"/>
      <c r="P292" s="34"/>
      <c r="Q292" s="34"/>
      <c r="R292" s="34"/>
      <c r="V292" s="34"/>
      <c r="X292" s="34"/>
      <c r="Y292" s="198"/>
      <c r="Z292" s="34"/>
      <c r="AA292" s="34"/>
      <c r="AB292" s="34"/>
      <c r="AC292" s="34"/>
      <c r="AD292" s="34"/>
      <c r="AE292" s="34"/>
      <c r="AH292" s="34"/>
      <c r="AI292" s="34"/>
      <c r="AJ292" s="34"/>
      <c r="AK292" s="34"/>
      <c r="AL292" s="33"/>
      <c r="AM292" s="33"/>
    </row>
    <row r="294" spans="1:39" x14ac:dyDescent="0.3">
      <c r="A294" s="22"/>
      <c r="C294" s="23"/>
      <c r="F294" s="32"/>
      <c r="H294" s="32"/>
      <c r="I294" s="32"/>
      <c r="J294" s="198"/>
      <c r="K294" s="198"/>
      <c r="L294" s="32"/>
      <c r="M294" s="32"/>
      <c r="N294" s="33"/>
      <c r="O294" s="33"/>
      <c r="P294" s="32"/>
      <c r="Q294" s="32"/>
      <c r="R294" s="32"/>
      <c r="S294" s="32"/>
      <c r="T294" s="23"/>
      <c r="V294" s="32"/>
      <c r="X294" s="32"/>
      <c r="Y294" s="198"/>
      <c r="Z294" s="32"/>
      <c r="AA294" s="32"/>
      <c r="AB294" s="33"/>
      <c r="AC294" s="33"/>
      <c r="AD294" s="32"/>
      <c r="AE294" s="32"/>
      <c r="AF294" s="33"/>
      <c r="AG294" s="33"/>
      <c r="AH294" s="32"/>
      <c r="AI294" s="32"/>
      <c r="AJ294" s="32"/>
      <c r="AK294" s="32"/>
      <c r="AL294" s="33"/>
      <c r="AM294" s="33"/>
    </row>
    <row r="295" spans="1:39" x14ac:dyDescent="0.3">
      <c r="F295" s="34"/>
      <c r="H295" s="34"/>
      <c r="I295" s="34"/>
      <c r="J295" s="198"/>
      <c r="K295" s="198"/>
      <c r="L295" s="34"/>
      <c r="M295" s="34"/>
      <c r="N295" s="34"/>
      <c r="O295" s="34"/>
      <c r="P295" s="34"/>
      <c r="Q295" s="34"/>
      <c r="R295" s="34"/>
      <c r="S295" s="32"/>
      <c r="V295" s="34"/>
      <c r="X295" s="34"/>
      <c r="Y295" s="198"/>
      <c r="Z295" s="34"/>
      <c r="AA295" s="34"/>
      <c r="AB295" s="34"/>
      <c r="AC295" s="34"/>
      <c r="AD295" s="34"/>
      <c r="AE295" s="34"/>
      <c r="AH295" s="34"/>
      <c r="AI295" s="34"/>
      <c r="AJ295" s="34"/>
      <c r="AK295" s="34"/>
      <c r="AL295" s="33"/>
      <c r="AM295" s="33"/>
    </row>
    <row r="296" spans="1:39" x14ac:dyDescent="0.3">
      <c r="A296" s="22"/>
      <c r="C296" s="23"/>
      <c r="F296" s="195"/>
      <c r="H296" s="195"/>
      <c r="I296" s="195"/>
      <c r="J296" s="198"/>
      <c r="K296" s="198"/>
      <c r="L296" s="32"/>
      <c r="M296" s="32"/>
      <c r="N296" s="33"/>
      <c r="O296" s="33"/>
      <c r="P296" s="32"/>
      <c r="Q296" s="32"/>
      <c r="R296" s="32"/>
      <c r="S296" s="32"/>
      <c r="T296" s="23"/>
      <c r="V296" s="195"/>
      <c r="X296" s="195"/>
      <c r="Y296" s="198"/>
      <c r="Z296" s="32"/>
      <c r="AA296" s="32"/>
      <c r="AB296" s="33"/>
      <c r="AC296" s="33"/>
      <c r="AD296" s="32"/>
      <c r="AE296" s="32"/>
      <c r="AH296" s="32"/>
      <c r="AI296" s="32"/>
      <c r="AJ296" s="32"/>
      <c r="AK296" s="32"/>
      <c r="AL296" s="33"/>
      <c r="AM296" s="33"/>
    </row>
    <row r="298" spans="1:39" x14ac:dyDescent="0.3">
      <c r="A298" s="22"/>
      <c r="C298" s="23"/>
      <c r="F298" s="195"/>
      <c r="H298" s="195"/>
      <c r="I298" s="195"/>
      <c r="J298" s="119"/>
      <c r="K298" s="119"/>
      <c r="L298" s="32"/>
      <c r="M298" s="32"/>
      <c r="N298" s="33"/>
      <c r="O298" s="33"/>
      <c r="P298" s="22"/>
      <c r="Q298" s="22"/>
      <c r="R298" s="32"/>
      <c r="T298" s="23"/>
      <c r="V298" s="32"/>
      <c r="X298" s="195"/>
      <c r="Y298" s="119"/>
      <c r="Z298" s="32"/>
      <c r="AA298" s="32"/>
      <c r="AB298" s="33"/>
      <c r="AC298" s="33"/>
      <c r="AD298" s="32"/>
      <c r="AE298" s="32"/>
      <c r="AF298" s="44"/>
      <c r="AG298" s="44"/>
      <c r="AH298" s="22"/>
      <c r="AI298" s="22"/>
      <c r="AJ298" s="32"/>
      <c r="AK298" s="32"/>
      <c r="AL298" s="33"/>
      <c r="AM298" s="33"/>
    </row>
    <row r="299" spans="1:39" x14ac:dyDescent="0.3">
      <c r="F299" s="34"/>
      <c r="H299" s="32"/>
      <c r="I299" s="32"/>
      <c r="J299" s="198"/>
      <c r="K299" s="198"/>
      <c r="L299" s="34"/>
      <c r="M299" s="34"/>
      <c r="N299" s="34"/>
      <c r="O299" s="34"/>
      <c r="P299" s="34"/>
      <c r="Q299" s="34"/>
      <c r="R299" s="34"/>
      <c r="V299" s="34"/>
      <c r="X299" s="32"/>
      <c r="Y299" s="198"/>
      <c r="Z299" s="34"/>
      <c r="AA299" s="34"/>
      <c r="AB299" s="34"/>
      <c r="AC299" s="34"/>
      <c r="AD299" s="34"/>
      <c r="AE299" s="34"/>
      <c r="AH299" s="34"/>
      <c r="AI299" s="34"/>
      <c r="AJ299" s="34"/>
      <c r="AK299" s="34"/>
      <c r="AL299" s="33"/>
      <c r="AM299" s="33"/>
    </row>
    <row r="300" spans="1:39" x14ac:dyDescent="0.3">
      <c r="A300" s="22"/>
      <c r="C300" s="23"/>
      <c r="F300" s="195"/>
      <c r="H300" s="195"/>
      <c r="I300" s="195"/>
      <c r="J300" s="206"/>
      <c r="K300" s="206"/>
      <c r="L300" s="32"/>
      <c r="M300" s="32"/>
      <c r="N300" s="33"/>
      <c r="O300" s="33"/>
      <c r="P300" s="32"/>
      <c r="Q300" s="32"/>
      <c r="R300" s="32"/>
      <c r="S300" s="32"/>
      <c r="T300" s="23"/>
      <c r="V300" s="195"/>
      <c r="X300" s="195"/>
      <c r="Y300" s="206"/>
      <c r="Z300" s="32"/>
      <c r="AA300" s="32"/>
      <c r="AB300" s="33"/>
      <c r="AC300" s="33"/>
      <c r="AD300" s="32"/>
      <c r="AE300" s="32"/>
      <c r="AF300" s="33"/>
      <c r="AG300" s="33"/>
      <c r="AH300" s="32"/>
      <c r="AI300" s="32"/>
      <c r="AJ300" s="32"/>
      <c r="AK300" s="32"/>
      <c r="AL300" s="33"/>
      <c r="AM300" s="33"/>
    </row>
    <row r="301" spans="1:39" x14ac:dyDescent="0.3">
      <c r="A301" s="22"/>
      <c r="C301" s="23"/>
      <c r="F301" s="195"/>
      <c r="H301" s="195"/>
      <c r="I301" s="195"/>
      <c r="J301" s="119"/>
      <c r="K301" s="119"/>
      <c r="L301" s="32"/>
      <c r="M301" s="32"/>
      <c r="N301" s="33"/>
      <c r="O301" s="33"/>
      <c r="P301" s="32"/>
      <c r="Q301" s="32"/>
      <c r="R301" s="32"/>
      <c r="T301" s="23"/>
      <c r="V301" s="195"/>
      <c r="X301" s="32"/>
      <c r="Y301" s="119"/>
      <c r="Z301" s="32"/>
      <c r="AA301" s="32"/>
      <c r="AB301" s="33"/>
      <c r="AC301" s="33"/>
      <c r="AD301" s="32"/>
      <c r="AE301" s="32"/>
      <c r="AF301" s="44"/>
      <c r="AG301" s="44"/>
      <c r="AH301" s="32"/>
      <c r="AI301" s="32"/>
      <c r="AJ301" s="32"/>
      <c r="AK301" s="32"/>
      <c r="AL301" s="33"/>
      <c r="AM301" s="33"/>
    </row>
    <row r="302" spans="1:39" x14ac:dyDescent="0.3">
      <c r="A302" s="22"/>
      <c r="C302" s="23"/>
      <c r="F302" s="195"/>
      <c r="H302" s="195"/>
      <c r="I302" s="195"/>
      <c r="J302" s="119"/>
      <c r="K302" s="119"/>
      <c r="L302" s="32"/>
      <c r="M302" s="32"/>
      <c r="N302" s="33"/>
      <c r="O302" s="33"/>
      <c r="P302" s="32"/>
      <c r="Q302" s="32"/>
      <c r="R302" s="32"/>
      <c r="T302" s="23"/>
      <c r="V302" s="195"/>
      <c r="X302" s="32"/>
      <c r="Y302" s="119"/>
      <c r="Z302" s="32"/>
      <c r="AA302" s="32"/>
      <c r="AB302" s="33"/>
      <c r="AC302" s="33"/>
      <c r="AD302" s="32"/>
      <c r="AE302" s="32"/>
      <c r="AF302" s="44"/>
      <c r="AG302" s="44"/>
      <c r="AH302" s="32"/>
      <c r="AI302" s="32"/>
      <c r="AJ302" s="32"/>
      <c r="AK302" s="32"/>
      <c r="AL302" s="33"/>
      <c r="AM302" s="33"/>
    </row>
    <row r="303" spans="1:39" x14ac:dyDescent="0.3">
      <c r="F303" s="34"/>
      <c r="H303" s="34"/>
      <c r="I303" s="34"/>
      <c r="J303" s="198"/>
      <c r="K303" s="198"/>
      <c r="L303" s="34"/>
      <c r="M303" s="34"/>
      <c r="N303" s="34"/>
      <c r="O303" s="34"/>
      <c r="P303" s="34"/>
      <c r="Q303" s="34"/>
      <c r="R303" s="34"/>
      <c r="V303" s="34"/>
      <c r="X303" s="34"/>
      <c r="Y303" s="198"/>
      <c r="Z303" s="34"/>
      <c r="AA303" s="34"/>
      <c r="AB303" s="34"/>
      <c r="AC303" s="34"/>
      <c r="AD303" s="34"/>
      <c r="AE303" s="34"/>
      <c r="AH303" s="34"/>
      <c r="AI303" s="34"/>
      <c r="AJ303" s="34"/>
      <c r="AK303" s="34"/>
      <c r="AL303" s="33"/>
      <c r="AM303" s="33"/>
    </row>
    <row r="304" spans="1:39" x14ac:dyDescent="0.3">
      <c r="A304" s="22"/>
      <c r="C304" s="23"/>
      <c r="F304" s="32"/>
      <c r="H304" s="32"/>
      <c r="I304" s="32"/>
      <c r="J304" s="48"/>
      <c r="K304" s="48"/>
      <c r="L304" s="32"/>
      <c r="M304" s="32"/>
      <c r="N304" s="33"/>
      <c r="O304" s="33"/>
      <c r="P304" s="32"/>
      <c r="Q304" s="32"/>
      <c r="R304" s="32"/>
      <c r="T304" s="23"/>
      <c r="V304" s="32"/>
      <c r="X304" s="32"/>
      <c r="Y304" s="48"/>
      <c r="Z304" s="32"/>
      <c r="AA304" s="32"/>
      <c r="AB304" s="33"/>
      <c r="AC304" s="33"/>
      <c r="AD304" s="32"/>
      <c r="AE304" s="32"/>
      <c r="AF304" s="44"/>
      <c r="AG304" s="44"/>
      <c r="AH304" s="32"/>
      <c r="AI304" s="32"/>
      <c r="AJ304" s="32"/>
      <c r="AK304" s="32"/>
      <c r="AL304" s="33"/>
      <c r="AM304" s="33"/>
    </row>
    <row r="305" spans="1:39" x14ac:dyDescent="0.3">
      <c r="F305" s="34"/>
      <c r="H305" s="34"/>
      <c r="I305" s="34"/>
      <c r="J305" s="198"/>
      <c r="K305" s="198"/>
      <c r="L305" s="34"/>
      <c r="M305" s="34"/>
      <c r="N305" s="34"/>
      <c r="O305" s="34"/>
      <c r="P305" s="34"/>
      <c r="Q305" s="34"/>
      <c r="R305" s="34"/>
      <c r="V305" s="34"/>
      <c r="X305" s="34"/>
      <c r="Y305" s="198"/>
      <c r="Z305" s="34"/>
      <c r="AA305" s="34"/>
      <c r="AB305" s="34"/>
      <c r="AC305" s="34"/>
      <c r="AD305" s="34"/>
      <c r="AE305" s="34"/>
      <c r="AH305" s="34"/>
      <c r="AI305" s="34"/>
      <c r="AJ305" s="34"/>
      <c r="AK305" s="34"/>
      <c r="AL305" s="33"/>
      <c r="AM305" s="33"/>
    </row>
    <row r="306" spans="1:39" x14ac:dyDescent="0.3">
      <c r="A306" s="22"/>
      <c r="C306" s="23"/>
      <c r="F306" s="32"/>
      <c r="H306" s="32"/>
      <c r="I306" s="32"/>
      <c r="J306" s="48"/>
      <c r="K306" s="48"/>
      <c r="L306" s="32"/>
      <c r="M306" s="32"/>
      <c r="N306" s="33"/>
      <c r="O306" s="33"/>
      <c r="P306" s="32"/>
      <c r="Q306" s="32"/>
      <c r="R306" s="32"/>
      <c r="T306" s="23"/>
      <c r="V306" s="32"/>
      <c r="X306" s="32"/>
      <c r="Y306" s="48"/>
      <c r="Z306" s="32"/>
      <c r="AA306" s="32"/>
      <c r="AB306" s="33"/>
      <c r="AC306" s="33"/>
      <c r="AD306" s="32"/>
      <c r="AE306" s="32"/>
      <c r="AF306" s="44"/>
      <c r="AG306" s="44"/>
      <c r="AH306" s="32"/>
      <c r="AI306" s="32"/>
      <c r="AJ306" s="32"/>
      <c r="AK306" s="32"/>
      <c r="AL306" s="33"/>
      <c r="AM306" s="33"/>
    </row>
    <row r="307" spans="1:39" x14ac:dyDescent="0.3">
      <c r="A307" s="22"/>
      <c r="C307" s="23"/>
      <c r="F307" s="32"/>
      <c r="H307" s="195"/>
      <c r="I307" s="195"/>
      <c r="J307" s="197"/>
      <c r="K307" s="197"/>
      <c r="L307" s="32"/>
      <c r="M307" s="32"/>
      <c r="N307" s="33"/>
      <c r="O307" s="33"/>
      <c r="P307" s="32"/>
      <c r="Q307" s="32"/>
      <c r="R307" s="32"/>
      <c r="T307" s="23"/>
      <c r="V307" s="32"/>
      <c r="X307" s="32"/>
      <c r="Y307" s="200"/>
      <c r="Z307" s="32"/>
      <c r="AA307" s="32"/>
      <c r="AB307" s="33"/>
      <c r="AC307" s="33"/>
      <c r="AD307" s="32"/>
      <c r="AE307" s="32"/>
      <c r="AF307" s="44"/>
      <c r="AG307" s="44"/>
      <c r="AH307" s="32"/>
      <c r="AI307" s="32"/>
      <c r="AJ307" s="32"/>
      <c r="AK307" s="32"/>
      <c r="AL307" s="33"/>
      <c r="AM307" s="33"/>
    </row>
    <row r="308" spans="1:39" x14ac:dyDescent="0.3">
      <c r="F308" s="34"/>
      <c r="H308" s="34"/>
      <c r="I308" s="34"/>
      <c r="J308" s="198"/>
      <c r="K308" s="198"/>
      <c r="L308" s="34"/>
      <c r="M308" s="34"/>
      <c r="N308" s="34"/>
      <c r="O308" s="34"/>
      <c r="P308" s="34"/>
      <c r="Q308" s="34"/>
      <c r="R308" s="34"/>
      <c r="V308" s="34"/>
      <c r="X308" s="34"/>
      <c r="Y308" s="198"/>
      <c r="Z308" s="34"/>
      <c r="AA308" s="34"/>
      <c r="AB308" s="34"/>
      <c r="AC308" s="34"/>
      <c r="AD308" s="34"/>
      <c r="AE308" s="34"/>
      <c r="AH308" s="34"/>
      <c r="AI308" s="34"/>
      <c r="AJ308" s="34"/>
      <c r="AK308" s="34"/>
      <c r="AL308" s="33"/>
      <c r="AM308" s="33"/>
    </row>
    <row r="310" spans="1:39" x14ac:dyDescent="0.3">
      <c r="A310" s="22"/>
      <c r="C310" s="23"/>
      <c r="F310" s="32"/>
      <c r="H310" s="32"/>
      <c r="I310" s="32"/>
      <c r="J310" s="198"/>
      <c r="K310" s="198"/>
      <c r="L310" s="32"/>
      <c r="M310" s="32"/>
      <c r="N310" s="33"/>
      <c r="O310" s="33"/>
      <c r="P310" s="32"/>
      <c r="Q310" s="32"/>
      <c r="R310" s="32"/>
      <c r="S310" s="32"/>
      <c r="T310" s="23"/>
      <c r="V310" s="32"/>
      <c r="X310" s="32"/>
      <c r="Y310" s="198"/>
      <c r="Z310" s="32"/>
      <c r="AA310" s="32"/>
      <c r="AB310" s="33"/>
      <c r="AC310" s="33"/>
      <c r="AD310" s="32"/>
      <c r="AE310" s="32"/>
      <c r="AF310" s="33"/>
      <c r="AG310" s="33"/>
      <c r="AH310" s="32"/>
      <c r="AI310" s="32"/>
      <c r="AJ310" s="32"/>
      <c r="AK310" s="32"/>
      <c r="AL310" s="33"/>
      <c r="AM310" s="33"/>
    </row>
    <row r="311" spans="1:39" x14ac:dyDescent="0.3">
      <c r="F311" s="34"/>
      <c r="H311" s="34"/>
      <c r="I311" s="34"/>
      <c r="J311" s="198"/>
      <c r="K311" s="198"/>
      <c r="L311" s="34"/>
      <c r="M311" s="34"/>
      <c r="N311" s="34"/>
      <c r="O311" s="34"/>
      <c r="P311" s="34"/>
      <c r="Q311" s="34"/>
      <c r="R311" s="34"/>
      <c r="S311" s="32"/>
      <c r="V311" s="34"/>
      <c r="X311" s="34"/>
      <c r="Y311" s="198"/>
      <c r="Z311" s="34"/>
      <c r="AA311" s="34"/>
      <c r="AB311" s="34"/>
      <c r="AC311" s="34"/>
      <c r="AD311" s="34"/>
      <c r="AE311" s="34"/>
      <c r="AH311" s="34"/>
      <c r="AI311" s="34"/>
      <c r="AJ311" s="34"/>
      <c r="AK311" s="34"/>
      <c r="AL311" s="33"/>
      <c r="AM311" s="33"/>
    </row>
    <row r="312" spans="1:39" x14ac:dyDescent="0.3">
      <c r="A312" s="22"/>
      <c r="C312" s="23"/>
      <c r="T312" s="23"/>
    </row>
    <row r="313" spans="1:39" x14ac:dyDescent="0.3">
      <c r="A313" s="22"/>
      <c r="C313" s="23"/>
      <c r="F313" s="32"/>
      <c r="H313" s="32"/>
      <c r="I313" s="32"/>
      <c r="L313" s="32"/>
      <c r="M313" s="32"/>
      <c r="N313" s="33"/>
      <c r="O313" s="33"/>
      <c r="P313" s="195"/>
      <c r="Q313" s="195"/>
      <c r="R313" s="32"/>
      <c r="T313" s="23"/>
      <c r="V313" s="32"/>
      <c r="X313" s="32"/>
      <c r="Z313" s="32"/>
      <c r="AA313" s="32"/>
      <c r="AB313" s="33"/>
      <c r="AC313" s="33"/>
      <c r="AD313" s="32"/>
      <c r="AE313" s="32"/>
      <c r="AF313" s="33"/>
      <c r="AG313" s="33"/>
      <c r="AH313" s="195"/>
      <c r="AI313" s="195"/>
      <c r="AJ313" s="32"/>
      <c r="AK313" s="32"/>
      <c r="AL313" s="33"/>
      <c r="AM313" s="33"/>
    </row>
    <row r="314" spans="1:39" x14ac:dyDescent="0.3">
      <c r="F314" s="34"/>
      <c r="H314" s="34"/>
      <c r="I314" s="34"/>
      <c r="J314" s="198"/>
      <c r="K314" s="198"/>
      <c r="L314" s="34"/>
      <c r="M314" s="34"/>
      <c r="N314" s="34"/>
      <c r="O314" s="34"/>
      <c r="P314" s="34"/>
      <c r="Q314" s="34"/>
      <c r="R314" s="34"/>
      <c r="V314" s="34"/>
      <c r="X314" s="34"/>
      <c r="Y314" s="198"/>
      <c r="Z314" s="34"/>
      <c r="AA314" s="34"/>
      <c r="AB314" s="34"/>
      <c r="AC314" s="34"/>
      <c r="AD314" s="34"/>
      <c r="AE314" s="34"/>
      <c r="AH314" s="34"/>
      <c r="AI314" s="34"/>
      <c r="AJ314" s="34"/>
      <c r="AK314" s="34"/>
    </row>
    <row r="316" spans="1:39" x14ac:dyDescent="0.3">
      <c r="C316" s="23"/>
      <c r="L316" s="32"/>
      <c r="M316" s="32"/>
      <c r="N316" s="32"/>
      <c r="O316" s="32"/>
      <c r="P316" s="32"/>
      <c r="Q316" s="32"/>
      <c r="R316" s="32"/>
      <c r="S316" s="32"/>
      <c r="T316" s="23"/>
      <c r="Z316" s="32"/>
      <c r="AA316" s="32"/>
      <c r="AB316" s="32"/>
      <c r="AC316" s="32"/>
      <c r="AH316" s="32"/>
      <c r="AI316" s="32"/>
      <c r="AJ316" s="32"/>
      <c r="AK316" s="32"/>
    </row>
    <row r="317" spans="1:39" x14ac:dyDescent="0.3">
      <c r="A317" s="23"/>
    </row>
    <row r="318" spans="1:39" x14ac:dyDescent="0.3">
      <c r="J318" s="22"/>
      <c r="K318" s="22"/>
      <c r="Y318" s="22"/>
    </row>
    <row r="319" spans="1:39" x14ac:dyDescent="0.3">
      <c r="H319" s="23"/>
      <c r="I319" s="23"/>
      <c r="X319" s="23"/>
    </row>
    <row r="320" spans="1:39" x14ac:dyDescent="0.3">
      <c r="J320" s="22"/>
      <c r="K320" s="22"/>
      <c r="Y320" s="22"/>
    </row>
    <row r="321" spans="1:39" x14ac:dyDescent="0.3">
      <c r="L321" s="23"/>
      <c r="M321" s="23"/>
      <c r="Z321" s="23"/>
      <c r="AA321" s="23"/>
    </row>
    <row r="322" spans="1:39" x14ac:dyDescent="0.3">
      <c r="A322" s="22"/>
      <c r="R322" s="23"/>
      <c r="AJ322" s="23"/>
      <c r="AK322" s="23"/>
    </row>
    <row r="323" spans="1:39" x14ac:dyDescent="0.3">
      <c r="A323" s="22"/>
      <c r="R323" s="23"/>
      <c r="AJ323" s="23"/>
      <c r="AK323" s="23"/>
    </row>
    <row r="324" spans="1:39" x14ac:dyDescent="0.3">
      <c r="A324" s="23"/>
      <c r="R324" s="23"/>
      <c r="AJ324" s="23"/>
      <c r="AK324" s="23"/>
    </row>
    <row r="325" spans="1:39" x14ac:dyDescent="0.3">
      <c r="L325" s="23"/>
      <c r="M325" s="23"/>
      <c r="R325" s="22"/>
      <c r="Z325" s="23"/>
      <c r="AA325" s="23"/>
      <c r="AJ325" s="22"/>
      <c r="AK325" s="22"/>
    </row>
    <row r="326" spans="1:39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</row>
    <row r="327" spans="1:39" x14ac:dyDescent="0.3">
      <c r="L327" s="30"/>
      <c r="M327" s="30"/>
      <c r="N327" s="30"/>
      <c r="O327" s="30"/>
      <c r="R327" s="30"/>
      <c r="Z327" s="30"/>
      <c r="AA327" s="30"/>
      <c r="AB327" s="30"/>
      <c r="AC327" s="30"/>
      <c r="AD327" s="30"/>
      <c r="AE327" s="30"/>
      <c r="AF327" s="30"/>
      <c r="AG327" s="30"/>
      <c r="AJ327" s="30"/>
      <c r="AK327" s="30"/>
      <c r="AL327" s="30"/>
      <c r="AM327" s="30"/>
    </row>
    <row r="328" spans="1:39" x14ac:dyDescent="0.3">
      <c r="L328" s="30"/>
      <c r="M328" s="30"/>
      <c r="N328" s="30"/>
      <c r="O328" s="30"/>
      <c r="R328" s="30"/>
      <c r="Y328" s="30"/>
      <c r="Z328" s="30"/>
      <c r="AA328" s="30"/>
      <c r="AB328" s="30"/>
      <c r="AC328" s="30"/>
      <c r="AD328" s="30"/>
      <c r="AE328" s="30"/>
      <c r="AF328" s="30"/>
      <c r="AG328" s="30"/>
      <c r="AJ328" s="30"/>
      <c r="AK328" s="30"/>
      <c r="AL328" s="30"/>
      <c r="AM328" s="30"/>
    </row>
    <row r="329" spans="1:39" x14ac:dyDescent="0.3">
      <c r="A329" s="30"/>
      <c r="C329" s="30"/>
      <c r="D329" s="30"/>
      <c r="E329" s="30"/>
      <c r="F329" s="30"/>
      <c r="J329" s="30"/>
      <c r="K329" s="30"/>
      <c r="L329" s="30"/>
      <c r="M329" s="30"/>
      <c r="N329" s="30"/>
      <c r="O329" s="30"/>
      <c r="P329" s="30"/>
      <c r="Q329" s="30"/>
      <c r="R329" s="30"/>
      <c r="T329" s="30"/>
      <c r="U329" s="30"/>
      <c r="V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</row>
    <row r="330" spans="1:39" x14ac:dyDescent="0.3">
      <c r="A330" s="30"/>
      <c r="C330" s="30"/>
      <c r="D330" s="30"/>
      <c r="E330" s="30"/>
      <c r="F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T330" s="30"/>
      <c r="U330" s="30"/>
      <c r="V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</row>
    <row r="331" spans="1:39" x14ac:dyDescent="0.3">
      <c r="C331" s="30"/>
      <c r="D331" s="30"/>
      <c r="E331" s="30"/>
      <c r="F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T331" s="30"/>
      <c r="U331" s="30"/>
      <c r="V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</row>
    <row r="332" spans="1:39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</row>
    <row r="333" spans="1:39" x14ac:dyDescent="0.3"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</row>
    <row r="334" spans="1:39" x14ac:dyDescent="0.3">
      <c r="A334" s="22"/>
      <c r="C334" s="23"/>
      <c r="D334" s="23"/>
      <c r="E334" s="23"/>
      <c r="T334" s="23"/>
      <c r="U334" s="23"/>
    </row>
    <row r="335" spans="1:39" x14ac:dyDescent="0.3">
      <c r="D335" s="23"/>
      <c r="E335" s="23"/>
      <c r="U335" s="23"/>
    </row>
    <row r="337" spans="1:39" x14ac:dyDescent="0.3">
      <c r="A337" s="22"/>
      <c r="C337" s="23"/>
      <c r="T337" s="23"/>
    </row>
    <row r="338" spans="1:39" x14ac:dyDescent="0.3">
      <c r="A338" s="22"/>
      <c r="C338" s="23"/>
      <c r="F338" s="195"/>
      <c r="H338" s="195"/>
      <c r="I338" s="195"/>
      <c r="J338" s="203"/>
      <c r="K338" s="203"/>
      <c r="L338" s="32"/>
      <c r="M338" s="32"/>
      <c r="N338" s="33"/>
      <c r="O338" s="33"/>
      <c r="P338" s="32"/>
      <c r="Q338" s="32"/>
      <c r="R338" s="32"/>
      <c r="T338" s="23"/>
      <c r="V338" s="195"/>
      <c r="W338" s="32"/>
      <c r="X338" s="195"/>
      <c r="Y338" s="203"/>
      <c r="Z338" s="32"/>
      <c r="AA338" s="32"/>
      <c r="AB338" s="33"/>
      <c r="AC338" s="33"/>
      <c r="AD338" s="32"/>
      <c r="AE338" s="32"/>
      <c r="AF338" s="44"/>
      <c r="AG338" s="44"/>
      <c r="AH338" s="32"/>
      <c r="AI338" s="32"/>
      <c r="AJ338" s="32"/>
      <c r="AK338" s="32"/>
      <c r="AL338" s="33"/>
      <c r="AM338" s="33"/>
    </row>
    <row r="339" spans="1:39" x14ac:dyDescent="0.3">
      <c r="A339" s="22"/>
      <c r="C339" s="23"/>
      <c r="F339" s="32"/>
      <c r="H339" s="32"/>
      <c r="I339" s="32"/>
      <c r="J339" s="198"/>
      <c r="K339" s="198"/>
      <c r="L339" s="32"/>
      <c r="M339" s="32"/>
      <c r="N339" s="33"/>
      <c r="O339" s="33"/>
      <c r="P339" s="32"/>
      <c r="Q339" s="32"/>
      <c r="R339" s="32"/>
      <c r="T339" s="23"/>
      <c r="V339" s="195"/>
      <c r="W339" s="32"/>
      <c r="X339" s="195"/>
      <c r="Y339" s="198"/>
      <c r="Z339" s="32"/>
      <c r="AA339" s="32"/>
      <c r="AB339" s="33"/>
      <c r="AC339" s="33"/>
      <c r="AD339" s="32"/>
      <c r="AE339" s="32"/>
      <c r="AF339" s="44"/>
      <c r="AG339" s="44"/>
      <c r="AH339" s="32"/>
      <c r="AI339" s="32"/>
      <c r="AJ339" s="32"/>
      <c r="AK339" s="32"/>
      <c r="AL339" s="33"/>
      <c r="AM339" s="33"/>
    </row>
    <row r="340" spans="1:39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195"/>
      <c r="W340" s="32"/>
      <c r="X340" s="195"/>
      <c r="Y340" s="203"/>
      <c r="Z340" s="32"/>
      <c r="AA340" s="32"/>
      <c r="AB340" s="33"/>
      <c r="AC340" s="33"/>
      <c r="AD340" s="32"/>
      <c r="AE340" s="32"/>
      <c r="AF340" s="44"/>
      <c r="AG340" s="44"/>
      <c r="AH340" s="32"/>
      <c r="AI340" s="32"/>
      <c r="AJ340" s="32"/>
      <c r="AK340" s="32"/>
      <c r="AL340" s="33"/>
      <c r="AM340" s="33"/>
    </row>
    <row r="341" spans="1:39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195"/>
      <c r="W341" s="32"/>
      <c r="X341" s="195"/>
      <c r="Y341" s="203"/>
      <c r="Z341" s="32"/>
      <c r="AA341" s="32"/>
      <c r="AB341" s="33"/>
      <c r="AC341" s="33"/>
      <c r="AD341" s="32"/>
      <c r="AE341" s="32"/>
      <c r="AF341" s="44"/>
      <c r="AG341" s="44"/>
      <c r="AH341" s="32"/>
      <c r="AI341" s="32"/>
      <c r="AJ341" s="32"/>
      <c r="AK341" s="32"/>
      <c r="AL341" s="33"/>
      <c r="AM341" s="33"/>
    </row>
    <row r="342" spans="1:39" x14ac:dyDescent="0.3">
      <c r="A342" s="22"/>
      <c r="C342" s="23"/>
      <c r="F342" s="195"/>
      <c r="H342" s="195"/>
      <c r="I342" s="195"/>
      <c r="J342" s="203"/>
      <c r="K342" s="203"/>
      <c r="L342" s="32"/>
      <c r="M342" s="32"/>
      <c r="N342" s="33"/>
      <c r="O342" s="33"/>
      <c r="P342" s="32"/>
      <c r="Q342" s="32"/>
      <c r="R342" s="32"/>
      <c r="T342" s="23"/>
      <c r="V342" s="195"/>
      <c r="W342" s="32"/>
      <c r="X342" s="195"/>
      <c r="Y342" s="203"/>
      <c r="Z342" s="32"/>
      <c r="AA342" s="32"/>
      <c r="AB342" s="33"/>
      <c r="AC342" s="33"/>
      <c r="AD342" s="32"/>
      <c r="AE342" s="32"/>
      <c r="AF342" s="44"/>
      <c r="AG342" s="44"/>
      <c r="AH342" s="32"/>
      <c r="AI342" s="32"/>
      <c r="AJ342" s="32"/>
      <c r="AK342" s="32"/>
      <c r="AL342" s="33"/>
      <c r="AM342" s="33"/>
    </row>
    <row r="343" spans="1:39" x14ac:dyDescent="0.3">
      <c r="A343" s="22"/>
      <c r="C343" s="23"/>
      <c r="F343" s="32"/>
      <c r="H343" s="32"/>
      <c r="I343" s="32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195"/>
      <c r="W343" s="32"/>
      <c r="X343" s="195"/>
      <c r="Y343" s="203"/>
      <c r="Z343" s="32"/>
      <c r="AA343" s="32"/>
      <c r="AB343" s="33"/>
      <c r="AC343" s="33"/>
      <c r="AD343" s="32"/>
      <c r="AE343" s="32"/>
      <c r="AF343" s="44"/>
      <c r="AG343" s="44"/>
      <c r="AH343" s="32"/>
      <c r="AI343" s="32"/>
      <c r="AJ343" s="32"/>
      <c r="AK343" s="32"/>
      <c r="AL343" s="33"/>
      <c r="AM343" s="33"/>
    </row>
    <row r="344" spans="1:39" x14ac:dyDescent="0.3">
      <c r="A344" s="22"/>
      <c r="C344" s="23"/>
      <c r="F344" s="32"/>
      <c r="H344" s="32"/>
      <c r="I344" s="32"/>
      <c r="J344" s="203"/>
      <c r="K344" s="203"/>
      <c r="L344" s="32"/>
      <c r="M344" s="32"/>
      <c r="N344" s="33"/>
      <c r="O344" s="33"/>
      <c r="P344" s="32"/>
      <c r="Q344" s="32"/>
      <c r="R344" s="32"/>
      <c r="T344" s="23"/>
      <c r="V344" s="195"/>
      <c r="W344" s="32"/>
      <c r="X344" s="195"/>
      <c r="Y344" s="203"/>
      <c r="Z344" s="32"/>
      <c r="AA344" s="32"/>
      <c r="AB344" s="33"/>
      <c r="AC344" s="33"/>
      <c r="AD344" s="32"/>
      <c r="AE344" s="32"/>
      <c r="AF344" s="44"/>
      <c r="AG344" s="44"/>
      <c r="AH344" s="32"/>
      <c r="AI344" s="32"/>
      <c r="AJ344" s="32"/>
      <c r="AK344" s="32"/>
      <c r="AL344" s="33"/>
      <c r="AM344" s="33"/>
    </row>
    <row r="345" spans="1:39" x14ac:dyDescent="0.3">
      <c r="F345" s="60"/>
      <c r="H345" s="209"/>
      <c r="I345" s="209"/>
      <c r="J345" s="203"/>
      <c r="K345" s="203"/>
      <c r="L345" s="60"/>
      <c r="M345" s="60"/>
      <c r="N345" s="34"/>
      <c r="O345" s="34"/>
      <c r="P345" s="60"/>
      <c r="Q345" s="60"/>
      <c r="R345" s="60"/>
      <c r="V345" s="60"/>
      <c r="W345" s="32"/>
      <c r="X345" s="60"/>
      <c r="Y345" s="203"/>
      <c r="Z345" s="60"/>
      <c r="AA345" s="60"/>
      <c r="AB345" s="61"/>
      <c r="AC345" s="61"/>
      <c r="AD345" s="60"/>
      <c r="AE345" s="60"/>
      <c r="AF345" s="44"/>
      <c r="AG345" s="44"/>
      <c r="AH345" s="60"/>
      <c r="AI345" s="60"/>
      <c r="AJ345" s="60"/>
      <c r="AK345" s="60"/>
      <c r="AL345" s="33"/>
      <c r="AM345" s="33"/>
    </row>
    <row r="346" spans="1:39" x14ac:dyDescent="0.3">
      <c r="A346" s="22"/>
      <c r="C346" s="23"/>
      <c r="F346" s="32"/>
      <c r="H346" s="32"/>
      <c r="I346" s="32"/>
      <c r="J346" s="203"/>
      <c r="K346" s="203"/>
      <c r="L346" s="32"/>
      <c r="M346" s="32"/>
      <c r="N346" s="44"/>
      <c r="O346" s="44"/>
      <c r="P346" s="32"/>
      <c r="Q346" s="32"/>
      <c r="R346" s="32"/>
      <c r="T346" s="30"/>
      <c r="V346" s="32"/>
      <c r="W346" s="32"/>
      <c r="X346" s="32"/>
      <c r="Y346" s="203"/>
      <c r="Z346" s="32"/>
      <c r="AA346" s="32"/>
      <c r="AB346" s="44"/>
      <c r="AC346" s="44"/>
      <c r="AD346" s="32"/>
      <c r="AE346" s="32"/>
      <c r="AF346" s="44"/>
      <c r="AG346" s="44"/>
      <c r="AH346" s="32"/>
      <c r="AI346" s="32"/>
      <c r="AJ346" s="32"/>
      <c r="AK346" s="32"/>
      <c r="AL346" s="33"/>
      <c r="AM346" s="33"/>
    </row>
    <row r="347" spans="1:39" x14ac:dyDescent="0.3">
      <c r="F347" s="29"/>
      <c r="H347" s="29"/>
      <c r="I347" s="29"/>
      <c r="L347" s="29"/>
      <c r="M347" s="29"/>
      <c r="N347" s="61"/>
      <c r="O347" s="61"/>
      <c r="P347" s="60"/>
      <c r="Q347" s="60"/>
      <c r="R347" s="60"/>
      <c r="V347" s="60"/>
      <c r="X347" s="60"/>
      <c r="Y347" s="198"/>
      <c r="Z347" s="60"/>
      <c r="AA347" s="60"/>
      <c r="AB347" s="60"/>
      <c r="AC347" s="60"/>
      <c r="AD347" s="60"/>
      <c r="AE347" s="60"/>
      <c r="AH347" s="60"/>
      <c r="AI347" s="60"/>
      <c r="AJ347" s="60"/>
      <c r="AK347" s="60"/>
      <c r="AL347" s="61"/>
      <c r="AM347" s="61"/>
    </row>
    <row r="348" spans="1:39" x14ac:dyDescent="0.3">
      <c r="AH348" s="22"/>
      <c r="AI348" s="22"/>
    </row>
    <row r="352" spans="1:39" x14ac:dyDescent="0.3">
      <c r="N352" s="32"/>
      <c r="O352" s="32"/>
      <c r="P352" s="32"/>
      <c r="Q352" s="32"/>
      <c r="R352" s="32"/>
      <c r="V352" s="32"/>
      <c r="X352" s="32"/>
      <c r="Y352" s="48"/>
      <c r="Z352" s="32"/>
      <c r="AA352" s="32"/>
      <c r="AB352" s="33"/>
      <c r="AC352" s="33"/>
      <c r="AD352" s="32"/>
      <c r="AE352" s="32"/>
      <c r="AF352" s="44"/>
      <c r="AG352" s="44"/>
      <c r="AH352" s="32"/>
      <c r="AI352" s="32"/>
      <c r="AJ352" s="32"/>
      <c r="AK352" s="32"/>
      <c r="AL352" s="33"/>
      <c r="AM352" s="33"/>
    </row>
    <row r="353" spans="1:39" x14ac:dyDescent="0.3">
      <c r="A353" s="22"/>
      <c r="C353" s="23"/>
      <c r="D353" s="23"/>
      <c r="E353" s="23"/>
      <c r="J353" s="62"/>
      <c r="K353" s="62"/>
      <c r="T353" s="23"/>
      <c r="U353" s="23"/>
      <c r="Y353" s="62"/>
      <c r="AD353" s="32"/>
      <c r="AE353" s="32"/>
      <c r="AH353" s="32"/>
      <c r="AI353" s="32"/>
      <c r="AJ353" s="32"/>
      <c r="AK353" s="32"/>
      <c r="AL353" s="33"/>
      <c r="AM353" s="33"/>
    </row>
    <row r="354" spans="1:39" x14ac:dyDescent="0.3">
      <c r="D354" s="23"/>
      <c r="E354" s="23"/>
      <c r="F354" s="32"/>
      <c r="H354" s="32"/>
      <c r="I354" s="32"/>
      <c r="J354" s="203"/>
      <c r="K354" s="203"/>
      <c r="L354" s="32"/>
      <c r="M354" s="32"/>
      <c r="N354" s="33"/>
      <c r="O354" s="33"/>
      <c r="P354" s="32"/>
      <c r="Q354" s="32"/>
      <c r="R354" s="32"/>
      <c r="U354" s="23"/>
      <c r="V354" s="32"/>
      <c r="X354" s="32"/>
      <c r="Y354" s="203"/>
      <c r="Z354" s="32"/>
      <c r="AA354" s="32"/>
      <c r="AB354" s="33"/>
      <c r="AC354" s="33"/>
      <c r="AD354" s="32"/>
      <c r="AE354" s="32"/>
      <c r="AF354" s="44"/>
      <c r="AG354" s="44"/>
      <c r="AH354" s="32"/>
      <c r="AI354" s="32"/>
      <c r="AJ354" s="32"/>
      <c r="AK354" s="32"/>
      <c r="AL354" s="33"/>
      <c r="AM354" s="33"/>
    </row>
    <row r="355" spans="1:39" x14ac:dyDescent="0.3">
      <c r="F355" s="32"/>
      <c r="H355" s="32"/>
      <c r="I355" s="32"/>
      <c r="J355" s="198"/>
      <c r="K355" s="198"/>
      <c r="L355" s="32"/>
      <c r="M355" s="32"/>
      <c r="N355" s="32"/>
      <c r="O355" s="32"/>
      <c r="P355" s="32"/>
      <c r="Q355" s="32"/>
      <c r="R355" s="32"/>
      <c r="V355" s="32"/>
      <c r="X355" s="32"/>
      <c r="Y355" s="198"/>
      <c r="Z355" s="32"/>
      <c r="AA355" s="32"/>
      <c r="AB355" s="32"/>
      <c r="AC355" s="32"/>
      <c r="AD355" s="32"/>
      <c r="AE355" s="32"/>
      <c r="AF355" s="44"/>
      <c r="AG355" s="44"/>
      <c r="AH355" s="195"/>
      <c r="AI355" s="195"/>
      <c r="AJ355" s="32"/>
      <c r="AK355" s="32"/>
      <c r="AL355" s="33"/>
      <c r="AM355" s="33"/>
    </row>
    <row r="356" spans="1:39" x14ac:dyDescent="0.3">
      <c r="A356" s="22"/>
      <c r="C356" s="23"/>
      <c r="F356" s="195"/>
      <c r="H356" s="195"/>
      <c r="I356" s="195"/>
      <c r="J356" s="200"/>
      <c r="K356" s="200"/>
      <c r="L356" s="32"/>
      <c r="M356" s="32"/>
      <c r="N356" s="33"/>
      <c r="O356" s="33"/>
      <c r="P356" s="32"/>
      <c r="Q356" s="32"/>
      <c r="R356" s="32"/>
      <c r="T356" s="23"/>
      <c r="V356" s="195"/>
      <c r="X356" s="195"/>
      <c r="Y356" s="200"/>
      <c r="Z356" s="32"/>
      <c r="AA356" s="32"/>
      <c r="AB356" s="33"/>
      <c r="AC356" s="33"/>
      <c r="AD356" s="32"/>
      <c r="AE356" s="32"/>
      <c r="AF356" s="44"/>
      <c r="AG356" s="44"/>
      <c r="AH356" s="32"/>
      <c r="AI356" s="32"/>
      <c r="AJ356" s="32"/>
      <c r="AK356" s="32"/>
      <c r="AL356" s="33"/>
      <c r="AM356" s="33"/>
    </row>
    <row r="357" spans="1:39" x14ac:dyDescent="0.3">
      <c r="F357" s="29"/>
      <c r="H357" s="29"/>
      <c r="I357" s="29"/>
      <c r="L357" s="29"/>
      <c r="M357" s="29"/>
      <c r="N357" s="29"/>
      <c r="O357" s="29"/>
      <c r="P357" s="29"/>
      <c r="Q357" s="29"/>
      <c r="R357" s="29"/>
      <c r="V357" s="29"/>
      <c r="X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</row>
    <row r="358" spans="1:39" x14ac:dyDescent="0.3">
      <c r="A358" s="22"/>
      <c r="C358" s="30"/>
      <c r="F358" s="195"/>
      <c r="H358" s="195"/>
      <c r="I358" s="195"/>
      <c r="J358" s="119"/>
      <c r="K358" s="119"/>
      <c r="L358" s="195"/>
      <c r="M358" s="195"/>
      <c r="N358" s="33"/>
      <c r="O358" s="33"/>
      <c r="P358" s="195"/>
      <c r="Q358" s="195"/>
      <c r="R358" s="195"/>
      <c r="T358" s="30"/>
      <c r="V358" s="32"/>
      <c r="X358" s="32"/>
      <c r="Y358" s="48"/>
      <c r="Z358" s="32"/>
      <c r="AA358" s="32"/>
      <c r="AB358" s="33"/>
      <c r="AC358" s="33"/>
      <c r="AD358" s="22"/>
      <c r="AE358" s="22"/>
      <c r="AF358" s="44"/>
      <c r="AG358" s="44"/>
      <c r="AH358" s="32"/>
      <c r="AI358" s="32"/>
      <c r="AJ358" s="32"/>
      <c r="AK358" s="32"/>
      <c r="AL358" s="33"/>
      <c r="AM358" s="33"/>
    </row>
    <row r="359" spans="1:39" x14ac:dyDescent="0.3">
      <c r="F359" s="60"/>
      <c r="H359" s="60"/>
      <c r="I359" s="60"/>
      <c r="J359" s="198"/>
      <c r="K359" s="198"/>
      <c r="L359" s="60"/>
      <c r="M359" s="60"/>
      <c r="N359" s="60"/>
      <c r="O359" s="60"/>
      <c r="P359" s="60"/>
      <c r="Q359" s="60"/>
      <c r="R359" s="60"/>
      <c r="V359" s="29"/>
      <c r="X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</row>
    <row r="360" spans="1:39" x14ac:dyDescent="0.3">
      <c r="F360" s="195"/>
      <c r="H360" s="195"/>
      <c r="I360" s="195"/>
      <c r="J360" s="206"/>
      <c r="K360" s="206"/>
      <c r="L360" s="32"/>
      <c r="M360" s="32"/>
      <c r="N360" s="33"/>
      <c r="O360" s="33"/>
      <c r="P360" s="32"/>
      <c r="Q360" s="32"/>
      <c r="R360" s="32"/>
    </row>
    <row r="361" spans="1:39" x14ac:dyDescent="0.3">
      <c r="A361" s="23"/>
      <c r="F361" s="195"/>
      <c r="H361" s="195"/>
      <c r="I361" s="195"/>
      <c r="J361" s="119"/>
      <c r="K361" s="119"/>
      <c r="L361" s="32"/>
      <c r="M361" s="32"/>
      <c r="N361" s="33"/>
      <c r="O361" s="33"/>
      <c r="P361" s="32"/>
      <c r="Q361" s="32"/>
      <c r="R361" s="32"/>
    </row>
    <row r="362" spans="1:39" x14ac:dyDescent="0.3">
      <c r="F362" s="195"/>
      <c r="H362" s="195"/>
      <c r="I362" s="195"/>
      <c r="J362" s="119"/>
      <c r="K362" s="119"/>
      <c r="L362" s="32"/>
      <c r="M362" s="32"/>
      <c r="N362" s="33"/>
      <c r="O362" s="33"/>
      <c r="P362" s="32"/>
      <c r="Q362" s="32"/>
      <c r="R362" s="32"/>
    </row>
    <row r="363" spans="1:39" x14ac:dyDescent="0.3">
      <c r="A363" s="23"/>
    </row>
    <row r="365" spans="1:39" x14ac:dyDescent="0.3">
      <c r="J365" s="22"/>
      <c r="K365" s="22"/>
      <c r="Y365" s="22"/>
    </row>
    <row r="366" spans="1:39" x14ac:dyDescent="0.3">
      <c r="H366" s="23"/>
      <c r="I366" s="23"/>
      <c r="X366" s="23"/>
    </row>
    <row r="367" spans="1:39" x14ac:dyDescent="0.3">
      <c r="J367" s="22"/>
      <c r="K367" s="22"/>
      <c r="Y367" s="22"/>
    </row>
    <row r="368" spans="1:39" x14ac:dyDescent="0.3">
      <c r="L368" s="23"/>
      <c r="M368" s="23"/>
      <c r="Z368" s="23"/>
      <c r="AA368" s="23"/>
    </row>
    <row r="369" spans="1:39" x14ac:dyDescent="0.3">
      <c r="A369" s="22"/>
      <c r="R369" s="23"/>
      <c r="AJ369" s="23"/>
      <c r="AK369" s="23"/>
    </row>
    <row r="370" spans="1:39" x14ac:dyDescent="0.3">
      <c r="A370" s="22"/>
      <c r="R370" s="23"/>
      <c r="AJ370" s="23"/>
      <c r="AK370" s="23"/>
    </row>
    <row r="371" spans="1:39" x14ac:dyDescent="0.3">
      <c r="A371" s="23"/>
      <c r="R371" s="23"/>
      <c r="AJ371" s="23"/>
      <c r="AK371" s="23"/>
    </row>
    <row r="372" spans="1:39" x14ac:dyDescent="0.3">
      <c r="L372" s="23"/>
      <c r="M372" s="23"/>
      <c r="R372" s="22"/>
      <c r="Z372" s="23"/>
      <c r="AA372" s="23"/>
      <c r="AJ372" s="22"/>
      <c r="AK372" s="22"/>
    </row>
    <row r="373" spans="1:39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</row>
    <row r="374" spans="1:39" x14ac:dyDescent="0.3">
      <c r="L374" s="30"/>
      <c r="M374" s="30"/>
      <c r="N374" s="30"/>
      <c r="O374" s="30"/>
      <c r="R374" s="30"/>
      <c r="Z374" s="30"/>
      <c r="AA374" s="30"/>
      <c r="AB374" s="30"/>
      <c r="AC374" s="30"/>
      <c r="AD374" s="30"/>
      <c r="AE374" s="30"/>
      <c r="AF374" s="30"/>
      <c r="AG374" s="30"/>
      <c r="AJ374" s="30"/>
      <c r="AK374" s="30"/>
      <c r="AL374" s="30"/>
      <c r="AM374" s="30"/>
    </row>
    <row r="375" spans="1:39" x14ac:dyDescent="0.3">
      <c r="L375" s="30"/>
      <c r="M375" s="30"/>
      <c r="N375" s="30"/>
      <c r="O375" s="30"/>
      <c r="R375" s="30"/>
      <c r="Y375" s="30"/>
      <c r="Z375" s="30"/>
      <c r="AA375" s="30"/>
      <c r="AB375" s="30"/>
      <c r="AC375" s="30"/>
      <c r="AD375" s="30"/>
      <c r="AE375" s="30"/>
      <c r="AF375" s="30"/>
      <c r="AG375" s="30"/>
      <c r="AJ375" s="30"/>
      <c r="AK375" s="30"/>
      <c r="AL375" s="30"/>
      <c r="AM375" s="30"/>
    </row>
    <row r="376" spans="1:39" x14ac:dyDescent="0.3">
      <c r="A376" s="30"/>
      <c r="C376" s="30"/>
      <c r="D376" s="30"/>
      <c r="E376" s="30"/>
      <c r="F376" s="30"/>
      <c r="J376" s="30"/>
      <c r="K376" s="30"/>
      <c r="L376" s="30"/>
      <c r="M376" s="30"/>
      <c r="N376" s="30"/>
      <c r="O376" s="30"/>
      <c r="P376" s="30"/>
      <c r="Q376" s="30"/>
      <c r="R376" s="30"/>
      <c r="T376" s="30"/>
      <c r="U376" s="30"/>
      <c r="V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</row>
    <row r="377" spans="1:39" x14ac:dyDescent="0.3">
      <c r="A377" s="30"/>
      <c r="C377" s="30"/>
      <c r="D377" s="30"/>
      <c r="E377" s="30"/>
      <c r="F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T377" s="30"/>
      <c r="U377" s="30"/>
      <c r="V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</row>
    <row r="378" spans="1:39" x14ac:dyDescent="0.3">
      <c r="C378" s="30"/>
      <c r="D378" s="30"/>
      <c r="E378" s="30"/>
      <c r="F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T378" s="30"/>
      <c r="U378" s="30"/>
      <c r="V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</row>
    <row r="379" spans="1:39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</row>
    <row r="380" spans="1:39" x14ac:dyDescent="0.3"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</row>
    <row r="381" spans="1:39" x14ac:dyDescent="0.3">
      <c r="A381" s="22"/>
      <c r="C381" s="23"/>
      <c r="D381" s="23"/>
      <c r="E381" s="23"/>
      <c r="T381" s="23"/>
      <c r="U381" s="23"/>
    </row>
    <row r="383" spans="1:39" x14ac:dyDescent="0.3">
      <c r="A383" s="22"/>
      <c r="C383" s="23"/>
      <c r="T383" s="23"/>
    </row>
    <row r="384" spans="1:39" x14ac:dyDescent="0.3">
      <c r="A384" s="22"/>
      <c r="C384" s="23"/>
      <c r="F384" s="195"/>
      <c r="H384" s="195"/>
      <c r="I384" s="195"/>
      <c r="J384" s="198"/>
      <c r="K384" s="198"/>
      <c r="L384" s="32"/>
      <c r="M384" s="32"/>
      <c r="N384" s="33"/>
      <c r="O384" s="33"/>
      <c r="P384" s="32"/>
      <c r="Q384" s="32"/>
      <c r="R384" s="32"/>
      <c r="T384" s="23"/>
      <c r="V384" s="195"/>
      <c r="X384" s="195"/>
      <c r="Y384" s="198"/>
      <c r="Z384" s="32"/>
      <c r="AA384" s="32"/>
      <c r="AB384" s="33"/>
      <c r="AC384" s="33"/>
      <c r="AD384" s="32"/>
      <c r="AE384" s="32"/>
      <c r="AF384" s="44"/>
      <c r="AG384" s="44"/>
      <c r="AH384" s="32"/>
      <c r="AI384" s="32"/>
      <c r="AJ384" s="32"/>
      <c r="AK384" s="32"/>
      <c r="AL384" s="33"/>
      <c r="AM384" s="33"/>
    </row>
    <row r="385" spans="1:39" x14ac:dyDescent="0.3">
      <c r="A385" s="22"/>
      <c r="C385" s="23"/>
      <c r="T385" s="23"/>
    </row>
    <row r="386" spans="1:39" x14ac:dyDescent="0.3">
      <c r="A386" s="22"/>
      <c r="C386" s="23"/>
      <c r="F386" s="195"/>
      <c r="H386" s="195"/>
      <c r="I386" s="195"/>
      <c r="J386" s="203"/>
      <c r="K386" s="203"/>
      <c r="L386" s="32"/>
      <c r="M386" s="32"/>
      <c r="N386" s="33"/>
      <c r="O386" s="33"/>
      <c r="P386" s="32"/>
      <c r="Q386" s="32"/>
      <c r="R386" s="32"/>
      <c r="T386" s="23"/>
      <c r="V386" s="32"/>
      <c r="X386" s="32"/>
      <c r="Y386" s="203"/>
      <c r="Z386" s="32"/>
      <c r="AA386" s="32"/>
      <c r="AB386" s="33"/>
      <c r="AC386" s="33"/>
      <c r="AD386" s="32"/>
      <c r="AE386" s="32"/>
      <c r="AF386" s="44"/>
      <c r="AG386" s="44"/>
      <c r="AH386" s="32"/>
      <c r="AI386" s="32"/>
      <c r="AJ386" s="32"/>
      <c r="AK386" s="32"/>
      <c r="AL386" s="33"/>
      <c r="AM386" s="33"/>
    </row>
    <row r="387" spans="1:39" x14ac:dyDescent="0.3">
      <c r="A387" s="22"/>
      <c r="C387" s="23"/>
      <c r="F387" s="195"/>
      <c r="H387" s="195"/>
      <c r="I387" s="195"/>
      <c r="J387" s="203"/>
      <c r="K387" s="203"/>
      <c r="L387" s="32"/>
      <c r="M387" s="32"/>
      <c r="N387" s="33"/>
      <c r="O387" s="33"/>
      <c r="P387" s="32"/>
      <c r="Q387" s="32"/>
      <c r="R387" s="32"/>
      <c r="T387" s="23"/>
      <c r="V387" s="32"/>
      <c r="X387" s="32"/>
      <c r="Y387" s="203"/>
      <c r="Z387" s="32"/>
      <c r="AA387" s="32"/>
      <c r="AB387" s="33"/>
      <c r="AC387" s="33"/>
      <c r="AD387" s="32"/>
      <c r="AE387" s="32"/>
      <c r="AF387" s="44"/>
      <c r="AG387" s="44"/>
      <c r="AH387" s="32"/>
      <c r="AI387" s="32"/>
      <c r="AJ387" s="32"/>
      <c r="AK387" s="32"/>
      <c r="AL387" s="33"/>
      <c r="AM387" s="33"/>
    </row>
    <row r="388" spans="1:39" x14ac:dyDescent="0.3">
      <c r="A388" s="22"/>
      <c r="C388" s="23"/>
      <c r="F388" s="195"/>
      <c r="H388" s="195"/>
      <c r="I388" s="195"/>
      <c r="J388" s="203"/>
      <c r="K388" s="203"/>
      <c r="L388" s="32"/>
      <c r="M388" s="32"/>
      <c r="N388" s="33"/>
      <c r="O388" s="33"/>
      <c r="P388" s="32"/>
      <c r="Q388" s="32"/>
      <c r="R388" s="32"/>
      <c r="T388" s="23"/>
      <c r="V388" s="32"/>
      <c r="X388" s="32"/>
      <c r="Y388" s="203"/>
      <c r="Z388" s="32"/>
      <c r="AA388" s="32"/>
      <c r="AB388" s="33"/>
      <c r="AC388" s="33"/>
      <c r="AD388" s="32"/>
      <c r="AE388" s="32"/>
      <c r="AF388" s="44"/>
      <c r="AG388" s="44"/>
      <c r="AH388" s="32"/>
      <c r="AI388" s="32"/>
      <c r="AJ388" s="32"/>
      <c r="AK388" s="32"/>
      <c r="AL388" s="33"/>
      <c r="AM388" s="33"/>
    </row>
    <row r="389" spans="1:39" x14ac:dyDescent="0.3">
      <c r="A389" s="22"/>
      <c r="C389" s="23"/>
      <c r="F389" s="195"/>
      <c r="H389" s="195"/>
      <c r="I389" s="195"/>
      <c r="J389" s="203"/>
      <c r="K389" s="203"/>
      <c r="L389" s="32"/>
      <c r="M389" s="32"/>
      <c r="N389" s="33"/>
      <c r="O389" s="33"/>
      <c r="P389" s="32"/>
      <c r="Q389" s="32"/>
      <c r="R389" s="32"/>
      <c r="T389" s="23"/>
      <c r="V389" s="32"/>
      <c r="X389" s="32"/>
      <c r="Y389" s="203"/>
      <c r="Z389" s="32"/>
      <c r="AA389" s="32"/>
      <c r="AB389" s="33"/>
      <c r="AC389" s="33"/>
      <c r="AD389" s="32"/>
      <c r="AE389" s="32"/>
      <c r="AF389" s="44"/>
      <c r="AG389" s="44"/>
      <c r="AH389" s="32"/>
      <c r="AI389" s="32"/>
      <c r="AJ389" s="32"/>
      <c r="AK389" s="32"/>
      <c r="AL389" s="33"/>
      <c r="AM389" s="33"/>
    </row>
    <row r="390" spans="1:39" x14ac:dyDescent="0.3">
      <c r="A390" s="22"/>
      <c r="C390" s="23"/>
      <c r="J390" s="62"/>
      <c r="K390" s="62"/>
      <c r="T390" s="23"/>
      <c r="Y390" s="62"/>
    </row>
    <row r="391" spans="1:39" x14ac:dyDescent="0.3">
      <c r="A391" s="22"/>
      <c r="C391" s="23"/>
      <c r="F391" s="195"/>
      <c r="H391" s="195"/>
      <c r="I391" s="195"/>
      <c r="J391" s="203"/>
      <c r="K391" s="203"/>
      <c r="L391" s="32"/>
      <c r="M391" s="32"/>
      <c r="N391" s="33"/>
      <c r="O391" s="33"/>
      <c r="P391" s="32"/>
      <c r="Q391" s="32"/>
      <c r="R391" s="32"/>
      <c r="T391" s="23"/>
      <c r="V391" s="32"/>
      <c r="X391" s="32"/>
      <c r="Y391" s="203"/>
      <c r="Z391" s="32"/>
      <c r="AA391" s="32"/>
      <c r="AB391" s="33"/>
      <c r="AC391" s="33"/>
      <c r="AD391" s="32"/>
      <c r="AE391" s="32"/>
      <c r="AF391" s="44"/>
      <c r="AG391" s="44"/>
      <c r="AH391" s="32"/>
      <c r="AI391" s="32"/>
      <c r="AJ391" s="32"/>
      <c r="AK391" s="32"/>
      <c r="AL391" s="33"/>
      <c r="AM391" s="33"/>
    </row>
    <row r="392" spans="1:39" x14ac:dyDescent="0.3">
      <c r="A392" s="22"/>
      <c r="C392" s="23"/>
      <c r="F392" s="195"/>
      <c r="H392" s="195"/>
      <c r="I392" s="195"/>
      <c r="J392" s="203"/>
      <c r="K392" s="203"/>
      <c r="L392" s="32"/>
      <c r="M392" s="32"/>
      <c r="N392" s="33"/>
      <c r="O392" s="33"/>
      <c r="P392" s="32"/>
      <c r="Q392" s="32"/>
      <c r="R392" s="32"/>
      <c r="T392" s="23"/>
      <c r="V392" s="32"/>
      <c r="X392" s="32"/>
      <c r="Y392" s="203"/>
      <c r="Z392" s="32"/>
      <c r="AA392" s="32"/>
      <c r="AB392" s="33"/>
      <c r="AC392" s="33"/>
      <c r="AD392" s="32"/>
      <c r="AE392" s="32"/>
      <c r="AF392" s="44"/>
      <c r="AG392" s="44"/>
      <c r="AH392" s="32"/>
      <c r="AI392" s="32"/>
      <c r="AJ392" s="32"/>
      <c r="AK392" s="32"/>
      <c r="AL392" s="33"/>
      <c r="AM392" s="33"/>
    </row>
    <row r="393" spans="1:39" x14ac:dyDescent="0.3">
      <c r="A393" s="22"/>
      <c r="C393" s="23"/>
      <c r="F393" s="195"/>
      <c r="H393" s="195"/>
      <c r="I393" s="195"/>
      <c r="J393" s="203"/>
      <c r="K393" s="203"/>
      <c r="L393" s="32"/>
      <c r="M393" s="32"/>
      <c r="N393" s="33"/>
      <c r="O393" s="33"/>
      <c r="P393" s="32"/>
      <c r="Q393" s="32"/>
      <c r="R393" s="32"/>
      <c r="T393" s="23"/>
      <c r="V393" s="32"/>
      <c r="X393" s="32"/>
      <c r="Y393" s="203"/>
      <c r="Z393" s="32"/>
      <c r="AA393" s="32"/>
      <c r="AB393" s="33"/>
      <c r="AC393" s="33"/>
      <c r="AD393" s="32"/>
      <c r="AE393" s="32"/>
      <c r="AF393" s="44"/>
      <c r="AG393" s="44"/>
      <c r="AH393" s="32"/>
      <c r="AI393" s="32"/>
      <c r="AJ393" s="32"/>
      <c r="AK393" s="32"/>
      <c r="AL393" s="33"/>
      <c r="AM393" s="33"/>
    </row>
    <row r="394" spans="1:39" x14ac:dyDescent="0.3">
      <c r="A394" s="22"/>
      <c r="C394" s="23"/>
      <c r="J394" s="62"/>
      <c r="K394" s="62"/>
      <c r="T394" s="23"/>
      <c r="Y394" s="62"/>
    </row>
    <row r="395" spans="1:39" x14ac:dyDescent="0.3">
      <c r="A395" s="22"/>
      <c r="C395" s="23"/>
      <c r="F395" s="195"/>
      <c r="H395" s="195"/>
      <c r="I395" s="195"/>
      <c r="J395" s="203"/>
      <c r="K395" s="203"/>
      <c r="L395" s="32"/>
      <c r="M395" s="32"/>
      <c r="N395" s="33"/>
      <c r="O395" s="33"/>
      <c r="P395" s="32"/>
      <c r="Q395" s="32"/>
      <c r="R395" s="32"/>
      <c r="T395" s="23"/>
      <c r="V395" s="32"/>
      <c r="X395" s="32"/>
      <c r="Y395" s="203"/>
      <c r="Z395" s="32"/>
      <c r="AA395" s="32"/>
      <c r="AB395" s="33"/>
      <c r="AC395" s="33"/>
      <c r="AD395" s="32"/>
      <c r="AE395" s="32"/>
      <c r="AF395" s="44"/>
      <c r="AG395" s="44"/>
      <c r="AH395" s="32"/>
      <c r="AI395" s="32"/>
      <c r="AJ395" s="32"/>
      <c r="AK395" s="32"/>
      <c r="AL395" s="33"/>
      <c r="AM395" s="33"/>
    </row>
    <row r="396" spans="1:39" x14ac:dyDescent="0.3">
      <c r="A396" s="22"/>
      <c r="C396" s="23"/>
      <c r="F396" s="195"/>
      <c r="H396" s="195"/>
      <c r="I396" s="195"/>
      <c r="J396" s="203"/>
      <c r="K396" s="203"/>
      <c r="L396" s="32"/>
      <c r="M396" s="32"/>
      <c r="N396" s="33"/>
      <c r="O396" s="33"/>
      <c r="P396" s="32"/>
      <c r="Q396" s="32"/>
      <c r="R396" s="32"/>
      <c r="T396" s="23"/>
      <c r="V396" s="32"/>
      <c r="X396" s="32"/>
      <c r="Y396" s="203"/>
      <c r="Z396" s="32"/>
      <c r="AA396" s="32"/>
      <c r="AB396" s="33"/>
      <c r="AC396" s="33"/>
      <c r="AD396" s="32"/>
      <c r="AE396" s="32"/>
      <c r="AF396" s="44"/>
      <c r="AG396" s="44"/>
      <c r="AH396" s="32"/>
      <c r="AI396" s="32"/>
      <c r="AJ396" s="32"/>
      <c r="AK396" s="32"/>
      <c r="AL396" s="33"/>
      <c r="AM396" s="33"/>
    </row>
    <row r="397" spans="1:39" x14ac:dyDescent="0.3">
      <c r="A397" s="22"/>
      <c r="C397" s="23"/>
      <c r="J397" s="62"/>
      <c r="K397" s="62"/>
      <c r="T397" s="23"/>
      <c r="Y397" s="62"/>
    </row>
    <row r="398" spans="1:39" x14ac:dyDescent="0.3">
      <c r="A398" s="22"/>
      <c r="C398" s="23"/>
      <c r="F398" s="195"/>
      <c r="H398" s="195"/>
      <c r="I398" s="195"/>
      <c r="J398" s="203"/>
      <c r="K398" s="203"/>
      <c r="L398" s="32"/>
      <c r="M398" s="32"/>
      <c r="N398" s="33"/>
      <c r="O398" s="33"/>
      <c r="P398" s="32"/>
      <c r="Q398" s="32"/>
      <c r="R398" s="32"/>
      <c r="T398" s="23"/>
      <c r="V398" s="32"/>
      <c r="X398" s="32"/>
      <c r="Y398" s="203"/>
      <c r="Z398" s="32"/>
      <c r="AA398" s="32"/>
      <c r="AB398" s="33"/>
      <c r="AC398" s="33"/>
      <c r="AD398" s="32"/>
      <c r="AE398" s="32"/>
      <c r="AF398" s="44"/>
      <c r="AG398" s="44"/>
      <c r="AH398" s="32"/>
      <c r="AI398" s="32"/>
      <c r="AJ398" s="32"/>
      <c r="AK398" s="32"/>
      <c r="AL398" s="33"/>
      <c r="AM398" s="33"/>
    </row>
    <row r="399" spans="1:39" x14ac:dyDescent="0.3">
      <c r="A399" s="22"/>
      <c r="C399" s="23"/>
      <c r="F399" s="195"/>
      <c r="H399" s="195"/>
      <c r="I399" s="195"/>
      <c r="J399" s="203"/>
      <c r="K399" s="203"/>
      <c r="L399" s="32"/>
      <c r="M399" s="32"/>
      <c r="N399" s="33"/>
      <c r="O399" s="33"/>
      <c r="P399" s="32"/>
      <c r="Q399" s="32"/>
      <c r="R399" s="32"/>
      <c r="T399" s="23"/>
      <c r="V399" s="32"/>
      <c r="X399" s="32"/>
      <c r="Y399" s="203"/>
      <c r="Z399" s="32"/>
      <c r="AA399" s="32"/>
      <c r="AB399" s="33"/>
      <c r="AC399" s="33"/>
      <c r="AD399" s="32"/>
      <c r="AE399" s="32"/>
      <c r="AF399" s="44"/>
      <c r="AG399" s="44"/>
      <c r="AH399" s="32"/>
      <c r="AI399" s="32"/>
      <c r="AJ399" s="32"/>
      <c r="AK399" s="32"/>
      <c r="AL399" s="33"/>
      <c r="AM399" s="33"/>
    </row>
    <row r="400" spans="1:39" x14ac:dyDescent="0.3">
      <c r="A400" s="22"/>
      <c r="C400" s="23"/>
      <c r="F400" s="195"/>
      <c r="H400" s="195"/>
      <c r="I400" s="195"/>
      <c r="J400" s="203"/>
      <c r="K400" s="203"/>
      <c r="L400" s="32"/>
      <c r="M400" s="32"/>
      <c r="N400" s="33"/>
      <c r="O400" s="33"/>
      <c r="P400" s="32"/>
      <c r="Q400" s="32"/>
      <c r="R400" s="32"/>
      <c r="T400" s="23"/>
      <c r="V400" s="32"/>
      <c r="X400" s="32"/>
      <c r="Y400" s="203"/>
      <c r="Z400" s="32"/>
      <c r="AA400" s="32"/>
      <c r="AB400" s="33"/>
      <c r="AC400" s="33"/>
      <c r="AD400" s="32"/>
      <c r="AE400" s="32"/>
      <c r="AF400" s="44"/>
      <c r="AG400" s="44"/>
      <c r="AH400" s="32"/>
      <c r="AI400" s="32"/>
      <c r="AJ400" s="32"/>
      <c r="AK400" s="32"/>
      <c r="AL400" s="33"/>
      <c r="AM400" s="33"/>
    </row>
    <row r="401" spans="1:39" x14ac:dyDescent="0.3">
      <c r="F401" s="34"/>
      <c r="H401" s="34"/>
      <c r="I401" s="34"/>
      <c r="J401" s="203"/>
      <c r="K401" s="203"/>
      <c r="L401" s="34"/>
      <c r="M401" s="34"/>
      <c r="N401" s="34"/>
      <c r="O401" s="34"/>
      <c r="P401" s="34"/>
      <c r="Q401" s="34"/>
      <c r="R401" s="34"/>
      <c r="V401" s="34"/>
      <c r="X401" s="34"/>
      <c r="Y401" s="203"/>
      <c r="Z401" s="34"/>
      <c r="AA401" s="34"/>
      <c r="AB401" s="34"/>
      <c r="AC401" s="34"/>
      <c r="AD401" s="34"/>
      <c r="AE401" s="34"/>
      <c r="AH401" s="34"/>
      <c r="AI401" s="34"/>
      <c r="AJ401" s="34"/>
      <c r="AK401" s="34"/>
    </row>
    <row r="402" spans="1:39" x14ac:dyDescent="0.3">
      <c r="A402" s="22"/>
      <c r="C402" s="30"/>
      <c r="F402" s="32"/>
      <c r="H402" s="32"/>
      <c r="I402" s="32"/>
      <c r="J402" s="62"/>
      <c r="K402" s="62"/>
      <c r="L402" s="32"/>
      <c r="M402" s="32"/>
      <c r="N402" s="44"/>
      <c r="O402" s="44"/>
      <c r="P402" s="32"/>
      <c r="Q402" s="32"/>
      <c r="R402" s="32"/>
      <c r="T402" s="30"/>
      <c r="V402" s="32"/>
      <c r="X402" s="32"/>
      <c r="Y402" s="62"/>
      <c r="Z402" s="32"/>
      <c r="AA402" s="32"/>
      <c r="AB402" s="32"/>
      <c r="AC402" s="32"/>
      <c r="AD402" s="32"/>
      <c r="AE402" s="32"/>
      <c r="AF402" s="44"/>
      <c r="AG402" s="44"/>
      <c r="AH402" s="32"/>
      <c r="AI402" s="32"/>
      <c r="AJ402" s="32"/>
      <c r="AK402" s="32"/>
      <c r="AL402" s="33"/>
      <c r="AM402" s="33"/>
    </row>
    <row r="403" spans="1:39" x14ac:dyDescent="0.3">
      <c r="F403" s="34"/>
      <c r="H403" s="34"/>
      <c r="I403" s="34"/>
      <c r="J403" s="203"/>
      <c r="K403" s="203"/>
      <c r="L403" s="34"/>
      <c r="M403" s="34"/>
      <c r="N403" s="34"/>
      <c r="O403" s="34"/>
      <c r="P403" s="34"/>
      <c r="Q403" s="34"/>
      <c r="R403" s="34"/>
      <c r="V403" s="34"/>
      <c r="X403" s="34"/>
      <c r="Y403" s="203"/>
      <c r="Z403" s="34"/>
      <c r="AA403" s="34"/>
      <c r="AB403" s="34"/>
      <c r="AC403" s="34"/>
      <c r="AD403" s="34"/>
      <c r="AE403" s="34"/>
      <c r="AH403" s="34"/>
      <c r="AI403" s="34"/>
      <c r="AJ403" s="34"/>
      <c r="AK403" s="34"/>
    </row>
    <row r="404" spans="1:39" x14ac:dyDescent="0.3">
      <c r="A404" s="22"/>
      <c r="C404" s="23"/>
      <c r="J404" s="62"/>
      <c r="K404" s="62"/>
      <c r="T404" s="23"/>
      <c r="Y404" s="62"/>
    </row>
    <row r="405" spans="1:39" x14ac:dyDescent="0.3">
      <c r="A405" s="22"/>
      <c r="C405" s="23"/>
      <c r="J405" s="62"/>
      <c r="K405" s="62"/>
      <c r="T405" s="23"/>
      <c r="Y405" s="62"/>
    </row>
    <row r="406" spans="1:39" x14ac:dyDescent="0.3">
      <c r="A406" s="22"/>
      <c r="C406" s="23"/>
      <c r="F406" s="195"/>
      <c r="H406" s="195"/>
      <c r="I406" s="195"/>
      <c r="J406" s="203"/>
      <c r="K406" s="203"/>
      <c r="L406" s="32"/>
      <c r="M406" s="32"/>
      <c r="N406" s="33"/>
      <c r="O406" s="33"/>
      <c r="P406" s="32"/>
      <c r="Q406" s="32"/>
      <c r="R406" s="32"/>
      <c r="T406" s="23"/>
      <c r="V406" s="32"/>
      <c r="X406" s="32"/>
      <c r="Y406" s="203"/>
      <c r="Z406" s="32"/>
      <c r="AA406" s="32"/>
      <c r="AB406" s="33"/>
      <c r="AC406" s="33"/>
      <c r="AD406" s="32"/>
      <c r="AE406" s="32"/>
      <c r="AF406" s="44"/>
      <c r="AG406" s="44"/>
      <c r="AH406" s="32"/>
      <c r="AI406" s="32"/>
      <c r="AJ406" s="32"/>
      <c r="AK406" s="32"/>
      <c r="AL406" s="33"/>
      <c r="AM406" s="33"/>
    </row>
    <row r="407" spans="1:39" x14ac:dyDescent="0.3">
      <c r="A407" s="22"/>
      <c r="C407" s="23"/>
      <c r="F407" s="195"/>
      <c r="H407" s="195"/>
      <c r="I407" s="195"/>
      <c r="J407" s="203"/>
      <c r="K407" s="203"/>
      <c r="L407" s="32"/>
      <c r="M407" s="32"/>
      <c r="N407" s="33"/>
      <c r="O407" s="33"/>
      <c r="P407" s="32"/>
      <c r="Q407" s="32"/>
      <c r="R407" s="32"/>
      <c r="T407" s="23"/>
      <c r="V407" s="32"/>
      <c r="X407" s="32"/>
      <c r="Y407" s="203"/>
      <c r="Z407" s="32"/>
      <c r="AA407" s="32"/>
      <c r="AB407" s="33"/>
      <c r="AC407" s="33"/>
      <c r="AD407" s="32"/>
      <c r="AE407" s="32"/>
      <c r="AF407" s="44"/>
      <c r="AG407" s="44"/>
      <c r="AH407" s="32"/>
      <c r="AI407" s="32"/>
      <c r="AJ407" s="32"/>
      <c r="AK407" s="32"/>
      <c r="AL407" s="33"/>
      <c r="AM407" s="33"/>
    </row>
    <row r="408" spans="1:39" x14ac:dyDescent="0.3">
      <c r="A408" s="22"/>
      <c r="C408" s="23"/>
      <c r="F408" s="195"/>
      <c r="H408" s="195"/>
      <c r="I408" s="195"/>
      <c r="J408" s="203"/>
      <c r="K408" s="203"/>
      <c r="L408" s="32"/>
      <c r="M408" s="32"/>
      <c r="N408" s="33"/>
      <c r="O408" s="33"/>
      <c r="P408" s="32"/>
      <c r="Q408" s="32"/>
      <c r="R408" s="32"/>
      <c r="T408" s="23"/>
      <c r="V408" s="32"/>
      <c r="X408" s="32"/>
      <c r="Y408" s="203"/>
      <c r="Z408" s="32"/>
      <c r="AA408" s="32"/>
      <c r="AB408" s="33"/>
      <c r="AC408" s="33"/>
      <c r="AD408" s="32"/>
      <c r="AE408" s="32"/>
      <c r="AF408" s="44"/>
      <c r="AG408" s="44"/>
      <c r="AH408" s="32"/>
      <c r="AI408" s="32"/>
      <c r="AJ408" s="32"/>
      <c r="AK408" s="32"/>
      <c r="AL408" s="33"/>
      <c r="AM408" s="33"/>
    </row>
    <row r="409" spans="1:39" x14ac:dyDescent="0.3">
      <c r="A409" s="22"/>
      <c r="C409" s="23"/>
      <c r="F409" s="195"/>
      <c r="H409" s="195"/>
      <c r="I409" s="195"/>
      <c r="J409" s="203"/>
      <c r="K409" s="203"/>
      <c r="L409" s="32"/>
      <c r="M409" s="32"/>
      <c r="N409" s="33"/>
      <c r="O409" s="33"/>
      <c r="P409" s="32"/>
      <c r="Q409" s="32"/>
      <c r="R409" s="32"/>
      <c r="T409" s="23"/>
      <c r="V409" s="32"/>
      <c r="X409" s="32"/>
      <c r="Y409" s="203"/>
      <c r="Z409" s="32"/>
      <c r="AA409" s="32"/>
      <c r="AB409" s="33"/>
      <c r="AC409" s="33"/>
      <c r="AD409" s="32"/>
      <c r="AE409" s="32"/>
      <c r="AF409" s="44"/>
      <c r="AG409" s="44"/>
      <c r="AH409" s="32"/>
      <c r="AI409" s="32"/>
      <c r="AJ409" s="32"/>
      <c r="AK409" s="32"/>
      <c r="AL409" s="33"/>
      <c r="AM409" s="33"/>
    </row>
    <row r="410" spans="1:39" x14ac:dyDescent="0.3">
      <c r="A410" s="22"/>
      <c r="C410" s="23"/>
      <c r="F410" s="195"/>
      <c r="H410" s="195"/>
      <c r="I410" s="195"/>
      <c r="J410" s="203"/>
      <c r="K410" s="203"/>
      <c r="L410" s="32"/>
      <c r="M410" s="32"/>
      <c r="N410" s="33"/>
      <c r="O410" s="33"/>
      <c r="P410" s="32"/>
      <c r="Q410" s="32"/>
      <c r="R410" s="32"/>
      <c r="T410" s="23"/>
      <c r="V410" s="32"/>
      <c r="X410" s="32"/>
      <c r="Y410" s="203"/>
      <c r="Z410" s="32"/>
      <c r="AA410" s="32"/>
      <c r="AB410" s="33"/>
      <c r="AC410" s="33"/>
      <c r="AD410" s="32"/>
      <c r="AE410" s="32"/>
      <c r="AF410" s="44"/>
      <c r="AG410" s="44"/>
      <c r="AH410" s="32"/>
      <c r="AI410" s="32"/>
      <c r="AJ410" s="32"/>
      <c r="AK410" s="32"/>
      <c r="AL410" s="33"/>
      <c r="AM410" s="33"/>
    </row>
    <row r="411" spans="1:39" x14ac:dyDescent="0.3">
      <c r="A411" s="22"/>
      <c r="C411" s="23"/>
      <c r="F411" s="195"/>
      <c r="H411" s="195"/>
      <c r="I411" s="195"/>
      <c r="J411" s="203"/>
      <c r="K411" s="203"/>
      <c r="L411" s="32"/>
      <c r="M411" s="32"/>
      <c r="N411" s="33"/>
      <c r="O411" s="33"/>
      <c r="P411" s="32"/>
      <c r="Q411" s="32"/>
      <c r="R411" s="32"/>
      <c r="T411" s="23"/>
      <c r="V411" s="32"/>
      <c r="X411" s="32"/>
      <c r="Y411" s="203"/>
      <c r="Z411" s="32"/>
      <c r="AA411" s="32"/>
      <c r="AB411" s="33"/>
      <c r="AC411" s="33"/>
      <c r="AD411" s="32"/>
      <c r="AE411" s="32"/>
      <c r="AF411" s="44"/>
      <c r="AG411" s="44"/>
      <c r="AH411" s="32"/>
      <c r="AI411" s="32"/>
      <c r="AJ411" s="32"/>
      <c r="AK411" s="32"/>
      <c r="AL411" s="33"/>
      <c r="AM411" s="33"/>
    </row>
    <row r="412" spans="1:39" x14ac:dyDescent="0.3">
      <c r="A412" s="22"/>
      <c r="C412" s="23"/>
      <c r="F412" s="195"/>
      <c r="H412" s="195"/>
      <c r="I412" s="195"/>
      <c r="J412" s="203"/>
      <c r="K412" s="203"/>
      <c r="L412" s="32"/>
      <c r="M412" s="32"/>
      <c r="N412" s="33"/>
      <c r="O412" s="33"/>
      <c r="P412" s="32"/>
      <c r="Q412" s="32"/>
      <c r="R412" s="32"/>
      <c r="T412" s="23"/>
      <c r="V412" s="32"/>
      <c r="X412" s="32"/>
      <c r="Y412" s="203"/>
      <c r="Z412" s="32"/>
      <c r="AA412" s="32"/>
      <c r="AB412" s="33"/>
      <c r="AC412" s="33"/>
      <c r="AD412" s="32"/>
      <c r="AE412" s="32"/>
      <c r="AF412" s="44"/>
      <c r="AG412" s="44"/>
      <c r="AH412" s="32"/>
      <c r="AI412" s="32"/>
      <c r="AJ412" s="32"/>
      <c r="AK412" s="32"/>
      <c r="AL412" s="33"/>
      <c r="AM412" s="33"/>
    </row>
    <row r="413" spans="1:39" x14ac:dyDescent="0.3">
      <c r="A413" s="22"/>
      <c r="C413" s="23"/>
      <c r="J413" s="62"/>
      <c r="K413" s="62"/>
      <c r="T413" s="23"/>
      <c r="Y413" s="62"/>
    </row>
    <row r="414" spans="1:39" x14ac:dyDescent="0.3">
      <c r="A414" s="22"/>
      <c r="C414" s="23"/>
      <c r="F414" s="195"/>
      <c r="H414" s="195"/>
      <c r="I414" s="195"/>
      <c r="J414" s="203"/>
      <c r="K414" s="203"/>
      <c r="L414" s="32"/>
      <c r="M414" s="32"/>
      <c r="N414" s="33"/>
      <c r="O414" s="33"/>
      <c r="P414" s="32"/>
      <c r="Q414" s="32"/>
      <c r="R414" s="32"/>
      <c r="T414" s="23"/>
      <c r="V414" s="32"/>
      <c r="X414" s="32"/>
      <c r="Y414" s="203"/>
      <c r="Z414" s="32"/>
      <c r="AA414" s="32"/>
      <c r="AB414" s="33"/>
      <c r="AC414" s="33"/>
      <c r="AD414" s="32"/>
      <c r="AE414" s="32"/>
      <c r="AF414" s="44"/>
      <c r="AG414" s="44"/>
      <c r="AH414" s="32"/>
      <c r="AI414" s="32"/>
      <c r="AJ414" s="32"/>
      <c r="AK414" s="32"/>
      <c r="AL414" s="33"/>
      <c r="AM414" s="33"/>
    </row>
    <row r="415" spans="1:39" x14ac:dyDescent="0.3">
      <c r="A415" s="22"/>
      <c r="C415" s="23"/>
      <c r="F415" s="195"/>
      <c r="H415" s="195"/>
      <c r="I415" s="195"/>
      <c r="J415" s="203"/>
      <c r="K415" s="203"/>
      <c r="L415" s="32"/>
      <c r="M415" s="32"/>
      <c r="N415" s="33"/>
      <c r="O415" s="33"/>
      <c r="P415" s="32"/>
      <c r="Q415" s="32"/>
      <c r="R415" s="32"/>
      <c r="T415" s="23"/>
      <c r="V415" s="32"/>
      <c r="X415" s="32"/>
      <c r="Y415" s="203"/>
      <c r="Z415" s="32"/>
      <c r="AA415" s="32"/>
      <c r="AB415" s="33"/>
      <c r="AC415" s="33"/>
      <c r="AD415" s="32"/>
      <c r="AE415" s="32"/>
      <c r="AF415" s="44"/>
      <c r="AG415" s="44"/>
      <c r="AH415" s="32"/>
      <c r="AI415" s="32"/>
      <c r="AJ415" s="32"/>
      <c r="AK415" s="32"/>
      <c r="AL415" s="33"/>
      <c r="AM415" s="33"/>
    </row>
    <row r="416" spans="1:39" x14ac:dyDescent="0.3">
      <c r="A416" s="22"/>
      <c r="C416" s="23"/>
      <c r="F416" s="195"/>
      <c r="H416" s="195"/>
      <c r="I416" s="195"/>
      <c r="J416" s="203"/>
      <c r="K416" s="203"/>
      <c r="L416" s="32"/>
      <c r="M416" s="32"/>
      <c r="N416" s="33"/>
      <c r="O416" s="33"/>
      <c r="P416" s="32"/>
      <c r="Q416" s="32"/>
      <c r="R416" s="32"/>
      <c r="T416" s="23"/>
      <c r="V416" s="32"/>
      <c r="X416" s="32"/>
      <c r="Y416" s="203"/>
      <c r="Z416" s="32"/>
      <c r="AA416" s="32"/>
      <c r="AB416" s="33"/>
      <c r="AC416" s="33"/>
      <c r="AD416" s="32"/>
      <c r="AE416" s="32"/>
      <c r="AF416" s="44"/>
      <c r="AG416" s="44"/>
      <c r="AH416" s="32"/>
      <c r="AI416" s="32"/>
      <c r="AJ416" s="32"/>
      <c r="AK416" s="32"/>
      <c r="AL416" s="33"/>
      <c r="AM416" s="33"/>
    </row>
    <row r="417" spans="1:39" x14ac:dyDescent="0.3">
      <c r="A417" s="22"/>
      <c r="C417" s="23"/>
      <c r="F417" s="195"/>
      <c r="H417" s="195"/>
      <c r="I417" s="195"/>
      <c r="J417" s="203"/>
      <c r="K417" s="203"/>
      <c r="L417" s="32"/>
      <c r="M417" s="32"/>
      <c r="N417" s="33"/>
      <c r="O417" s="33"/>
      <c r="P417" s="32"/>
      <c r="Q417" s="32"/>
      <c r="R417" s="32"/>
      <c r="T417" s="23"/>
      <c r="V417" s="32"/>
      <c r="X417" s="32"/>
      <c r="Y417" s="203"/>
      <c r="Z417" s="32"/>
      <c r="AA417" s="32"/>
      <c r="AB417" s="33"/>
      <c r="AC417" s="33"/>
      <c r="AD417" s="32"/>
      <c r="AE417" s="32"/>
      <c r="AF417" s="44"/>
      <c r="AG417" s="44"/>
      <c r="AH417" s="32"/>
      <c r="AI417" s="32"/>
      <c r="AJ417" s="32"/>
      <c r="AK417" s="32"/>
      <c r="AL417" s="33"/>
      <c r="AM417" s="33"/>
    </row>
    <row r="418" spans="1:39" x14ac:dyDescent="0.3">
      <c r="A418" s="22"/>
      <c r="C418" s="23"/>
      <c r="J418" s="62"/>
      <c r="K418" s="62"/>
      <c r="T418" s="23"/>
      <c r="Y418" s="62"/>
    </row>
    <row r="419" spans="1:39" x14ac:dyDescent="0.3">
      <c r="A419" s="22"/>
      <c r="C419" s="23"/>
      <c r="F419" s="195"/>
      <c r="H419" s="195"/>
      <c r="I419" s="195"/>
      <c r="J419" s="203"/>
      <c r="K419" s="203"/>
      <c r="L419" s="32"/>
      <c r="M419" s="32"/>
      <c r="N419" s="33"/>
      <c r="O419" s="33"/>
      <c r="P419" s="32"/>
      <c r="Q419" s="32"/>
      <c r="R419" s="32"/>
      <c r="T419" s="23"/>
      <c r="V419" s="32"/>
      <c r="X419" s="32"/>
      <c r="Y419" s="203"/>
      <c r="Z419" s="32"/>
      <c r="AA419" s="32"/>
      <c r="AB419" s="33"/>
      <c r="AC419" s="33"/>
      <c r="AD419" s="32"/>
      <c r="AE419" s="32"/>
      <c r="AF419" s="44"/>
      <c r="AG419" s="44"/>
      <c r="AH419" s="32"/>
      <c r="AI419" s="32"/>
      <c r="AJ419" s="32"/>
      <c r="AK419" s="32"/>
      <c r="AL419" s="33"/>
      <c r="AM419" s="33"/>
    </row>
    <row r="420" spans="1:39" x14ac:dyDescent="0.3">
      <c r="A420" s="22"/>
      <c r="C420" s="23"/>
      <c r="F420" s="195"/>
      <c r="H420" s="195"/>
      <c r="I420" s="195"/>
      <c r="J420" s="203"/>
      <c r="K420" s="203"/>
      <c r="L420" s="32"/>
      <c r="M420" s="32"/>
      <c r="N420" s="33"/>
      <c r="O420" s="33"/>
      <c r="P420" s="32"/>
      <c r="Q420" s="32"/>
      <c r="R420" s="32"/>
      <c r="T420" s="23"/>
      <c r="V420" s="32"/>
      <c r="X420" s="32"/>
      <c r="Y420" s="203"/>
      <c r="Z420" s="32"/>
      <c r="AA420" s="32"/>
      <c r="AB420" s="33"/>
      <c r="AC420" s="33"/>
      <c r="AD420" s="32"/>
      <c r="AE420" s="32"/>
      <c r="AF420" s="44"/>
      <c r="AG420" s="44"/>
      <c r="AH420" s="32"/>
      <c r="AI420" s="32"/>
      <c r="AJ420" s="32"/>
      <c r="AK420" s="32"/>
      <c r="AL420" s="33"/>
      <c r="AM420" s="33"/>
    </row>
    <row r="421" spans="1:39" x14ac:dyDescent="0.3">
      <c r="A421" s="22"/>
      <c r="C421" s="23"/>
      <c r="F421" s="195"/>
      <c r="H421" s="195"/>
      <c r="I421" s="195"/>
      <c r="J421" s="203"/>
      <c r="K421" s="203"/>
      <c r="L421" s="32"/>
      <c r="M421" s="32"/>
      <c r="N421" s="33"/>
      <c r="O421" s="33"/>
      <c r="P421" s="32"/>
      <c r="Q421" s="32"/>
      <c r="R421" s="32"/>
      <c r="T421" s="23"/>
      <c r="V421" s="32"/>
      <c r="X421" s="32"/>
      <c r="Y421" s="203"/>
      <c r="Z421" s="32"/>
      <c r="AA421" s="32"/>
      <c r="AB421" s="33"/>
      <c r="AC421" s="33"/>
      <c r="AD421" s="32"/>
      <c r="AE421" s="32"/>
      <c r="AF421" s="44"/>
      <c r="AG421" s="44"/>
      <c r="AH421" s="32"/>
      <c r="AI421" s="32"/>
      <c r="AJ421" s="32"/>
      <c r="AK421" s="32"/>
      <c r="AL421" s="33"/>
      <c r="AM421" s="33"/>
    </row>
    <row r="422" spans="1:39" x14ac:dyDescent="0.3">
      <c r="A422" s="22"/>
      <c r="C422" s="23"/>
      <c r="F422" s="195"/>
      <c r="H422" s="195"/>
      <c r="I422" s="195"/>
      <c r="J422" s="203"/>
      <c r="K422" s="203"/>
      <c r="L422" s="32"/>
      <c r="M422" s="32"/>
      <c r="N422" s="33"/>
      <c r="O422" s="33"/>
      <c r="P422" s="32"/>
      <c r="Q422" s="32"/>
      <c r="R422" s="32"/>
      <c r="T422" s="23"/>
      <c r="V422" s="32"/>
      <c r="X422" s="32"/>
      <c r="Y422" s="203"/>
      <c r="Z422" s="32"/>
      <c r="AA422" s="32"/>
      <c r="AB422" s="33"/>
      <c r="AC422" s="33"/>
      <c r="AD422" s="32"/>
      <c r="AE422" s="32"/>
      <c r="AF422" s="44"/>
      <c r="AG422" s="44"/>
      <c r="AH422" s="32"/>
      <c r="AI422" s="32"/>
      <c r="AJ422" s="32"/>
      <c r="AK422" s="32"/>
      <c r="AL422" s="33"/>
      <c r="AM422" s="33"/>
    </row>
    <row r="423" spans="1:39" x14ac:dyDescent="0.3">
      <c r="A423" s="22"/>
      <c r="C423" s="23"/>
      <c r="F423" s="195"/>
      <c r="H423" s="195"/>
      <c r="I423" s="195"/>
      <c r="J423" s="203"/>
      <c r="K423" s="203"/>
      <c r="L423" s="32"/>
      <c r="M423" s="32"/>
      <c r="N423" s="33"/>
      <c r="O423" s="33"/>
      <c r="P423" s="32"/>
      <c r="Q423" s="32"/>
      <c r="R423" s="32"/>
      <c r="T423" s="23"/>
      <c r="V423" s="32"/>
      <c r="X423" s="32"/>
      <c r="Y423" s="203"/>
      <c r="Z423" s="32"/>
      <c r="AA423" s="32"/>
      <c r="AB423" s="33"/>
      <c r="AC423" s="33"/>
      <c r="AD423" s="32"/>
      <c r="AE423" s="32"/>
      <c r="AF423" s="44"/>
      <c r="AG423" s="44"/>
      <c r="AH423" s="32"/>
      <c r="AI423" s="32"/>
      <c r="AJ423" s="32"/>
      <c r="AK423" s="32"/>
      <c r="AL423" s="33"/>
      <c r="AM423" s="33"/>
    </row>
    <row r="424" spans="1:39" x14ac:dyDescent="0.3">
      <c r="F424" s="34"/>
      <c r="H424" s="34"/>
      <c r="I424" s="34"/>
      <c r="J424" s="198"/>
      <c r="K424" s="198"/>
      <c r="L424" s="34"/>
      <c r="M424" s="34"/>
      <c r="N424" s="34"/>
      <c r="O424" s="34"/>
      <c r="P424" s="34"/>
      <c r="Q424" s="34"/>
      <c r="R424" s="34"/>
      <c r="V424" s="34"/>
      <c r="X424" s="34"/>
      <c r="Y424" s="203"/>
      <c r="Z424" s="34"/>
      <c r="AA424" s="34"/>
      <c r="AB424" s="34"/>
      <c r="AC424" s="34"/>
      <c r="AD424" s="34"/>
      <c r="AE424" s="34"/>
      <c r="AH424" s="34"/>
      <c r="AI424" s="34"/>
      <c r="AJ424" s="34"/>
      <c r="AK424" s="34"/>
    </row>
    <row r="425" spans="1:39" x14ac:dyDescent="0.3">
      <c r="A425" s="22"/>
      <c r="C425" s="23"/>
      <c r="F425" s="32"/>
      <c r="H425" s="32"/>
      <c r="I425" s="32"/>
      <c r="L425" s="32"/>
      <c r="M425" s="32"/>
      <c r="N425" s="44"/>
      <c r="O425" s="44"/>
      <c r="P425" s="32"/>
      <c r="Q425" s="32"/>
      <c r="R425" s="32"/>
      <c r="T425" s="23"/>
      <c r="V425" s="32"/>
      <c r="X425" s="32"/>
      <c r="Z425" s="32"/>
      <c r="AA425" s="32"/>
      <c r="AB425" s="33"/>
      <c r="AC425" s="33"/>
      <c r="AD425" s="32"/>
      <c r="AE425" s="32"/>
      <c r="AF425" s="44"/>
      <c r="AG425" s="44"/>
      <c r="AH425" s="32"/>
      <c r="AI425" s="32"/>
      <c r="AJ425" s="32"/>
      <c r="AK425" s="32"/>
      <c r="AL425" s="33"/>
      <c r="AM425" s="33"/>
    </row>
    <row r="426" spans="1:39" x14ac:dyDescent="0.3">
      <c r="F426" s="34"/>
      <c r="H426" s="34"/>
      <c r="I426" s="34"/>
      <c r="J426" s="198"/>
      <c r="K426" s="198"/>
      <c r="L426" s="34"/>
      <c r="M426" s="34"/>
      <c r="N426" s="34"/>
      <c r="O426" s="34"/>
      <c r="P426" s="34"/>
      <c r="Q426" s="34"/>
      <c r="R426" s="34"/>
      <c r="V426" s="34"/>
      <c r="X426" s="34"/>
      <c r="Y426" s="198"/>
      <c r="Z426" s="34"/>
      <c r="AA426" s="34"/>
      <c r="AB426" s="34"/>
      <c r="AC426" s="34"/>
      <c r="AD426" s="34"/>
      <c r="AE426" s="34"/>
      <c r="AH426" s="34"/>
      <c r="AI426" s="34"/>
      <c r="AJ426" s="34"/>
      <c r="AK426" s="34"/>
    </row>
    <row r="427" spans="1:39" x14ac:dyDescent="0.3">
      <c r="A427" s="22"/>
      <c r="C427" s="23"/>
      <c r="T427" s="23"/>
    </row>
    <row r="428" spans="1:39" x14ac:dyDescent="0.3">
      <c r="A428" s="22"/>
      <c r="C428" s="23"/>
      <c r="F428" s="195"/>
      <c r="H428" s="195"/>
      <c r="I428" s="195"/>
      <c r="J428" s="119"/>
      <c r="K428" s="119"/>
      <c r="L428" s="32"/>
      <c r="M428" s="32"/>
      <c r="N428" s="33"/>
      <c r="O428" s="33"/>
      <c r="P428" s="32"/>
      <c r="Q428" s="32"/>
      <c r="R428" s="32"/>
      <c r="T428" s="23"/>
      <c r="V428" s="32"/>
      <c r="X428" s="32"/>
      <c r="Y428" s="119"/>
      <c r="Z428" s="32"/>
      <c r="AA428" s="32"/>
      <c r="AB428" s="33"/>
      <c r="AC428" s="33"/>
      <c r="AD428" s="32"/>
      <c r="AE428" s="32"/>
      <c r="AF428" s="44"/>
      <c r="AG428" s="44"/>
      <c r="AH428" s="32"/>
      <c r="AI428" s="32"/>
      <c r="AJ428" s="32"/>
      <c r="AK428" s="32"/>
      <c r="AL428" s="33"/>
      <c r="AM428" s="33"/>
    </row>
    <row r="429" spans="1:39" x14ac:dyDescent="0.3">
      <c r="A429" s="22"/>
      <c r="C429" s="23"/>
      <c r="F429" s="195"/>
      <c r="H429" s="195"/>
      <c r="I429" s="195"/>
      <c r="J429" s="119"/>
      <c r="K429" s="119"/>
      <c r="L429" s="32"/>
      <c r="M429" s="32"/>
      <c r="N429" s="33"/>
      <c r="O429" s="33"/>
      <c r="P429" s="32"/>
      <c r="Q429" s="32"/>
      <c r="R429" s="32"/>
      <c r="T429" s="23"/>
      <c r="V429" s="32"/>
      <c r="X429" s="32"/>
      <c r="Y429" s="119"/>
      <c r="Z429" s="32"/>
      <c r="AA429" s="32"/>
      <c r="AB429" s="33"/>
      <c r="AC429" s="33"/>
      <c r="AD429" s="32"/>
      <c r="AE429" s="32"/>
      <c r="AF429" s="44"/>
      <c r="AG429" s="44"/>
      <c r="AH429" s="32"/>
      <c r="AI429" s="32"/>
      <c r="AJ429" s="32"/>
      <c r="AK429" s="32"/>
      <c r="AL429" s="33"/>
      <c r="AM429" s="33"/>
    </row>
    <row r="430" spans="1:39" x14ac:dyDescent="0.3">
      <c r="F430" s="34"/>
      <c r="H430" s="32"/>
      <c r="I430" s="32"/>
      <c r="J430" s="198"/>
      <c r="K430" s="198"/>
      <c r="L430" s="34"/>
      <c r="M430" s="34"/>
      <c r="N430" s="34"/>
      <c r="O430" s="34"/>
      <c r="P430" s="34"/>
      <c r="Q430" s="34"/>
      <c r="R430" s="34"/>
      <c r="V430" s="34"/>
      <c r="X430" s="32"/>
      <c r="Y430" s="198"/>
      <c r="Z430" s="34"/>
      <c r="AA430" s="34"/>
      <c r="AB430" s="34"/>
      <c r="AC430" s="34"/>
      <c r="AD430" s="34"/>
      <c r="AE430" s="34"/>
      <c r="AH430" s="34"/>
      <c r="AI430" s="34"/>
      <c r="AJ430" s="34"/>
      <c r="AK430" s="34"/>
    </row>
    <row r="431" spans="1:39" x14ac:dyDescent="0.3">
      <c r="F431" s="32"/>
      <c r="H431" s="32"/>
      <c r="I431" s="32"/>
      <c r="J431" s="198"/>
      <c r="K431" s="198"/>
      <c r="L431" s="32"/>
      <c r="M431" s="32"/>
      <c r="N431" s="32"/>
      <c r="O431" s="32"/>
      <c r="P431" s="32"/>
      <c r="Q431" s="32"/>
      <c r="R431" s="32"/>
      <c r="V431" s="32"/>
      <c r="X431" s="32"/>
      <c r="Y431" s="198"/>
      <c r="Z431" s="32"/>
      <c r="AA431" s="32"/>
      <c r="AB431" s="32"/>
      <c r="AC431" s="32"/>
      <c r="AD431" s="32"/>
      <c r="AE431" s="32"/>
      <c r="AH431" s="32"/>
      <c r="AI431" s="32"/>
      <c r="AJ431" s="32"/>
      <c r="AK431" s="32"/>
    </row>
    <row r="432" spans="1:39" x14ac:dyDescent="0.3">
      <c r="A432" s="22"/>
      <c r="C432" s="23"/>
      <c r="F432" s="32"/>
      <c r="H432" s="32"/>
      <c r="I432" s="32"/>
      <c r="L432" s="32"/>
      <c r="M432" s="32"/>
      <c r="N432" s="33"/>
      <c r="O432" s="33"/>
      <c r="P432" s="32"/>
      <c r="Q432" s="32"/>
      <c r="R432" s="32"/>
      <c r="T432" s="23"/>
      <c r="V432" s="32"/>
      <c r="X432" s="32"/>
      <c r="Z432" s="32"/>
      <c r="AA432" s="32"/>
      <c r="AB432" s="33"/>
      <c r="AC432" s="33"/>
      <c r="AD432" s="32"/>
      <c r="AE432" s="32"/>
      <c r="AF432" s="44"/>
      <c r="AG432" s="44"/>
      <c r="AH432" s="195"/>
      <c r="AI432" s="195"/>
      <c r="AJ432" s="32"/>
      <c r="AK432" s="32"/>
      <c r="AL432" s="33"/>
      <c r="AM432" s="33"/>
    </row>
    <row r="433" spans="1:37" x14ac:dyDescent="0.3">
      <c r="F433" s="34"/>
      <c r="H433" s="34"/>
      <c r="I433" s="34"/>
      <c r="J433" s="198"/>
      <c r="K433" s="198"/>
      <c r="L433" s="34"/>
      <c r="M433" s="34"/>
      <c r="N433" s="34"/>
      <c r="O433" s="34"/>
      <c r="P433" s="34"/>
      <c r="Q433" s="34"/>
      <c r="R433" s="34"/>
      <c r="V433" s="34"/>
      <c r="X433" s="34"/>
      <c r="Y433" s="198"/>
      <c r="Z433" s="34"/>
      <c r="AA433" s="34"/>
      <c r="AB433" s="34"/>
      <c r="AC433" s="34"/>
      <c r="AD433" s="34"/>
      <c r="AE433" s="34"/>
      <c r="AH433" s="34"/>
      <c r="AI433" s="34"/>
      <c r="AJ433" s="34"/>
      <c r="AK433" s="34"/>
    </row>
    <row r="435" spans="1:37" x14ac:dyDescent="0.3">
      <c r="A435" s="23"/>
      <c r="T435" s="23"/>
    </row>
    <row r="436" spans="1:37" x14ac:dyDescent="0.3">
      <c r="A436" s="23"/>
      <c r="T436" s="23"/>
    </row>
    <row r="437" spans="1:37" x14ac:dyDescent="0.3">
      <c r="A437" s="23"/>
      <c r="T437" s="23"/>
    </row>
    <row r="438" spans="1:37" x14ac:dyDescent="0.3">
      <c r="A438" s="23"/>
      <c r="T438" s="23"/>
    </row>
    <row r="439" spans="1:37" x14ac:dyDescent="0.3">
      <c r="A439" s="23"/>
      <c r="T439" s="23"/>
    </row>
    <row r="440" spans="1:37" x14ac:dyDescent="0.3">
      <c r="A440" s="23"/>
      <c r="T440" s="23"/>
    </row>
    <row r="441" spans="1:37" x14ac:dyDescent="0.3">
      <c r="A441" s="23"/>
      <c r="T441" s="23"/>
    </row>
    <row r="442" spans="1:37" x14ac:dyDescent="0.3">
      <c r="A442" s="23"/>
      <c r="T442" s="23"/>
    </row>
    <row r="443" spans="1:37" x14ac:dyDescent="0.3">
      <c r="A443" s="23"/>
      <c r="T443" s="23"/>
    </row>
    <row r="445" spans="1:37" x14ac:dyDescent="0.3">
      <c r="A445" s="23"/>
    </row>
    <row r="446" spans="1:37" x14ac:dyDescent="0.3">
      <c r="J446" s="22"/>
      <c r="K446" s="22"/>
      <c r="Y446" s="22"/>
    </row>
    <row r="447" spans="1:37" x14ac:dyDescent="0.3">
      <c r="H447" s="23"/>
      <c r="I447" s="23"/>
      <c r="X447" s="23"/>
    </row>
    <row r="448" spans="1:37" x14ac:dyDescent="0.3">
      <c r="J448" s="22"/>
      <c r="K448" s="22"/>
      <c r="Y448" s="22"/>
    </row>
    <row r="449" spans="1:39" x14ac:dyDescent="0.3">
      <c r="L449" s="23"/>
      <c r="M449" s="23"/>
      <c r="Z449" s="23"/>
      <c r="AA449" s="23"/>
    </row>
    <row r="450" spans="1:39" x14ac:dyDescent="0.3">
      <c r="A450" s="22"/>
      <c r="R450" s="23"/>
      <c r="AJ450" s="23"/>
      <c r="AK450" s="23"/>
    </row>
    <row r="451" spans="1:39" x14ac:dyDescent="0.3">
      <c r="A451" s="22"/>
      <c r="R451" s="23"/>
      <c r="AJ451" s="23"/>
      <c r="AK451" s="23"/>
    </row>
    <row r="452" spans="1:39" x14ac:dyDescent="0.3">
      <c r="A452" s="23"/>
      <c r="R452" s="23"/>
      <c r="AJ452" s="23"/>
      <c r="AK452" s="23"/>
    </row>
    <row r="453" spans="1:39" x14ac:dyDescent="0.3">
      <c r="L453" s="23"/>
      <c r="M453" s="23"/>
      <c r="R453" s="22"/>
      <c r="Z453" s="23"/>
      <c r="AA453" s="23"/>
      <c r="AJ453" s="22"/>
      <c r="AK453" s="22"/>
    </row>
    <row r="454" spans="1:39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</row>
    <row r="455" spans="1:39" x14ac:dyDescent="0.3">
      <c r="L455" s="30"/>
      <c r="M455" s="30"/>
      <c r="N455" s="30"/>
      <c r="O455" s="30"/>
      <c r="R455" s="30"/>
      <c r="Z455" s="30"/>
      <c r="AA455" s="30"/>
      <c r="AB455" s="30"/>
      <c r="AC455" s="30"/>
      <c r="AD455" s="30"/>
      <c r="AE455" s="30"/>
      <c r="AF455" s="30"/>
      <c r="AG455" s="30"/>
      <c r="AJ455" s="30"/>
      <c r="AK455" s="30"/>
      <c r="AL455" s="30"/>
      <c r="AM455" s="30"/>
    </row>
    <row r="456" spans="1:39" x14ac:dyDescent="0.3">
      <c r="L456" s="30"/>
      <c r="M456" s="30"/>
      <c r="N456" s="30"/>
      <c r="O456" s="30"/>
      <c r="R456" s="30"/>
      <c r="Y456" s="30"/>
      <c r="Z456" s="30"/>
      <c r="AA456" s="30"/>
      <c r="AB456" s="30"/>
      <c r="AC456" s="30"/>
      <c r="AD456" s="30"/>
      <c r="AE456" s="30"/>
      <c r="AF456" s="30"/>
      <c r="AG456" s="30"/>
      <c r="AJ456" s="30"/>
      <c r="AK456" s="30"/>
      <c r="AL456" s="30"/>
      <c r="AM456" s="30"/>
    </row>
    <row r="457" spans="1:39" x14ac:dyDescent="0.3">
      <c r="A457" s="30"/>
      <c r="C457" s="30"/>
      <c r="D457" s="30"/>
      <c r="E457" s="30"/>
      <c r="F457" s="30"/>
      <c r="J457" s="30"/>
      <c r="K457" s="30"/>
      <c r="L457" s="30"/>
      <c r="M457" s="30"/>
      <c r="N457" s="30"/>
      <c r="O457" s="30"/>
      <c r="P457" s="30"/>
      <c r="Q457" s="30"/>
      <c r="R457" s="30"/>
      <c r="T457" s="30"/>
      <c r="U457" s="30"/>
      <c r="V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</row>
    <row r="458" spans="1:39" x14ac:dyDescent="0.3">
      <c r="A458" s="30"/>
      <c r="C458" s="30"/>
      <c r="D458" s="30"/>
      <c r="E458" s="30"/>
      <c r="F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T458" s="30"/>
      <c r="U458" s="30"/>
      <c r="V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</row>
    <row r="459" spans="1:39" x14ac:dyDescent="0.3">
      <c r="C459" s="30"/>
      <c r="D459" s="30"/>
      <c r="E459" s="30"/>
      <c r="F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T459" s="30"/>
      <c r="U459" s="30"/>
      <c r="V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</row>
    <row r="460" spans="1:39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</row>
    <row r="461" spans="1:39" x14ac:dyDescent="0.3"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</row>
    <row r="462" spans="1:39" x14ac:dyDescent="0.3">
      <c r="A462" s="22"/>
      <c r="C462" s="23"/>
      <c r="D462" s="23"/>
      <c r="E462" s="23"/>
      <c r="T462" s="23"/>
      <c r="U462" s="23"/>
    </row>
    <row r="463" spans="1:39" x14ac:dyDescent="0.3">
      <c r="A463" s="22"/>
      <c r="D463" s="23"/>
      <c r="E463" s="23"/>
      <c r="U463" s="23"/>
    </row>
    <row r="465" spans="1:39" x14ac:dyDescent="0.3">
      <c r="A465" s="22"/>
      <c r="C465" s="23"/>
      <c r="F465" s="32"/>
      <c r="J465" s="59"/>
      <c r="K465" s="59"/>
      <c r="L465" s="32"/>
      <c r="M465" s="32"/>
      <c r="R465" s="32"/>
      <c r="T465" s="23"/>
      <c r="V465" s="32"/>
      <c r="Y465" s="59"/>
      <c r="Z465" s="32"/>
      <c r="AA465" s="32"/>
      <c r="AF465" s="32"/>
      <c r="AG465" s="32"/>
      <c r="AJ465" s="32"/>
      <c r="AK465" s="32"/>
    </row>
    <row r="466" spans="1:39" x14ac:dyDescent="0.3">
      <c r="A466" s="22"/>
      <c r="C466" s="23"/>
      <c r="F466" s="32"/>
      <c r="R466" s="32"/>
      <c r="T466" s="23"/>
      <c r="V466" s="32"/>
      <c r="AF466" s="32"/>
      <c r="AG466" s="32"/>
      <c r="AJ466" s="32"/>
      <c r="AK466" s="32"/>
    </row>
    <row r="467" spans="1:39" x14ac:dyDescent="0.3">
      <c r="AH467" s="32"/>
      <c r="AI467" s="32"/>
      <c r="AJ467" s="32"/>
      <c r="AK467" s="32"/>
      <c r="AL467" s="33"/>
      <c r="AM467" s="33"/>
    </row>
    <row r="468" spans="1:39" x14ac:dyDescent="0.3">
      <c r="A468" s="22"/>
      <c r="C468" s="23"/>
      <c r="F468" s="195"/>
      <c r="H468" s="195"/>
      <c r="I468" s="195"/>
      <c r="J468" s="206"/>
      <c r="K468" s="206"/>
      <c r="L468" s="32"/>
      <c r="M468" s="32"/>
      <c r="N468" s="33"/>
      <c r="O468" s="33"/>
      <c r="P468" s="32"/>
      <c r="Q468" s="32"/>
      <c r="R468" s="32"/>
      <c r="T468" s="23"/>
      <c r="V468" s="32"/>
      <c r="X468" s="32"/>
      <c r="Y468" s="206"/>
      <c r="Z468" s="32"/>
      <c r="AA468" s="32"/>
      <c r="AB468" s="33"/>
      <c r="AC468" s="33"/>
      <c r="AD468" s="32"/>
      <c r="AE468" s="32"/>
      <c r="AF468" s="44"/>
      <c r="AG468" s="44"/>
      <c r="AH468" s="32"/>
      <c r="AI468" s="32"/>
      <c r="AJ468" s="32"/>
      <c r="AK468" s="32"/>
      <c r="AL468" s="33"/>
      <c r="AM468" s="33"/>
    </row>
    <row r="469" spans="1:39" x14ac:dyDescent="0.3">
      <c r="F469" s="32"/>
      <c r="H469" s="32"/>
      <c r="I469" s="32"/>
      <c r="J469" s="48"/>
      <c r="K469" s="48"/>
      <c r="L469" s="32"/>
      <c r="M469" s="32"/>
      <c r="P469" s="32"/>
      <c r="Q469" s="32"/>
      <c r="R469" s="32"/>
      <c r="V469" s="32"/>
      <c r="X469" s="32"/>
      <c r="Y469" s="48"/>
      <c r="Z469" s="32"/>
      <c r="AA469" s="32"/>
      <c r="AH469" s="32"/>
      <c r="AI469" s="32"/>
      <c r="AJ469" s="32"/>
      <c r="AK469" s="32"/>
      <c r="AL469" s="33"/>
      <c r="AM469" s="33"/>
    </row>
    <row r="470" spans="1:39" x14ac:dyDescent="0.3">
      <c r="F470" s="32"/>
      <c r="R470" s="32"/>
      <c r="V470" s="32"/>
      <c r="AJ470" s="32"/>
      <c r="AK470" s="32"/>
      <c r="AL470" s="33"/>
      <c r="AM470" s="33"/>
    </row>
    <row r="471" spans="1:39" x14ac:dyDescent="0.3">
      <c r="A471" s="22"/>
      <c r="C471" s="23"/>
      <c r="F471" s="32"/>
      <c r="J471" s="59"/>
      <c r="K471" s="59"/>
      <c r="L471" s="32"/>
      <c r="M471" s="32"/>
      <c r="N471" s="33"/>
      <c r="O471" s="33"/>
      <c r="R471" s="32"/>
      <c r="T471" s="23"/>
      <c r="V471" s="32"/>
      <c r="Y471" s="59"/>
      <c r="Z471" s="32"/>
      <c r="AA471" s="32"/>
      <c r="AB471" s="33"/>
      <c r="AC471" s="33"/>
      <c r="AJ471" s="32"/>
      <c r="AK471" s="32"/>
      <c r="AL471" s="33"/>
      <c r="AM471" s="33"/>
    </row>
    <row r="472" spans="1:39" x14ac:dyDescent="0.3">
      <c r="A472" s="22"/>
      <c r="C472" s="23"/>
      <c r="F472" s="32"/>
      <c r="H472" s="32"/>
      <c r="I472" s="32"/>
      <c r="J472" s="59"/>
      <c r="K472" s="59"/>
      <c r="L472" s="32"/>
      <c r="M472" s="32"/>
      <c r="N472" s="33"/>
      <c r="O472" s="33"/>
      <c r="P472" s="32"/>
      <c r="Q472" s="32"/>
      <c r="R472" s="32"/>
      <c r="T472" s="23"/>
      <c r="V472" s="32"/>
      <c r="X472" s="32"/>
      <c r="Y472" s="59"/>
      <c r="Z472" s="32"/>
      <c r="AA472" s="32"/>
      <c r="AB472" s="33"/>
      <c r="AC472" s="33"/>
      <c r="AH472" s="32"/>
      <c r="AI472" s="32"/>
      <c r="AJ472" s="32"/>
      <c r="AK472" s="32"/>
      <c r="AL472" s="33"/>
      <c r="AM472" s="33"/>
    </row>
    <row r="473" spans="1:39" x14ac:dyDescent="0.3">
      <c r="A473" s="22"/>
      <c r="C473" s="23"/>
      <c r="T473" s="23"/>
      <c r="AL473" s="33"/>
      <c r="AM473" s="33"/>
    </row>
    <row r="474" spans="1:39" x14ac:dyDescent="0.3">
      <c r="A474" s="22"/>
      <c r="C474" s="23"/>
      <c r="T474" s="23"/>
      <c r="AL474" s="33"/>
      <c r="AM474" s="33"/>
    </row>
    <row r="475" spans="1:39" x14ac:dyDescent="0.3">
      <c r="AL475" s="33"/>
      <c r="AM475" s="33"/>
    </row>
    <row r="476" spans="1:39" x14ac:dyDescent="0.3">
      <c r="A476" s="22"/>
      <c r="C476" s="23"/>
      <c r="F476" s="195"/>
      <c r="H476" s="195"/>
      <c r="I476" s="195"/>
      <c r="J476" s="206"/>
      <c r="K476" s="206"/>
      <c r="L476" s="32"/>
      <c r="M476" s="32"/>
      <c r="N476" s="33"/>
      <c r="O476" s="33"/>
      <c r="P476" s="32"/>
      <c r="Q476" s="32"/>
      <c r="R476" s="32"/>
      <c r="T476" s="23"/>
      <c r="V476" s="32"/>
      <c r="X476" s="32"/>
      <c r="Y476" s="206"/>
      <c r="Z476" s="32"/>
      <c r="AA476" s="32"/>
      <c r="AB476" s="33"/>
      <c r="AC476" s="33"/>
      <c r="AD476" s="32"/>
      <c r="AE476" s="32"/>
      <c r="AF476" s="44"/>
      <c r="AG476" s="44"/>
      <c r="AH476" s="32"/>
      <c r="AI476" s="32"/>
      <c r="AJ476" s="32"/>
      <c r="AK476" s="32"/>
      <c r="AL476" s="33"/>
      <c r="AM476" s="33"/>
    </row>
    <row r="477" spans="1:39" x14ac:dyDescent="0.3">
      <c r="F477" s="34"/>
      <c r="H477" s="34"/>
      <c r="I477" s="34"/>
      <c r="J477" s="198"/>
      <c r="K477" s="198"/>
      <c r="L477" s="34"/>
      <c r="M477" s="34"/>
      <c r="N477" s="34"/>
      <c r="O477" s="34"/>
      <c r="P477" s="34"/>
      <c r="Q477" s="34"/>
      <c r="R477" s="34"/>
      <c r="V477" s="34"/>
      <c r="X477" s="34"/>
      <c r="Y477" s="198"/>
      <c r="Z477" s="34"/>
      <c r="AA477" s="34"/>
      <c r="AB477" s="34"/>
      <c r="AC477" s="34"/>
      <c r="AD477" s="34"/>
      <c r="AE477" s="34"/>
      <c r="AH477" s="34"/>
      <c r="AI477" s="34"/>
      <c r="AJ477" s="34"/>
      <c r="AK477" s="34"/>
      <c r="AL477" s="33"/>
      <c r="AM477" s="33"/>
    </row>
    <row r="478" spans="1:39" x14ac:dyDescent="0.3">
      <c r="H478" s="32"/>
      <c r="I478" s="32"/>
      <c r="X478" s="32"/>
      <c r="AL478" s="33"/>
      <c r="AM478" s="33"/>
    </row>
    <row r="479" spans="1:39" x14ac:dyDescent="0.3">
      <c r="A479" s="22"/>
      <c r="C479" s="23"/>
      <c r="F479" s="32"/>
      <c r="H479" s="32"/>
      <c r="I479" s="32"/>
      <c r="L479" s="32"/>
      <c r="M479" s="32"/>
      <c r="N479" s="33"/>
      <c r="O479" s="33"/>
      <c r="P479" s="195"/>
      <c r="Q479" s="195"/>
      <c r="R479" s="32"/>
      <c r="T479" s="23"/>
      <c r="V479" s="32"/>
      <c r="X479" s="32"/>
      <c r="Z479" s="32"/>
      <c r="AA479" s="32"/>
      <c r="AB479" s="33"/>
      <c r="AC479" s="33"/>
      <c r="AD479" s="32"/>
      <c r="AE479" s="32"/>
      <c r="AF479" s="44"/>
      <c r="AG479" s="44"/>
      <c r="AH479" s="195"/>
      <c r="AI479" s="195"/>
      <c r="AJ479" s="32"/>
      <c r="AK479" s="32"/>
      <c r="AL479" s="33"/>
      <c r="AM479" s="33"/>
    </row>
    <row r="480" spans="1:39" x14ac:dyDescent="0.3">
      <c r="F480" s="34"/>
      <c r="H480" s="34"/>
      <c r="I480" s="34"/>
      <c r="J480" s="198"/>
      <c r="K480" s="198"/>
      <c r="L480" s="34"/>
      <c r="M480" s="34"/>
      <c r="N480" s="34"/>
      <c r="O480" s="34"/>
      <c r="P480" s="34"/>
      <c r="Q480" s="34"/>
      <c r="R480" s="34"/>
      <c r="V480" s="34"/>
      <c r="X480" s="34"/>
      <c r="Y480" s="198"/>
      <c r="Z480" s="34"/>
      <c r="AA480" s="34"/>
      <c r="AB480" s="34"/>
      <c r="AC480" s="34"/>
      <c r="AD480" s="34"/>
      <c r="AE480" s="34"/>
      <c r="AH480" s="34"/>
      <c r="AI480" s="34"/>
      <c r="AJ480" s="34"/>
      <c r="AK480" s="34"/>
      <c r="AL480" s="33"/>
      <c r="AM480" s="33"/>
    </row>
    <row r="482" spans="1:39" x14ac:dyDescent="0.3">
      <c r="F482" s="32"/>
      <c r="H482" s="32"/>
      <c r="I482" s="32"/>
      <c r="J482" s="48"/>
      <c r="K482" s="48"/>
      <c r="L482" s="32"/>
      <c r="M482" s="32"/>
      <c r="N482" s="32"/>
      <c r="O482" s="32"/>
      <c r="P482" s="32"/>
      <c r="Q482" s="32"/>
      <c r="R482" s="32"/>
      <c r="V482" s="32"/>
      <c r="X482" s="32"/>
      <c r="Y482" s="48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</row>
    <row r="483" spans="1:39" x14ac:dyDescent="0.3">
      <c r="A483" s="23"/>
    </row>
    <row r="484" spans="1:39" x14ac:dyDescent="0.3">
      <c r="J484" s="22"/>
      <c r="K484" s="22"/>
      <c r="Y484" s="22"/>
    </row>
    <row r="485" spans="1:39" x14ac:dyDescent="0.3">
      <c r="H485" s="23"/>
      <c r="I485" s="23"/>
      <c r="X485" s="23"/>
    </row>
    <row r="486" spans="1:39" x14ac:dyDescent="0.3">
      <c r="J486" s="22"/>
      <c r="K486" s="22"/>
      <c r="Y486" s="22"/>
    </row>
    <row r="487" spans="1:39" x14ac:dyDescent="0.3">
      <c r="L487" s="23"/>
      <c r="M487" s="23"/>
      <c r="Z487" s="23"/>
      <c r="AA487" s="23"/>
    </row>
    <row r="488" spans="1:39" x14ac:dyDescent="0.3">
      <c r="A488" s="22"/>
      <c r="R488" s="23"/>
      <c r="AJ488" s="23"/>
      <c r="AK488" s="23"/>
    </row>
    <row r="489" spans="1:39" x14ac:dyDescent="0.3">
      <c r="A489" s="22"/>
      <c r="R489" s="23"/>
      <c r="AJ489" s="23"/>
      <c r="AK489" s="23"/>
    </row>
    <row r="490" spans="1:39" x14ac:dyDescent="0.3">
      <c r="A490" s="23"/>
      <c r="R490" s="23"/>
      <c r="AJ490" s="23"/>
      <c r="AK490" s="23"/>
    </row>
    <row r="491" spans="1:39" x14ac:dyDescent="0.3">
      <c r="L491" s="23"/>
      <c r="M491" s="23"/>
      <c r="R491" s="22"/>
      <c r="Z491" s="23"/>
      <c r="AA491" s="23"/>
      <c r="AJ491" s="22"/>
      <c r="AK491" s="22"/>
    </row>
    <row r="492" spans="1:39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</row>
    <row r="493" spans="1:39" x14ac:dyDescent="0.3">
      <c r="L493" s="30"/>
      <c r="M493" s="30"/>
      <c r="N493" s="30"/>
      <c r="O493" s="30"/>
      <c r="R493" s="30"/>
      <c r="Z493" s="30"/>
      <c r="AA493" s="30"/>
      <c r="AB493" s="30"/>
      <c r="AC493" s="30"/>
      <c r="AD493" s="30"/>
      <c r="AE493" s="30"/>
      <c r="AF493" s="30"/>
      <c r="AG493" s="30"/>
      <c r="AJ493" s="30"/>
      <c r="AK493" s="30"/>
      <c r="AL493" s="30"/>
      <c r="AM493" s="30"/>
    </row>
    <row r="494" spans="1:39" x14ac:dyDescent="0.3">
      <c r="L494" s="30"/>
      <c r="M494" s="30"/>
      <c r="N494" s="30"/>
      <c r="O494" s="30"/>
      <c r="R494" s="30"/>
      <c r="Y494" s="30"/>
      <c r="Z494" s="30"/>
      <c r="AA494" s="30"/>
      <c r="AB494" s="30"/>
      <c r="AC494" s="30"/>
      <c r="AD494" s="30"/>
      <c r="AE494" s="30"/>
      <c r="AF494" s="30"/>
      <c r="AG494" s="30"/>
      <c r="AJ494" s="30"/>
      <c r="AK494" s="30"/>
      <c r="AL494" s="30"/>
      <c r="AM494" s="30"/>
    </row>
    <row r="495" spans="1:39" x14ac:dyDescent="0.3">
      <c r="A495" s="30"/>
      <c r="C495" s="30"/>
      <c r="D495" s="30"/>
      <c r="E495" s="30"/>
      <c r="F495" s="30"/>
      <c r="J495" s="30"/>
      <c r="K495" s="30"/>
      <c r="L495" s="30"/>
      <c r="M495" s="30"/>
      <c r="N495" s="30"/>
      <c r="O495" s="30"/>
      <c r="P495" s="30"/>
      <c r="Q495" s="30"/>
      <c r="R495" s="30"/>
      <c r="T495" s="30"/>
      <c r="U495" s="30"/>
      <c r="V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</row>
    <row r="496" spans="1:39" x14ac:dyDescent="0.3">
      <c r="A496" s="30"/>
      <c r="C496" s="30"/>
      <c r="D496" s="30"/>
      <c r="E496" s="30"/>
      <c r="F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T496" s="30"/>
      <c r="U496" s="30"/>
      <c r="V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</row>
    <row r="497" spans="1:39" x14ac:dyDescent="0.3">
      <c r="C497" s="30"/>
      <c r="D497" s="30"/>
      <c r="E497" s="30"/>
      <c r="F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T497" s="30"/>
      <c r="U497" s="30"/>
      <c r="V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</row>
    <row r="498" spans="1:39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</row>
    <row r="499" spans="1:39" x14ac:dyDescent="0.3"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</row>
    <row r="500" spans="1:39" x14ac:dyDescent="0.3">
      <c r="A500" s="22"/>
      <c r="C500" s="23"/>
      <c r="D500" s="23"/>
      <c r="E500" s="23"/>
      <c r="T500" s="23"/>
      <c r="U500" s="23"/>
      <c r="V500" s="32"/>
      <c r="W500" s="32"/>
      <c r="X500" s="32"/>
      <c r="Y500" s="206"/>
    </row>
    <row r="502" spans="1:39" x14ac:dyDescent="0.3">
      <c r="A502" s="22"/>
      <c r="C502" s="23"/>
      <c r="T502" s="23"/>
      <c r="V502" s="32"/>
      <c r="W502" s="32"/>
      <c r="X502" s="32"/>
      <c r="Y502" s="206"/>
    </row>
    <row r="503" spans="1:39" x14ac:dyDescent="0.3">
      <c r="A503" s="22"/>
      <c r="C503" s="23"/>
      <c r="F503" s="195"/>
      <c r="H503" s="195"/>
      <c r="I503" s="195"/>
      <c r="J503" s="203"/>
      <c r="K503" s="203"/>
      <c r="L503" s="32"/>
      <c r="M503" s="32"/>
      <c r="N503" s="33"/>
      <c r="O503" s="33"/>
      <c r="P503" s="32"/>
      <c r="Q503" s="32"/>
      <c r="R503" s="32"/>
      <c r="T503" s="23"/>
      <c r="V503" s="32"/>
      <c r="W503" s="32"/>
      <c r="X503" s="32"/>
      <c r="Y503" s="203"/>
      <c r="Z503" s="32"/>
      <c r="AA503" s="32"/>
      <c r="AB503" s="33"/>
      <c r="AC503" s="33"/>
      <c r="AD503" s="32"/>
      <c r="AE503" s="32"/>
      <c r="AF503" s="44"/>
      <c r="AG503" s="44"/>
      <c r="AH503" s="32"/>
      <c r="AI503" s="32"/>
      <c r="AJ503" s="32"/>
      <c r="AK503" s="32"/>
      <c r="AL503" s="33"/>
      <c r="AM503" s="33"/>
    </row>
    <row r="504" spans="1:39" x14ac:dyDescent="0.3">
      <c r="A504" s="22"/>
      <c r="C504" s="23"/>
      <c r="F504" s="195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203"/>
      <c r="Z504" s="32"/>
      <c r="AA504" s="32"/>
      <c r="AB504" s="33"/>
      <c r="AC504" s="33"/>
      <c r="AD504" s="32"/>
      <c r="AE504" s="32"/>
      <c r="AF504" s="44"/>
      <c r="AG504" s="44"/>
      <c r="AH504" s="32"/>
      <c r="AI504" s="32"/>
      <c r="AJ504" s="32"/>
      <c r="AK504" s="32"/>
      <c r="AL504" s="33"/>
      <c r="AM504" s="33"/>
    </row>
    <row r="505" spans="1:39" x14ac:dyDescent="0.3">
      <c r="A505" s="22"/>
      <c r="C505" s="23"/>
      <c r="F505" s="195"/>
      <c r="H505" s="195"/>
      <c r="I505" s="195"/>
      <c r="J505" s="203"/>
      <c r="K505" s="203"/>
      <c r="L505" s="32"/>
      <c r="M505" s="32"/>
      <c r="N505" s="33"/>
      <c r="O505" s="33"/>
      <c r="P505" s="32"/>
      <c r="Q505" s="32"/>
      <c r="R505" s="32"/>
      <c r="T505" s="23"/>
      <c r="V505" s="32"/>
      <c r="W505" s="32"/>
      <c r="X505" s="32"/>
      <c r="Y505" s="203"/>
      <c r="Z505" s="32"/>
      <c r="AA505" s="32"/>
      <c r="AB505" s="33"/>
      <c r="AC505" s="33"/>
      <c r="AD505" s="32"/>
      <c r="AE505" s="32"/>
      <c r="AF505" s="44"/>
      <c r="AG505" s="44"/>
      <c r="AH505" s="32"/>
      <c r="AI505" s="32"/>
      <c r="AJ505" s="32"/>
      <c r="AK505" s="32"/>
      <c r="AL505" s="33"/>
      <c r="AM505" s="33"/>
    </row>
    <row r="506" spans="1:39" x14ac:dyDescent="0.3">
      <c r="A506" s="22"/>
      <c r="C506" s="23"/>
      <c r="F506" s="195"/>
      <c r="H506" s="195"/>
      <c r="I506" s="195"/>
      <c r="J506" s="203"/>
      <c r="K506" s="203"/>
      <c r="L506" s="32"/>
      <c r="M506" s="32"/>
      <c r="N506" s="33"/>
      <c r="O506" s="33"/>
      <c r="P506" s="32"/>
      <c r="Q506" s="32"/>
      <c r="R506" s="32"/>
      <c r="T506" s="23"/>
      <c r="V506" s="32"/>
      <c r="W506" s="32"/>
      <c r="X506" s="32"/>
      <c r="Y506" s="203"/>
      <c r="Z506" s="32"/>
      <c r="AA506" s="32"/>
      <c r="AB506" s="33"/>
      <c r="AC506" s="33"/>
      <c r="AD506" s="32"/>
      <c r="AE506" s="32"/>
      <c r="AF506" s="44"/>
      <c r="AG506" s="44"/>
      <c r="AH506" s="32"/>
      <c r="AI506" s="32"/>
      <c r="AJ506" s="32"/>
      <c r="AK506" s="32"/>
      <c r="AL506" s="33"/>
      <c r="AM506" s="33"/>
    </row>
    <row r="507" spans="1:39" x14ac:dyDescent="0.3">
      <c r="J507" s="62"/>
      <c r="K507" s="62"/>
      <c r="V507" s="32"/>
      <c r="W507" s="32"/>
      <c r="X507" s="32"/>
      <c r="Y507" s="203"/>
    </row>
    <row r="508" spans="1:39" x14ac:dyDescent="0.3">
      <c r="A508" s="22"/>
      <c r="C508" s="23"/>
      <c r="F508" s="195"/>
      <c r="H508" s="195"/>
      <c r="I508" s="195"/>
      <c r="J508" s="203"/>
      <c r="K508" s="203"/>
      <c r="L508" s="32"/>
      <c r="M508" s="32"/>
      <c r="N508" s="33"/>
      <c r="O508" s="33"/>
      <c r="P508" s="32"/>
      <c r="Q508" s="32"/>
      <c r="R508" s="32"/>
      <c r="T508" s="23"/>
      <c r="V508" s="32"/>
      <c r="W508" s="32"/>
      <c r="X508" s="32"/>
      <c r="Y508" s="203"/>
      <c r="Z508" s="32"/>
      <c r="AA508" s="32"/>
      <c r="AB508" s="33"/>
      <c r="AC508" s="33"/>
      <c r="AD508" s="32"/>
      <c r="AE508" s="32"/>
      <c r="AF508" s="44"/>
      <c r="AG508" s="44"/>
      <c r="AH508" s="32"/>
      <c r="AI508" s="32"/>
      <c r="AJ508" s="32"/>
      <c r="AK508" s="32"/>
      <c r="AL508" s="44"/>
      <c r="AM508" s="44"/>
    </row>
    <row r="509" spans="1:39" x14ac:dyDescent="0.3">
      <c r="A509" s="22"/>
      <c r="C509" s="23"/>
      <c r="J509" s="62"/>
      <c r="K509" s="62"/>
      <c r="T509" s="23"/>
      <c r="V509" s="32"/>
      <c r="W509" s="32"/>
      <c r="X509" s="32"/>
      <c r="Y509" s="203"/>
    </row>
    <row r="510" spans="1:39" x14ac:dyDescent="0.3">
      <c r="A510" s="22"/>
      <c r="C510" s="23"/>
      <c r="F510" s="195"/>
      <c r="H510" s="195"/>
      <c r="I510" s="195"/>
      <c r="J510" s="203"/>
      <c r="K510" s="203"/>
      <c r="L510" s="32"/>
      <c r="M510" s="32"/>
      <c r="N510" s="33"/>
      <c r="O510" s="33"/>
      <c r="P510" s="32"/>
      <c r="Q510" s="32"/>
      <c r="R510" s="32"/>
      <c r="T510" s="23"/>
      <c r="V510" s="32"/>
      <c r="W510" s="32"/>
      <c r="X510" s="32"/>
      <c r="Y510" s="203"/>
      <c r="Z510" s="32"/>
      <c r="AA510" s="32"/>
      <c r="AB510" s="33"/>
      <c r="AC510" s="33"/>
      <c r="AD510" s="32"/>
      <c r="AE510" s="32"/>
      <c r="AF510" s="44"/>
      <c r="AG510" s="44"/>
      <c r="AH510" s="32"/>
      <c r="AI510" s="32"/>
      <c r="AJ510" s="32"/>
      <c r="AK510" s="32"/>
      <c r="AL510" s="44"/>
      <c r="AM510" s="44"/>
    </row>
    <row r="511" spans="1:39" x14ac:dyDescent="0.3">
      <c r="J511" s="62"/>
      <c r="K511" s="62"/>
      <c r="Y511" s="62"/>
    </row>
    <row r="512" spans="1:39" x14ac:dyDescent="0.3">
      <c r="A512" s="22"/>
      <c r="C512" s="23"/>
      <c r="J512" s="62"/>
      <c r="K512" s="62"/>
      <c r="T512" s="23"/>
      <c r="V512" s="32"/>
      <c r="W512" s="32"/>
      <c r="X512" s="32"/>
      <c r="Y512" s="203"/>
    </row>
    <row r="513" spans="1:39" x14ac:dyDescent="0.3">
      <c r="A513" s="22"/>
      <c r="C513" s="23"/>
      <c r="F513" s="195"/>
      <c r="H513" s="195"/>
      <c r="I513" s="195"/>
      <c r="J513" s="203"/>
      <c r="K513" s="203"/>
      <c r="L513" s="32"/>
      <c r="M513" s="32"/>
      <c r="N513" s="33"/>
      <c r="O513" s="33"/>
      <c r="P513" s="32"/>
      <c r="Q513" s="32"/>
      <c r="R513" s="32"/>
      <c r="T513" s="23"/>
      <c r="V513" s="32"/>
      <c r="W513" s="32"/>
      <c r="X513" s="32"/>
      <c r="Y513" s="203"/>
      <c r="Z513" s="32"/>
      <c r="AA513" s="32"/>
      <c r="AB513" s="33"/>
      <c r="AC513" s="33"/>
      <c r="AD513" s="32"/>
      <c r="AE513" s="32"/>
      <c r="AF513" s="44"/>
      <c r="AG513" s="44"/>
      <c r="AH513" s="32"/>
      <c r="AI513" s="32"/>
      <c r="AJ513" s="32"/>
      <c r="AK513" s="32"/>
      <c r="AL513" s="44"/>
      <c r="AM513" s="44"/>
    </row>
    <row r="514" spans="1:39" x14ac:dyDescent="0.3">
      <c r="A514" s="22"/>
      <c r="C514" s="23"/>
      <c r="F514" s="195"/>
      <c r="H514" s="195"/>
      <c r="I514" s="195"/>
      <c r="J514" s="203"/>
      <c r="K514" s="203"/>
      <c r="L514" s="32"/>
      <c r="M514" s="32"/>
      <c r="N514" s="33"/>
      <c r="O514" s="33"/>
      <c r="P514" s="32"/>
      <c r="Q514" s="32"/>
      <c r="R514" s="32"/>
      <c r="T514" s="23"/>
      <c r="V514" s="32"/>
      <c r="W514" s="32"/>
      <c r="X514" s="32"/>
      <c r="Y514" s="203"/>
      <c r="Z514" s="32"/>
      <c r="AA514" s="32"/>
      <c r="AB514" s="33"/>
      <c r="AC514" s="33"/>
      <c r="AD514" s="32"/>
      <c r="AE514" s="32"/>
      <c r="AF514" s="44"/>
      <c r="AG514" s="44"/>
      <c r="AH514" s="32"/>
      <c r="AI514" s="32"/>
      <c r="AJ514" s="32"/>
      <c r="AK514" s="32"/>
      <c r="AL514" s="44"/>
      <c r="AM514" s="44"/>
    </row>
    <row r="515" spans="1:39" x14ac:dyDescent="0.3">
      <c r="F515" s="34"/>
      <c r="H515" s="34"/>
      <c r="I515" s="34"/>
      <c r="J515" s="203"/>
      <c r="K515" s="203"/>
      <c r="L515" s="34"/>
      <c r="M515" s="34"/>
      <c r="N515" s="34"/>
      <c r="O515" s="34"/>
      <c r="P515" s="34"/>
      <c r="Q515" s="34"/>
      <c r="R515" s="34"/>
      <c r="V515" s="34"/>
      <c r="X515" s="34"/>
      <c r="Y515" s="198"/>
      <c r="Z515" s="34"/>
      <c r="AA515" s="34"/>
      <c r="AB515" s="34"/>
      <c r="AC515" s="34"/>
      <c r="AD515" s="34"/>
      <c r="AE515" s="34"/>
      <c r="AH515" s="34"/>
      <c r="AI515" s="34"/>
      <c r="AJ515" s="34"/>
      <c r="AK515" s="34"/>
    </row>
    <row r="516" spans="1:39" x14ac:dyDescent="0.3">
      <c r="A516" s="22"/>
      <c r="C516" s="23"/>
      <c r="F516" s="32"/>
      <c r="H516" s="32"/>
      <c r="I516" s="32"/>
      <c r="L516" s="32"/>
      <c r="M516" s="32"/>
      <c r="N516" s="33"/>
      <c r="O516" s="33"/>
      <c r="P516" s="195"/>
      <c r="Q516" s="195"/>
      <c r="R516" s="32"/>
      <c r="T516" s="23"/>
      <c r="V516" s="32"/>
      <c r="W516" s="32"/>
      <c r="X516" s="32"/>
      <c r="Y516" s="206"/>
      <c r="Z516" s="32"/>
      <c r="AA516" s="32"/>
      <c r="AB516" s="33"/>
      <c r="AC516" s="33"/>
      <c r="AD516" s="32"/>
      <c r="AE516" s="32"/>
      <c r="AF516" s="44"/>
      <c r="AG516" s="44"/>
      <c r="AH516" s="195"/>
      <c r="AI516" s="195"/>
      <c r="AJ516" s="32"/>
      <c r="AK516" s="32"/>
      <c r="AL516" s="44"/>
      <c r="AM516" s="44"/>
    </row>
    <row r="517" spans="1:39" x14ac:dyDescent="0.3">
      <c r="F517" s="34"/>
      <c r="H517" s="34"/>
      <c r="I517" s="34"/>
      <c r="J517" s="198"/>
      <c r="K517" s="198"/>
      <c r="L517" s="34"/>
      <c r="M517" s="34"/>
      <c r="N517" s="34"/>
      <c r="O517" s="34"/>
      <c r="P517" s="34"/>
      <c r="Q517" s="34"/>
      <c r="R517" s="34"/>
      <c r="V517" s="34"/>
      <c r="X517" s="34"/>
      <c r="Y517" s="198"/>
      <c r="Z517" s="34"/>
      <c r="AA517" s="34"/>
      <c r="AB517" s="34"/>
      <c r="AC517" s="34"/>
      <c r="AD517" s="34"/>
      <c r="AE517" s="34"/>
      <c r="AH517" s="34"/>
      <c r="AI517" s="34"/>
      <c r="AJ517" s="34"/>
      <c r="AK517" s="34"/>
    </row>
    <row r="519" spans="1:39" x14ac:dyDescent="0.3">
      <c r="C519" s="22"/>
      <c r="T519" s="22"/>
    </row>
    <row r="520" spans="1:39" x14ac:dyDescent="0.3">
      <c r="A520" s="23"/>
    </row>
    <row r="521" spans="1:39" x14ac:dyDescent="0.3">
      <c r="J521" s="22"/>
      <c r="K521" s="22"/>
      <c r="Y521" s="22"/>
    </row>
    <row r="522" spans="1:39" x14ac:dyDescent="0.3">
      <c r="H522" s="23"/>
      <c r="I522" s="23"/>
      <c r="X522" s="23"/>
    </row>
    <row r="523" spans="1:39" x14ac:dyDescent="0.3">
      <c r="J523" s="22"/>
      <c r="K523" s="22"/>
      <c r="Y523" s="22"/>
    </row>
    <row r="524" spans="1:39" x14ac:dyDescent="0.3">
      <c r="L524" s="23"/>
      <c r="M524" s="23"/>
      <c r="Z524" s="23"/>
      <c r="AA524" s="23"/>
    </row>
    <row r="525" spans="1:39" x14ac:dyDescent="0.3">
      <c r="A525" s="22"/>
      <c r="R525" s="23"/>
      <c r="AJ525" s="23"/>
      <c r="AK525" s="23"/>
    </row>
    <row r="526" spans="1:39" x14ac:dyDescent="0.3">
      <c r="A526" s="22"/>
      <c r="R526" s="23"/>
      <c r="AJ526" s="23"/>
      <c r="AK526" s="23"/>
    </row>
    <row r="527" spans="1:39" x14ac:dyDescent="0.3">
      <c r="A527" s="23"/>
      <c r="R527" s="23"/>
      <c r="AJ527" s="23"/>
      <c r="AK527" s="23"/>
    </row>
    <row r="528" spans="1:39" x14ac:dyDescent="0.3">
      <c r="L528" s="23"/>
      <c r="M528" s="23"/>
      <c r="R528" s="22"/>
      <c r="Z528" s="23"/>
      <c r="AA528" s="23"/>
      <c r="AJ528" s="22"/>
      <c r="AK528" s="22"/>
    </row>
    <row r="529" spans="1:39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</row>
    <row r="530" spans="1:39" x14ac:dyDescent="0.3">
      <c r="L530" s="30"/>
      <c r="M530" s="30"/>
      <c r="N530" s="30"/>
      <c r="O530" s="30"/>
      <c r="R530" s="30"/>
      <c r="Z530" s="30"/>
      <c r="AA530" s="30"/>
      <c r="AB530" s="30"/>
      <c r="AC530" s="30"/>
      <c r="AD530" s="30"/>
      <c r="AE530" s="30"/>
      <c r="AF530" s="30"/>
      <c r="AG530" s="30"/>
      <c r="AJ530" s="30"/>
      <c r="AK530" s="30"/>
      <c r="AL530" s="30"/>
      <c r="AM530" s="30"/>
    </row>
    <row r="531" spans="1:39" x14ac:dyDescent="0.3">
      <c r="L531" s="30"/>
      <c r="M531" s="30"/>
      <c r="N531" s="30"/>
      <c r="O531" s="30"/>
      <c r="R531" s="30"/>
      <c r="Y531" s="30"/>
      <c r="Z531" s="30"/>
      <c r="AA531" s="30"/>
      <c r="AB531" s="30"/>
      <c r="AC531" s="30"/>
      <c r="AD531" s="30"/>
      <c r="AE531" s="30"/>
      <c r="AF531" s="30"/>
      <c r="AG531" s="30"/>
      <c r="AJ531" s="30"/>
      <c r="AK531" s="30"/>
      <c r="AL531" s="30"/>
      <c r="AM531" s="30"/>
    </row>
    <row r="532" spans="1:39" x14ac:dyDescent="0.3">
      <c r="A532" s="30"/>
      <c r="C532" s="30"/>
      <c r="D532" s="30"/>
      <c r="E532" s="30"/>
      <c r="F532" s="30"/>
      <c r="J532" s="30"/>
      <c r="K532" s="30"/>
      <c r="L532" s="30"/>
      <c r="M532" s="30"/>
      <c r="N532" s="30"/>
      <c r="O532" s="30"/>
      <c r="P532" s="30"/>
      <c r="Q532" s="30"/>
      <c r="R532" s="30"/>
      <c r="T532" s="30"/>
      <c r="U532" s="30"/>
      <c r="V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</row>
    <row r="533" spans="1:39" x14ac:dyDescent="0.3">
      <c r="A533" s="30"/>
      <c r="C533" s="30"/>
      <c r="D533" s="30"/>
      <c r="E533" s="30"/>
      <c r="F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T533" s="30"/>
      <c r="U533" s="30"/>
      <c r="V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</row>
    <row r="534" spans="1:39" x14ac:dyDescent="0.3">
      <c r="C534" s="30"/>
      <c r="D534" s="30"/>
      <c r="E534" s="30"/>
      <c r="F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T534" s="30"/>
      <c r="U534" s="30"/>
      <c r="V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</row>
    <row r="535" spans="1:39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</row>
    <row r="536" spans="1:39" x14ac:dyDescent="0.3"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</row>
    <row r="537" spans="1:39" x14ac:dyDescent="0.3">
      <c r="A537" s="22"/>
      <c r="C537" s="23"/>
      <c r="D537" s="23"/>
      <c r="E537" s="23"/>
      <c r="T537" s="23"/>
      <c r="U537" s="23"/>
    </row>
    <row r="539" spans="1:39" x14ac:dyDescent="0.3">
      <c r="A539" s="22"/>
      <c r="C539" s="23"/>
      <c r="T539" s="23"/>
    </row>
    <row r="540" spans="1:39" x14ac:dyDescent="0.3">
      <c r="A540" s="22"/>
      <c r="C540" s="23"/>
      <c r="T540" s="23"/>
    </row>
    <row r="541" spans="1:39" x14ac:dyDescent="0.3">
      <c r="A541" s="22"/>
      <c r="C541" s="23"/>
      <c r="F541" s="195"/>
      <c r="H541" s="195"/>
      <c r="I541" s="195"/>
      <c r="J541" s="203"/>
      <c r="K541" s="203"/>
      <c r="L541" s="32"/>
      <c r="M541" s="32"/>
      <c r="N541" s="33"/>
      <c r="O541" s="33"/>
      <c r="P541" s="32"/>
      <c r="Q541" s="32"/>
      <c r="R541" s="32"/>
      <c r="T541" s="23"/>
      <c r="V541" s="32"/>
      <c r="W541" s="32"/>
      <c r="X541" s="32"/>
      <c r="Y541" s="203"/>
      <c r="Z541" s="32"/>
      <c r="AA541" s="32"/>
      <c r="AB541" s="33"/>
      <c r="AC541" s="33"/>
      <c r="AD541" s="32"/>
      <c r="AE541" s="32"/>
      <c r="AF541" s="44"/>
      <c r="AG541" s="44"/>
      <c r="AH541" s="32"/>
      <c r="AI541" s="32"/>
      <c r="AJ541" s="32"/>
      <c r="AK541" s="32"/>
      <c r="AL541" s="44"/>
      <c r="AM541" s="44"/>
    </row>
    <row r="542" spans="1:39" x14ac:dyDescent="0.3">
      <c r="A542" s="22"/>
      <c r="C542" s="23"/>
      <c r="F542" s="32"/>
      <c r="H542" s="32"/>
      <c r="I542" s="32"/>
      <c r="J542" s="62"/>
      <c r="K542" s="62"/>
      <c r="L542" s="32"/>
      <c r="M542" s="32"/>
      <c r="N542" s="33"/>
      <c r="O542" s="33"/>
      <c r="P542" s="32"/>
      <c r="Q542" s="32"/>
      <c r="R542" s="32"/>
      <c r="T542" s="23"/>
      <c r="V542" s="32"/>
      <c r="W542" s="32"/>
      <c r="X542" s="32"/>
      <c r="Y542" s="62"/>
      <c r="Z542" s="32"/>
      <c r="AA542" s="32"/>
      <c r="AB542" s="33"/>
      <c r="AC542" s="33"/>
      <c r="AD542" s="32"/>
      <c r="AE542" s="32"/>
      <c r="AF542" s="44"/>
      <c r="AG542" s="44"/>
      <c r="AH542" s="32"/>
      <c r="AI542" s="32"/>
      <c r="AJ542" s="32"/>
      <c r="AK542" s="32"/>
      <c r="AL542" s="44"/>
      <c r="AM542" s="44"/>
    </row>
    <row r="543" spans="1:39" x14ac:dyDescent="0.3">
      <c r="A543" s="22"/>
      <c r="C543" s="23"/>
      <c r="F543" s="32"/>
      <c r="H543" s="32"/>
      <c r="I543" s="32"/>
      <c r="J543" s="62"/>
      <c r="K543" s="62"/>
      <c r="L543" s="32"/>
      <c r="M543" s="32"/>
      <c r="N543" s="33"/>
      <c r="O543" s="33"/>
      <c r="P543" s="32"/>
      <c r="Q543" s="32"/>
      <c r="R543" s="32"/>
      <c r="T543" s="23"/>
      <c r="V543" s="32"/>
      <c r="W543" s="32"/>
      <c r="X543" s="32"/>
      <c r="Y543" s="62"/>
      <c r="Z543" s="32"/>
      <c r="AA543" s="32"/>
      <c r="AB543" s="33"/>
      <c r="AC543" s="33"/>
      <c r="AD543" s="32"/>
      <c r="AE543" s="32"/>
      <c r="AF543" s="44"/>
      <c r="AG543" s="44"/>
      <c r="AH543" s="32"/>
      <c r="AI543" s="32"/>
      <c r="AJ543" s="32"/>
      <c r="AK543" s="32"/>
      <c r="AL543" s="44"/>
      <c r="AM543" s="44"/>
    </row>
    <row r="544" spans="1:39" x14ac:dyDescent="0.3">
      <c r="A544" s="22"/>
      <c r="C544" s="23"/>
      <c r="F544" s="32"/>
      <c r="H544" s="32"/>
      <c r="I544" s="32"/>
      <c r="J544" s="62"/>
      <c r="K544" s="62"/>
      <c r="T544" s="23"/>
      <c r="V544" s="32"/>
      <c r="Y544" s="62"/>
    </row>
    <row r="545" spans="1:39" x14ac:dyDescent="0.3">
      <c r="A545" s="22"/>
      <c r="C545" s="23"/>
      <c r="F545" s="195"/>
      <c r="H545" s="195"/>
      <c r="I545" s="195"/>
      <c r="J545" s="203"/>
      <c r="K545" s="203"/>
      <c r="L545" s="32"/>
      <c r="M545" s="32"/>
      <c r="N545" s="33"/>
      <c r="O545" s="33"/>
      <c r="P545" s="32"/>
      <c r="Q545" s="32"/>
      <c r="R545" s="32"/>
      <c r="T545" s="23"/>
      <c r="V545" s="32"/>
      <c r="W545" s="32"/>
      <c r="X545" s="32"/>
      <c r="Y545" s="203"/>
      <c r="Z545" s="32"/>
      <c r="AA545" s="32"/>
      <c r="AB545" s="33"/>
      <c r="AC545" s="33"/>
      <c r="AD545" s="32"/>
      <c r="AE545" s="32"/>
      <c r="AF545" s="44"/>
      <c r="AG545" s="44"/>
      <c r="AH545" s="32"/>
      <c r="AI545" s="32"/>
      <c r="AJ545" s="32"/>
      <c r="AK545" s="32"/>
      <c r="AL545" s="44"/>
      <c r="AM545" s="44"/>
    </row>
    <row r="546" spans="1:39" x14ac:dyDescent="0.3">
      <c r="A546" s="22"/>
      <c r="C546" s="23"/>
      <c r="F546" s="32"/>
      <c r="H546" s="32"/>
      <c r="I546" s="32"/>
      <c r="J546" s="62"/>
      <c r="K546" s="62"/>
      <c r="T546" s="23"/>
      <c r="V546" s="32"/>
      <c r="W546" s="32"/>
      <c r="X546" s="32"/>
      <c r="Y546" s="62"/>
      <c r="AB546" s="33"/>
      <c r="AC546" s="33"/>
      <c r="AD546" s="32"/>
      <c r="AE546" s="32"/>
      <c r="AF546" s="44"/>
      <c r="AG546" s="44"/>
      <c r="AH546" s="32"/>
      <c r="AI546" s="32"/>
      <c r="AJ546" s="32"/>
      <c r="AK546" s="32"/>
      <c r="AL546" s="44"/>
      <c r="AM546" s="44"/>
    </row>
    <row r="547" spans="1:39" x14ac:dyDescent="0.3">
      <c r="A547" s="22"/>
      <c r="C547" s="23"/>
      <c r="F547" s="195"/>
      <c r="H547" s="195"/>
      <c r="I547" s="195"/>
      <c r="J547" s="203"/>
      <c r="K547" s="203"/>
      <c r="L547" s="32"/>
      <c r="M547" s="32"/>
      <c r="N547" s="33"/>
      <c r="O547" s="33"/>
      <c r="P547" s="32"/>
      <c r="Q547" s="32"/>
      <c r="R547" s="32"/>
      <c r="T547" s="23"/>
      <c r="V547" s="32"/>
      <c r="W547" s="32"/>
      <c r="X547" s="32"/>
      <c r="Y547" s="203"/>
      <c r="Z547" s="32"/>
      <c r="AA547" s="32"/>
      <c r="AB547" s="33"/>
      <c r="AC547" s="33"/>
      <c r="AD547" s="32"/>
      <c r="AE547" s="32"/>
      <c r="AF547" s="44"/>
      <c r="AG547" s="44"/>
      <c r="AH547" s="32"/>
      <c r="AI547" s="32"/>
      <c r="AJ547" s="32"/>
      <c r="AK547" s="32"/>
      <c r="AL547" s="44"/>
      <c r="AM547" s="44"/>
    </row>
    <row r="548" spans="1:39" x14ac:dyDescent="0.3">
      <c r="A548" s="22"/>
      <c r="C548" s="23"/>
      <c r="F548" s="32"/>
      <c r="H548" s="32"/>
      <c r="I548" s="32"/>
      <c r="J548" s="62"/>
      <c r="K548" s="62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62"/>
      <c r="Z548" s="32"/>
      <c r="AA548" s="32"/>
      <c r="AB548" s="33"/>
      <c r="AC548" s="33"/>
      <c r="AD548" s="32"/>
      <c r="AE548" s="32"/>
      <c r="AF548" s="44"/>
      <c r="AG548" s="44"/>
      <c r="AH548" s="32"/>
      <c r="AI548" s="32"/>
      <c r="AJ548" s="32"/>
      <c r="AK548" s="32"/>
      <c r="AL548" s="44"/>
      <c r="AM548" s="44"/>
    </row>
    <row r="549" spans="1:39" x14ac:dyDescent="0.3">
      <c r="F549" s="32"/>
      <c r="H549" s="32"/>
      <c r="I549" s="32"/>
      <c r="J549" s="62"/>
      <c r="K549" s="62"/>
      <c r="Y549" s="62"/>
    </row>
    <row r="550" spans="1:39" x14ac:dyDescent="0.3">
      <c r="A550" s="22"/>
      <c r="C550" s="23"/>
      <c r="F550" s="32"/>
      <c r="H550" s="195"/>
      <c r="I550" s="195"/>
      <c r="J550" s="203"/>
      <c r="K550" s="203"/>
      <c r="L550" s="32"/>
      <c r="M550" s="32"/>
      <c r="N550" s="33"/>
      <c r="O550" s="33"/>
      <c r="P550" s="32"/>
      <c r="Q550" s="32"/>
      <c r="R550" s="32"/>
      <c r="T550" s="23"/>
      <c r="V550" s="32"/>
      <c r="W550" s="32"/>
      <c r="X550" s="32"/>
      <c r="Y550" s="203"/>
      <c r="Z550" s="32"/>
      <c r="AA550" s="32"/>
      <c r="AB550" s="33"/>
      <c r="AC550" s="33"/>
      <c r="AD550" s="32"/>
      <c r="AE550" s="32"/>
      <c r="AF550" s="44"/>
      <c r="AG550" s="44"/>
      <c r="AH550" s="32"/>
      <c r="AI550" s="32"/>
      <c r="AJ550" s="32"/>
      <c r="AK550" s="32"/>
      <c r="AL550" s="44"/>
      <c r="AM550" s="44"/>
    </row>
    <row r="551" spans="1:39" x14ac:dyDescent="0.3">
      <c r="F551" s="34"/>
      <c r="H551" s="34"/>
      <c r="I551" s="34"/>
      <c r="J551" s="203"/>
      <c r="K551" s="203"/>
      <c r="L551" s="34"/>
      <c r="M551" s="34"/>
      <c r="N551" s="34"/>
      <c r="O551" s="34"/>
      <c r="P551" s="34"/>
      <c r="Q551" s="34"/>
      <c r="R551" s="34"/>
      <c r="V551" s="34"/>
      <c r="X551" s="34"/>
      <c r="Y551" s="203"/>
      <c r="Z551" s="34"/>
      <c r="AA551" s="34"/>
      <c r="AB551" s="34"/>
      <c r="AC551" s="34"/>
      <c r="AD551" s="34"/>
      <c r="AE551" s="34"/>
      <c r="AH551" s="34"/>
      <c r="AI551" s="34"/>
      <c r="AJ551" s="34"/>
      <c r="AK551" s="34"/>
    </row>
    <row r="552" spans="1:39" x14ac:dyDescent="0.3">
      <c r="A552" s="22"/>
      <c r="C552" s="23"/>
      <c r="F552" s="32"/>
      <c r="H552" s="32"/>
      <c r="I552" s="32"/>
      <c r="J552" s="62"/>
      <c r="K552" s="62"/>
      <c r="L552" s="32"/>
      <c r="M552" s="32"/>
      <c r="N552" s="22"/>
      <c r="O552" s="22"/>
      <c r="P552" s="32"/>
      <c r="Q552" s="32"/>
      <c r="R552" s="32"/>
      <c r="T552" s="23"/>
      <c r="V552" s="32"/>
      <c r="X552" s="32"/>
      <c r="Y552" s="62"/>
      <c r="Z552" s="32"/>
      <c r="AA552" s="32"/>
      <c r="AB552" s="44"/>
      <c r="AC552" s="44"/>
      <c r="AD552" s="32"/>
      <c r="AE552" s="32"/>
      <c r="AF552" s="44"/>
      <c r="AG552" s="44"/>
      <c r="AH552" s="32"/>
      <c r="AI552" s="32"/>
      <c r="AJ552" s="32"/>
      <c r="AK552" s="32"/>
      <c r="AL552" s="44"/>
      <c r="AM552" s="44"/>
    </row>
    <row r="553" spans="1:39" x14ac:dyDescent="0.3">
      <c r="F553" s="34"/>
      <c r="H553" s="34"/>
      <c r="I553" s="34"/>
      <c r="J553" s="203"/>
      <c r="K553" s="203"/>
      <c r="L553" s="34"/>
      <c r="M553" s="34"/>
      <c r="N553" s="34"/>
      <c r="O553" s="34"/>
      <c r="P553" s="34"/>
      <c r="Q553" s="34"/>
      <c r="R553" s="34"/>
      <c r="V553" s="34"/>
      <c r="X553" s="34"/>
      <c r="Y553" s="203"/>
      <c r="Z553" s="34"/>
      <c r="AA553" s="34"/>
      <c r="AB553" s="34"/>
      <c r="AC553" s="34"/>
      <c r="AD553" s="34"/>
      <c r="AE553" s="34"/>
      <c r="AH553" s="34"/>
      <c r="AI553" s="34"/>
      <c r="AJ553" s="34"/>
      <c r="AK553" s="34"/>
    </row>
    <row r="554" spans="1:39" x14ac:dyDescent="0.3">
      <c r="J554" s="62"/>
      <c r="K554" s="62"/>
      <c r="Y554" s="62"/>
    </row>
    <row r="555" spans="1:39" x14ac:dyDescent="0.3">
      <c r="A555" s="22"/>
      <c r="C555" s="23"/>
      <c r="J555" s="62"/>
      <c r="K555" s="62"/>
      <c r="T555" s="23"/>
      <c r="Y555" s="62"/>
    </row>
    <row r="556" spans="1:39" x14ac:dyDescent="0.3">
      <c r="A556" s="22"/>
      <c r="C556" s="23"/>
      <c r="J556" s="62"/>
      <c r="K556" s="62"/>
      <c r="T556" s="23"/>
      <c r="Y556" s="62"/>
    </row>
    <row r="557" spans="1:39" x14ac:dyDescent="0.3">
      <c r="A557" s="22"/>
      <c r="C557" s="23"/>
      <c r="F557" s="195"/>
      <c r="H557" s="195"/>
      <c r="I557" s="195"/>
      <c r="J557" s="203"/>
      <c r="K557" s="203"/>
      <c r="L557" s="32"/>
      <c r="M557" s="32"/>
      <c r="N557" s="33"/>
      <c r="O557" s="33"/>
      <c r="P557" s="32"/>
      <c r="Q557" s="32"/>
      <c r="R557" s="32"/>
      <c r="T557" s="23"/>
      <c r="V557" s="32"/>
      <c r="W557" s="32"/>
      <c r="X557" s="32"/>
      <c r="Y557" s="203"/>
      <c r="Z557" s="32"/>
      <c r="AA557" s="32"/>
      <c r="AB557" s="33"/>
      <c r="AC557" s="33"/>
      <c r="AD557" s="32"/>
      <c r="AE557" s="32"/>
      <c r="AF557" s="44"/>
      <c r="AG557" s="44"/>
      <c r="AH557" s="32"/>
      <c r="AI557" s="32"/>
      <c r="AJ557" s="32"/>
      <c r="AK557" s="32"/>
      <c r="AL557" s="44"/>
      <c r="AM557" s="44"/>
    </row>
    <row r="558" spans="1:39" x14ac:dyDescent="0.3">
      <c r="A558" s="22"/>
      <c r="C558" s="23"/>
      <c r="J558" s="62"/>
      <c r="K558" s="62"/>
      <c r="T558" s="23"/>
      <c r="Y558" s="62"/>
    </row>
    <row r="559" spans="1:39" x14ac:dyDescent="0.3">
      <c r="A559" s="22"/>
      <c r="C559" s="23"/>
      <c r="F559" s="195"/>
      <c r="H559" s="195"/>
      <c r="I559" s="195"/>
      <c r="J559" s="203"/>
      <c r="K559" s="203"/>
      <c r="L559" s="32"/>
      <c r="M559" s="32"/>
      <c r="N559" s="33"/>
      <c r="O559" s="33"/>
      <c r="P559" s="32"/>
      <c r="Q559" s="32"/>
      <c r="R559" s="32"/>
      <c r="T559" s="23"/>
      <c r="V559" s="32"/>
      <c r="W559" s="32"/>
      <c r="X559" s="32"/>
      <c r="Y559" s="203"/>
      <c r="Z559" s="32"/>
      <c r="AA559" s="32"/>
      <c r="AB559" s="33"/>
      <c r="AC559" s="33"/>
      <c r="AD559" s="32"/>
      <c r="AE559" s="32"/>
      <c r="AF559" s="44"/>
      <c r="AG559" s="44"/>
      <c r="AH559" s="32"/>
      <c r="AI559" s="32"/>
      <c r="AJ559" s="32"/>
      <c r="AK559" s="32"/>
      <c r="AL559" s="44"/>
      <c r="AM559" s="44"/>
    </row>
    <row r="560" spans="1:39" x14ac:dyDescent="0.3">
      <c r="F560" s="34"/>
      <c r="H560" s="34"/>
      <c r="I560" s="34"/>
      <c r="J560" s="203"/>
      <c r="K560" s="203"/>
      <c r="L560" s="34"/>
      <c r="M560" s="34"/>
      <c r="N560" s="34"/>
      <c r="O560" s="34"/>
      <c r="P560" s="34"/>
      <c r="Q560" s="34"/>
      <c r="R560" s="34"/>
      <c r="V560" s="34"/>
      <c r="X560" s="34"/>
      <c r="Y560" s="203"/>
      <c r="Z560" s="34"/>
      <c r="AA560" s="34"/>
      <c r="AB560" s="34"/>
      <c r="AC560" s="34"/>
      <c r="AD560" s="34"/>
      <c r="AE560" s="34"/>
      <c r="AH560" s="34"/>
      <c r="AI560" s="34"/>
      <c r="AJ560" s="34"/>
      <c r="AK560" s="34"/>
    </row>
    <row r="561" spans="1:39" x14ac:dyDescent="0.3">
      <c r="A561" s="22"/>
      <c r="C561" s="23"/>
      <c r="F561" s="32"/>
      <c r="H561" s="32"/>
      <c r="I561" s="32"/>
      <c r="J561" s="62"/>
      <c r="K561" s="62"/>
      <c r="L561" s="32"/>
      <c r="M561" s="32"/>
      <c r="N561" s="44"/>
      <c r="O561" s="44"/>
      <c r="P561" s="32"/>
      <c r="Q561" s="32"/>
      <c r="R561" s="32"/>
      <c r="T561" s="23"/>
      <c r="V561" s="32"/>
      <c r="X561" s="32"/>
      <c r="Y561" s="62"/>
      <c r="Z561" s="32"/>
      <c r="AA561" s="32"/>
      <c r="AB561" s="44"/>
      <c r="AC561" s="44"/>
      <c r="AD561" s="32"/>
      <c r="AE561" s="32"/>
      <c r="AF561" s="44"/>
      <c r="AG561" s="44"/>
      <c r="AH561" s="32"/>
      <c r="AI561" s="32"/>
      <c r="AJ561" s="32"/>
      <c r="AK561" s="32"/>
      <c r="AL561" s="44"/>
      <c r="AM561" s="44"/>
    </row>
    <row r="562" spans="1:39" x14ac:dyDescent="0.3">
      <c r="F562" s="34"/>
      <c r="H562" s="34"/>
      <c r="I562" s="34"/>
      <c r="J562" s="203"/>
      <c r="K562" s="203"/>
      <c r="L562" s="34"/>
      <c r="M562" s="34"/>
      <c r="N562" s="34"/>
      <c r="O562" s="34"/>
      <c r="P562" s="34"/>
      <c r="Q562" s="34"/>
      <c r="R562" s="34"/>
      <c r="V562" s="34"/>
      <c r="X562" s="34"/>
      <c r="Y562" s="198"/>
      <c r="Z562" s="34"/>
      <c r="AA562" s="34"/>
      <c r="AB562" s="34"/>
      <c r="AC562" s="34"/>
      <c r="AD562" s="34"/>
      <c r="AE562" s="34"/>
      <c r="AH562" s="34"/>
      <c r="AI562" s="34"/>
      <c r="AJ562" s="34"/>
      <c r="AK562" s="34"/>
    </row>
    <row r="563" spans="1:39" x14ac:dyDescent="0.3">
      <c r="J563" s="62"/>
      <c r="K563" s="62"/>
    </row>
    <row r="564" spans="1:39" x14ac:dyDescent="0.3">
      <c r="A564" s="22"/>
      <c r="C564" s="23"/>
      <c r="F564" s="32"/>
      <c r="H564" s="32"/>
      <c r="I564" s="32"/>
      <c r="J564" s="62"/>
      <c r="K564" s="62"/>
      <c r="L564" s="32"/>
      <c r="M564" s="32"/>
      <c r="N564" s="33"/>
      <c r="O564" s="33"/>
      <c r="P564" s="195"/>
      <c r="Q564" s="195"/>
      <c r="R564" s="32"/>
      <c r="T564" s="23"/>
      <c r="V564" s="32"/>
      <c r="X564" s="32"/>
      <c r="Z564" s="32"/>
      <c r="AA564" s="32"/>
      <c r="AB564" s="44"/>
      <c r="AC564" s="44"/>
      <c r="AD564" s="32"/>
      <c r="AE564" s="32"/>
      <c r="AF564" s="44"/>
      <c r="AG564" s="44"/>
      <c r="AH564" s="195"/>
      <c r="AI564" s="195"/>
      <c r="AJ564" s="32"/>
      <c r="AK564" s="32"/>
      <c r="AL564" s="44"/>
      <c r="AM564" s="44"/>
    </row>
    <row r="565" spans="1:39" x14ac:dyDescent="0.3">
      <c r="F565" s="34"/>
      <c r="H565" s="34"/>
      <c r="I565" s="34"/>
      <c r="J565" s="203"/>
      <c r="K565" s="203"/>
      <c r="L565" s="34"/>
      <c r="M565" s="34"/>
      <c r="N565" s="34"/>
      <c r="O565" s="34"/>
      <c r="P565" s="34"/>
      <c r="Q565" s="34"/>
      <c r="R565" s="34"/>
      <c r="V565" s="34"/>
      <c r="X565" s="34"/>
      <c r="Y565" s="198"/>
      <c r="Z565" s="34"/>
      <c r="AA565" s="34"/>
      <c r="AB565" s="34"/>
      <c r="AC565" s="34"/>
      <c r="AD565" s="34"/>
      <c r="AE565" s="34"/>
      <c r="AH565" s="34"/>
      <c r="AI565" s="34"/>
      <c r="AJ565" s="34"/>
      <c r="AK565" s="34"/>
    </row>
    <row r="567" spans="1:39" x14ac:dyDescent="0.3">
      <c r="C567" s="22"/>
      <c r="T567" s="22"/>
    </row>
    <row r="568" spans="1:39" x14ac:dyDescent="0.3">
      <c r="A568" s="23"/>
    </row>
    <row r="569" spans="1:39" x14ac:dyDescent="0.3">
      <c r="J569" s="22"/>
      <c r="K569" s="22"/>
      <c r="Y569" s="22"/>
    </row>
    <row r="570" spans="1:39" x14ac:dyDescent="0.3">
      <c r="H570" s="23"/>
      <c r="I570" s="23"/>
      <c r="X570" s="23"/>
    </row>
    <row r="571" spans="1:39" x14ac:dyDescent="0.3">
      <c r="J571" s="22"/>
      <c r="K571" s="22"/>
      <c r="Y571" s="22"/>
    </row>
    <row r="572" spans="1:39" x14ac:dyDescent="0.3">
      <c r="L572" s="23"/>
      <c r="M572" s="23"/>
      <c r="Z572" s="23"/>
      <c r="AA572" s="23"/>
    </row>
    <row r="573" spans="1:39" x14ac:dyDescent="0.3">
      <c r="A573" s="22"/>
      <c r="R573" s="23"/>
      <c r="AJ573" s="23"/>
      <c r="AK573" s="23"/>
    </row>
    <row r="574" spans="1:39" x14ac:dyDescent="0.3">
      <c r="A574" s="22"/>
      <c r="R574" s="23"/>
      <c r="AJ574" s="23"/>
      <c r="AK574" s="23"/>
    </row>
    <row r="575" spans="1:39" x14ac:dyDescent="0.3">
      <c r="A575" s="23"/>
      <c r="R575" s="23"/>
      <c r="AJ575" s="23"/>
      <c r="AK575" s="23"/>
    </row>
    <row r="576" spans="1:39" x14ac:dyDescent="0.3">
      <c r="L576" s="23"/>
      <c r="M576" s="23"/>
      <c r="R576" s="22"/>
      <c r="Z576" s="23"/>
      <c r="AA576" s="23"/>
      <c r="AJ576" s="22"/>
      <c r="AK576" s="22"/>
    </row>
    <row r="577" spans="1:39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</row>
    <row r="578" spans="1:39" x14ac:dyDescent="0.3">
      <c r="L578" s="30"/>
      <c r="M578" s="30"/>
      <c r="N578" s="30"/>
      <c r="O578" s="30"/>
      <c r="R578" s="30"/>
      <c r="Z578" s="30"/>
      <c r="AA578" s="30"/>
      <c r="AB578" s="30"/>
      <c r="AC578" s="30"/>
      <c r="AD578" s="30"/>
      <c r="AE578" s="30"/>
      <c r="AF578" s="30"/>
      <c r="AG578" s="30"/>
      <c r="AJ578" s="30"/>
      <c r="AK578" s="30"/>
      <c r="AL578" s="30"/>
      <c r="AM578" s="30"/>
    </row>
    <row r="579" spans="1:39" x14ac:dyDescent="0.3">
      <c r="L579" s="30"/>
      <c r="M579" s="30"/>
      <c r="N579" s="30"/>
      <c r="O579" s="30"/>
      <c r="R579" s="30"/>
      <c r="Y579" s="30"/>
      <c r="Z579" s="30"/>
      <c r="AA579" s="30"/>
      <c r="AB579" s="30"/>
      <c r="AC579" s="30"/>
      <c r="AD579" s="30"/>
      <c r="AE579" s="30"/>
      <c r="AF579" s="30"/>
      <c r="AG579" s="30"/>
      <c r="AJ579" s="30"/>
      <c r="AK579" s="30"/>
      <c r="AL579" s="30"/>
      <c r="AM579" s="30"/>
    </row>
    <row r="580" spans="1:39" x14ac:dyDescent="0.3">
      <c r="A580" s="30"/>
      <c r="C580" s="30"/>
      <c r="D580" s="30"/>
      <c r="E580" s="30"/>
      <c r="F580" s="30"/>
      <c r="J580" s="30"/>
      <c r="K580" s="30"/>
      <c r="L580" s="30"/>
      <c r="M580" s="30"/>
      <c r="N580" s="30"/>
      <c r="O580" s="30"/>
      <c r="P580" s="30"/>
      <c r="Q580" s="30"/>
      <c r="R580" s="30"/>
      <c r="T580" s="30"/>
      <c r="U580" s="30"/>
      <c r="V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</row>
    <row r="581" spans="1:39" x14ac:dyDescent="0.3">
      <c r="A581" s="30"/>
      <c r="C581" s="30"/>
      <c r="D581" s="30"/>
      <c r="E581" s="30"/>
      <c r="F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T581" s="30"/>
      <c r="U581" s="30"/>
      <c r="V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</row>
    <row r="582" spans="1:39" x14ac:dyDescent="0.3">
      <c r="C582" s="30"/>
      <c r="D582" s="30"/>
      <c r="E582" s="30"/>
      <c r="F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T582" s="30"/>
      <c r="U582" s="30"/>
      <c r="V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</row>
    <row r="583" spans="1:39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</row>
    <row r="584" spans="1:39" x14ac:dyDescent="0.3"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</row>
    <row r="585" spans="1:39" x14ac:dyDescent="0.3">
      <c r="A585" s="22"/>
      <c r="C585" s="23"/>
      <c r="D585" s="23"/>
      <c r="E585" s="23"/>
      <c r="T585" s="23"/>
      <c r="U585" s="23"/>
    </row>
    <row r="587" spans="1:39" x14ac:dyDescent="0.3">
      <c r="A587" s="22"/>
      <c r="C587" s="23"/>
      <c r="D587" s="23"/>
      <c r="E587" s="23"/>
      <c r="T587" s="23"/>
      <c r="U587" s="23"/>
    </row>
    <row r="588" spans="1:39" x14ac:dyDescent="0.3">
      <c r="A588" s="22"/>
      <c r="C588" s="23"/>
      <c r="T588" s="23"/>
    </row>
    <row r="589" spans="1:39" x14ac:dyDescent="0.3">
      <c r="A589" s="22"/>
      <c r="C589" s="23"/>
      <c r="T589" s="23"/>
    </row>
    <row r="590" spans="1:39" x14ac:dyDescent="0.3">
      <c r="A590" s="22"/>
      <c r="C590" s="23"/>
      <c r="F590" s="195"/>
      <c r="H590" s="195"/>
      <c r="I590" s="195"/>
      <c r="J590" s="203"/>
      <c r="K590" s="203"/>
      <c r="L590" s="32"/>
      <c r="M590" s="32"/>
      <c r="N590" s="33"/>
      <c r="O590" s="33"/>
      <c r="P590" s="32"/>
      <c r="Q590" s="32"/>
      <c r="R590" s="32"/>
      <c r="T590" s="23"/>
      <c r="V590" s="32"/>
      <c r="W590" s="32"/>
      <c r="X590" s="32"/>
      <c r="Y590" s="203"/>
      <c r="Z590" s="32"/>
      <c r="AA590" s="32"/>
      <c r="AB590" s="33"/>
      <c r="AC590" s="33"/>
      <c r="AD590" s="32"/>
      <c r="AE590" s="32"/>
      <c r="AF590" s="44"/>
      <c r="AG590" s="44"/>
      <c r="AH590" s="32"/>
      <c r="AI590" s="32"/>
      <c r="AJ590" s="32"/>
      <c r="AK590" s="32"/>
      <c r="AL590" s="33"/>
      <c r="AM590" s="33"/>
    </row>
    <row r="591" spans="1:39" x14ac:dyDescent="0.3">
      <c r="A591" s="22"/>
      <c r="C591" s="23"/>
      <c r="J591" s="62"/>
      <c r="K591" s="62"/>
      <c r="T591" s="23"/>
      <c r="V591" s="32"/>
      <c r="W591" s="32"/>
      <c r="X591" s="32"/>
      <c r="Y591" s="203"/>
    </row>
    <row r="592" spans="1:39" x14ac:dyDescent="0.3">
      <c r="A592" s="22"/>
      <c r="C592" s="23"/>
      <c r="F592" s="195"/>
      <c r="H592" s="195"/>
      <c r="I592" s="195"/>
      <c r="J592" s="203"/>
      <c r="K592" s="203"/>
      <c r="L592" s="32"/>
      <c r="M592" s="32"/>
      <c r="N592" s="33"/>
      <c r="O592" s="33"/>
      <c r="P592" s="32"/>
      <c r="Q592" s="32"/>
      <c r="R592" s="32"/>
      <c r="T592" s="23"/>
      <c r="V592" s="32"/>
      <c r="W592" s="32"/>
      <c r="X592" s="32"/>
      <c r="Y592" s="203"/>
      <c r="Z592" s="32"/>
      <c r="AA592" s="32"/>
      <c r="AB592" s="33"/>
      <c r="AC592" s="33"/>
      <c r="AD592" s="32"/>
      <c r="AE592" s="32"/>
      <c r="AF592" s="44"/>
      <c r="AG592" s="44"/>
      <c r="AH592" s="32"/>
      <c r="AI592" s="32"/>
      <c r="AJ592" s="32"/>
      <c r="AK592" s="32"/>
      <c r="AL592" s="33"/>
      <c r="AM592" s="33"/>
    </row>
    <row r="593" spans="1:39" x14ac:dyDescent="0.3">
      <c r="A593" s="22"/>
      <c r="C593" s="23"/>
      <c r="J593" s="62"/>
      <c r="K593" s="62"/>
      <c r="T593" s="23"/>
      <c r="V593" s="32"/>
      <c r="W593" s="32"/>
      <c r="X593" s="32"/>
      <c r="Y593" s="203"/>
    </row>
    <row r="594" spans="1:39" x14ac:dyDescent="0.3">
      <c r="A594" s="22"/>
      <c r="C594" s="23"/>
      <c r="F594" s="195"/>
      <c r="H594" s="195"/>
      <c r="I594" s="195"/>
      <c r="J594" s="203"/>
      <c r="K594" s="203"/>
      <c r="L594" s="32"/>
      <c r="M594" s="32"/>
      <c r="N594" s="33"/>
      <c r="O594" s="33"/>
      <c r="P594" s="32"/>
      <c r="Q594" s="32"/>
      <c r="R594" s="32"/>
      <c r="T594" s="23"/>
      <c r="V594" s="32"/>
      <c r="W594" s="32"/>
      <c r="X594" s="32"/>
      <c r="Y594" s="203"/>
      <c r="Z594" s="32"/>
      <c r="AA594" s="32"/>
      <c r="AB594" s="33"/>
      <c r="AC594" s="33"/>
      <c r="AD594" s="32"/>
      <c r="AE594" s="32"/>
      <c r="AF594" s="44"/>
      <c r="AG594" s="44"/>
      <c r="AH594" s="32"/>
      <c r="AI594" s="32"/>
      <c r="AJ594" s="32"/>
      <c r="AK594" s="32"/>
      <c r="AL594" s="33"/>
      <c r="AM594" s="33"/>
    </row>
    <row r="595" spans="1:39" x14ac:dyDescent="0.3">
      <c r="A595" s="22"/>
      <c r="C595" s="23"/>
      <c r="J595" s="62"/>
      <c r="K595" s="62"/>
      <c r="T595" s="23"/>
      <c r="V595" s="32"/>
      <c r="W595" s="32"/>
      <c r="X595" s="32"/>
      <c r="Y595" s="203"/>
    </row>
    <row r="596" spans="1:39" x14ac:dyDescent="0.3">
      <c r="A596" s="22"/>
      <c r="C596" s="23"/>
      <c r="F596" s="195"/>
      <c r="H596" s="195"/>
      <c r="I596" s="195"/>
      <c r="J596" s="203"/>
      <c r="K596" s="203"/>
      <c r="L596" s="32"/>
      <c r="M596" s="32"/>
      <c r="N596" s="33"/>
      <c r="O596" s="33"/>
      <c r="P596" s="32"/>
      <c r="Q596" s="32"/>
      <c r="R596" s="32"/>
      <c r="T596" s="23"/>
      <c r="V596" s="32"/>
      <c r="W596" s="32"/>
      <c r="X596" s="32"/>
      <c r="Y596" s="203"/>
      <c r="Z596" s="32"/>
      <c r="AA596" s="32"/>
      <c r="AB596" s="33"/>
      <c r="AC596" s="33"/>
      <c r="AD596" s="32"/>
      <c r="AE596" s="32"/>
      <c r="AF596" s="44"/>
      <c r="AG596" s="44"/>
      <c r="AH596" s="32"/>
      <c r="AI596" s="32"/>
      <c r="AJ596" s="32"/>
      <c r="AK596" s="32"/>
      <c r="AL596" s="33"/>
      <c r="AM596" s="33"/>
    </row>
    <row r="597" spans="1:39" x14ac:dyDescent="0.3">
      <c r="A597" s="22"/>
      <c r="C597" s="23"/>
      <c r="J597" s="62"/>
      <c r="K597" s="62"/>
      <c r="T597" s="23"/>
      <c r="V597" s="32"/>
      <c r="W597" s="32"/>
      <c r="X597" s="32"/>
      <c r="Y597" s="203"/>
    </row>
    <row r="598" spans="1:39" x14ac:dyDescent="0.3">
      <c r="A598" s="22"/>
      <c r="C598" s="23"/>
      <c r="F598" s="195"/>
      <c r="H598" s="195"/>
      <c r="I598" s="195"/>
      <c r="J598" s="203"/>
      <c r="K598" s="203"/>
      <c r="L598" s="32"/>
      <c r="M598" s="32"/>
      <c r="N598" s="33"/>
      <c r="O598" s="33"/>
      <c r="P598" s="32"/>
      <c r="Q598" s="32"/>
      <c r="R598" s="32"/>
      <c r="T598" s="23"/>
      <c r="V598" s="32"/>
      <c r="W598" s="32"/>
      <c r="X598" s="32"/>
      <c r="Y598" s="203"/>
      <c r="Z598" s="32"/>
      <c r="AA598" s="32"/>
      <c r="AB598" s="33"/>
      <c r="AC598" s="33"/>
      <c r="AD598" s="32"/>
      <c r="AE598" s="32"/>
      <c r="AF598" s="44"/>
      <c r="AG598" s="44"/>
      <c r="AH598" s="32"/>
      <c r="AI598" s="32"/>
      <c r="AJ598" s="32"/>
      <c r="AK598" s="32"/>
      <c r="AL598" s="33"/>
      <c r="AM598" s="33"/>
    </row>
    <row r="599" spans="1:39" x14ac:dyDescent="0.3">
      <c r="A599" s="22"/>
      <c r="C599" s="23"/>
      <c r="J599" s="62"/>
      <c r="K599" s="62"/>
      <c r="T599" s="23"/>
      <c r="V599" s="32"/>
      <c r="W599" s="32"/>
      <c r="X599" s="32"/>
      <c r="Y599" s="203"/>
    </row>
    <row r="600" spans="1:39" x14ac:dyDescent="0.3">
      <c r="A600" s="22"/>
      <c r="C600" s="23"/>
      <c r="F600" s="195"/>
      <c r="H600" s="195"/>
      <c r="I600" s="195"/>
      <c r="J600" s="203"/>
      <c r="K600" s="203"/>
      <c r="L600" s="32"/>
      <c r="M600" s="32"/>
      <c r="N600" s="33"/>
      <c r="O600" s="33"/>
      <c r="P600" s="32"/>
      <c r="Q600" s="32"/>
      <c r="R600" s="32"/>
      <c r="T600" s="23"/>
      <c r="V600" s="32"/>
      <c r="W600" s="32"/>
      <c r="X600" s="32"/>
      <c r="Y600" s="203"/>
      <c r="Z600" s="32"/>
      <c r="AA600" s="32"/>
      <c r="AB600" s="33"/>
      <c r="AC600" s="33"/>
      <c r="AD600" s="32"/>
      <c r="AE600" s="32"/>
      <c r="AF600" s="44"/>
      <c r="AG600" s="44"/>
      <c r="AH600" s="32"/>
      <c r="AI600" s="32"/>
      <c r="AJ600" s="32"/>
      <c r="AK600" s="32"/>
      <c r="AL600" s="33"/>
      <c r="AM600" s="33"/>
    </row>
    <row r="601" spans="1:39" x14ac:dyDescent="0.3">
      <c r="F601" s="34"/>
      <c r="H601" s="34"/>
      <c r="I601" s="34"/>
      <c r="J601" s="203"/>
      <c r="K601" s="203"/>
      <c r="L601" s="34"/>
      <c r="M601" s="34"/>
      <c r="N601" s="34"/>
      <c r="O601" s="34"/>
      <c r="P601" s="34"/>
      <c r="Q601" s="34"/>
      <c r="R601" s="34"/>
      <c r="V601" s="34"/>
      <c r="X601" s="34"/>
      <c r="Y601" s="203"/>
      <c r="Z601" s="34"/>
      <c r="AA601" s="34"/>
      <c r="AB601" s="34"/>
      <c r="AC601" s="34"/>
      <c r="AD601" s="34"/>
      <c r="AE601" s="34"/>
      <c r="AH601" s="34"/>
      <c r="AI601" s="34"/>
      <c r="AJ601" s="34"/>
      <c r="AK601" s="34"/>
      <c r="AL601" s="33"/>
      <c r="AM601" s="33"/>
    </row>
    <row r="602" spans="1:39" x14ac:dyDescent="0.3">
      <c r="A602" s="22"/>
      <c r="C602" s="23"/>
      <c r="F602" s="32"/>
      <c r="H602" s="32"/>
      <c r="I602" s="32"/>
      <c r="J602" s="62"/>
      <c r="K602" s="62"/>
      <c r="L602" s="32"/>
      <c r="M602" s="32"/>
      <c r="N602" s="33"/>
      <c r="O602" s="33"/>
      <c r="P602" s="195"/>
      <c r="Q602" s="195"/>
      <c r="R602" s="32"/>
      <c r="T602" s="23"/>
      <c r="V602" s="32"/>
      <c r="W602" s="32"/>
      <c r="X602" s="32"/>
      <c r="Y602" s="203"/>
      <c r="Z602" s="32"/>
      <c r="AA602" s="32"/>
      <c r="AB602" s="33"/>
      <c r="AC602" s="33"/>
      <c r="AD602" s="32"/>
      <c r="AE602" s="32"/>
      <c r="AF602" s="44"/>
      <c r="AG602" s="44"/>
      <c r="AH602" s="195"/>
      <c r="AI602" s="195"/>
      <c r="AJ602" s="32"/>
      <c r="AK602" s="32"/>
      <c r="AL602" s="33"/>
      <c r="AM602" s="33"/>
    </row>
    <row r="603" spans="1:39" x14ac:dyDescent="0.3">
      <c r="F603" s="34"/>
      <c r="H603" s="34"/>
      <c r="I603" s="34"/>
      <c r="J603" s="203"/>
      <c r="K603" s="203"/>
      <c r="L603" s="34"/>
      <c r="M603" s="34"/>
      <c r="N603" s="34"/>
      <c r="O603" s="34"/>
      <c r="P603" s="34"/>
      <c r="Q603" s="34"/>
      <c r="R603" s="34"/>
      <c r="V603" s="34"/>
      <c r="X603" s="34"/>
      <c r="Y603" s="203"/>
      <c r="Z603" s="34"/>
      <c r="AA603" s="34"/>
      <c r="AB603" s="34"/>
      <c r="AC603" s="34"/>
      <c r="AD603" s="34"/>
      <c r="AE603" s="34"/>
      <c r="AH603" s="34"/>
      <c r="AI603" s="34"/>
      <c r="AJ603" s="34"/>
      <c r="AK603" s="34"/>
    </row>
    <row r="604" spans="1:39" x14ac:dyDescent="0.3">
      <c r="A604" s="22"/>
      <c r="C604" s="23"/>
      <c r="D604" s="23"/>
      <c r="E604" s="23"/>
      <c r="J604" s="62"/>
      <c r="K604" s="62"/>
      <c r="T604" s="23"/>
      <c r="U604" s="23"/>
      <c r="V604" s="32"/>
      <c r="W604" s="32"/>
      <c r="X604" s="32"/>
      <c r="Y604" s="203"/>
    </row>
    <row r="605" spans="1:39" x14ac:dyDescent="0.3">
      <c r="A605" s="22"/>
      <c r="C605" s="23"/>
      <c r="J605" s="62"/>
      <c r="K605" s="62"/>
      <c r="T605" s="23"/>
      <c r="V605" s="32"/>
      <c r="W605" s="32"/>
      <c r="X605" s="32"/>
      <c r="Y605" s="203"/>
    </row>
    <row r="606" spans="1:39" x14ac:dyDescent="0.3">
      <c r="A606" s="22"/>
      <c r="C606" s="23"/>
      <c r="J606" s="62"/>
      <c r="K606" s="62"/>
      <c r="T606" s="23"/>
      <c r="V606" s="32"/>
      <c r="W606" s="32"/>
      <c r="X606" s="32"/>
      <c r="Y606" s="203"/>
    </row>
    <row r="607" spans="1:39" x14ac:dyDescent="0.3">
      <c r="A607" s="22"/>
      <c r="C607" s="23"/>
      <c r="F607" s="195"/>
      <c r="H607" s="195"/>
      <c r="I607" s="195"/>
      <c r="J607" s="203"/>
      <c r="K607" s="203"/>
      <c r="L607" s="32"/>
      <c r="M607" s="32"/>
      <c r="N607" s="33"/>
      <c r="O607" s="33"/>
      <c r="P607" s="32"/>
      <c r="Q607" s="32"/>
      <c r="R607" s="32"/>
      <c r="T607" s="23"/>
      <c r="V607" s="32"/>
      <c r="W607" s="32"/>
      <c r="X607" s="32"/>
      <c r="Y607" s="203"/>
      <c r="Z607" s="32"/>
      <c r="AA607" s="32"/>
      <c r="AB607" s="33"/>
      <c r="AC607" s="33"/>
      <c r="AD607" s="32"/>
      <c r="AE607" s="32"/>
      <c r="AF607" s="44"/>
      <c r="AG607" s="44"/>
      <c r="AH607" s="32"/>
      <c r="AI607" s="32"/>
      <c r="AJ607" s="32"/>
      <c r="AK607" s="32"/>
      <c r="AL607" s="33"/>
      <c r="AM607" s="33"/>
    </row>
    <row r="608" spans="1:39" x14ac:dyDescent="0.3">
      <c r="A608" s="22"/>
      <c r="C608" s="23"/>
      <c r="J608" s="62"/>
      <c r="K608" s="62"/>
      <c r="T608" s="23"/>
      <c r="V608" s="32"/>
      <c r="W608" s="32"/>
      <c r="X608" s="32"/>
      <c r="Y608" s="203"/>
    </row>
    <row r="609" spans="1:39" x14ac:dyDescent="0.3">
      <c r="A609" s="22"/>
      <c r="C609" s="23"/>
      <c r="F609" s="195"/>
      <c r="H609" s="195"/>
      <c r="I609" s="195"/>
      <c r="J609" s="203"/>
      <c r="K609" s="203"/>
      <c r="L609" s="32"/>
      <c r="M609" s="32"/>
      <c r="N609" s="33"/>
      <c r="O609" s="33"/>
      <c r="P609" s="32"/>
      <c r="Q609" s="32"/>
      <c r="R609" s="32"/>
      <c r="T609" s="23"/>
      <c r="V609" s="32"/>
      <c r="W609" s="32"/>
      <c r="X609" s="32"/>
      <c r="Y609" s="203"/>
      <c r="Z609" s="32"/>
      <c r="AA609" s="32"/>
      <c r="AB609" s="33"/>
      <c r="AC609" s="33"/>
      <c r="AD609" s="32"/>
      <c r="AE609" s="32"/>
      <c r="AF609" s="44"/>
      <c r="AG609" s="44"/>
      <c r="AH609" s="32"/>
      <c r="AI609" s="32"/>
      <c r="AJ609" s="32"/>
      <c r="AK609" s="32"/>
      <c r="AL609" s="33"/>
      <c r="AM609" s="33"/>
    </row>
    <row r="610" spans="1:39" x14ac:dyDescent="0.3">
      <c r="F610" s="34"/>
      <c r="H610" s="34"/>
      <c r="I610" s="34"/>
      <c r="J610" s="203"/>
      <c r="K610" s="203"/>
      <c r="L610" s="34"/>
      <c r="M610" s="34"/>
      <c r="N610" s="34"/>
      <c r="O610" s="34"/>
      <c r="P610" s="34"/>
      <c r="Q610" s="34"/>
      <c r="R610" s="34"/>
      <c r="V610" s="34"/>
      <c r="X610" s="34"/>
      <c r="Y610" s="198"/>
      <c r="Z610" s="34"/>
      <c r="AA610" s="34"/>
      <c r="AB610" s="34"/>
      <c r="AC610" s="34"/>
      <c r="AD610" s="34"/>
      <c r="AE610" s="34"/>
      <c r="AH610" s="34"/>
      <c r="AI610" s="34"/>
      <c r="AJ610" s="34"/>
      <c r="AK610" s="34"/>
    </row>
    <row r="611" spans="1:39" x14ac:dyDescent="0.3">
      <c r="A611" s="22"/>
      <c r="C611" s="23"/>
      <c r="F611" s="32"/>
      <c r="H611" s="32"/>
      <c r="I611" s="32"/>
      <c r="L611" s="32"/>
      <c r="M611" s="32"/>
      <c r="N611" s="33"/>
      <c r="O611" s="33"/>
      <c r="P611" s="195"/>
      <c r="Q611" s="195"/>
      <c r="R611" s="32"/>
      <c r="T611" s="23"/>
      <c r="V611" s="32"/>
      <c r="W611" s="32"/>
      <c r="X611" s="32"/>
      <c r="Y611" s="206"/>
      <c r="Z611" s="32"/>
      <c r="AA611" s="32"/>
      <c r="AB611" s="33"/>
      <c r="AC611" s="33"/>
      <c r="AD611" s="32"/>
      <c r="AE611" s="32"/>
      <c r="AF611" s="44"/>
      <c r="AG611" s="44"/>
      <c r="AH611" s="195"/>
      <c r="AI611" s="195"/>
      <c r="AJ611" s="32"/>
      <c r="AK611" s="32"/>
      <c r="AL611" s="33"/>
      <c r="AM611" s="33"/>
    </row>
    <row r="612" spans="1:39" x14ac:dyDescent="0.3">
      <c r="F612" s="34"/>
      <c r="H612" s="34"/>
      <c r="I612" s="34"/>
      <c r="J612" s="198"/>
      <c r="K612" s="198"/>
      <c r="L612" s="34"/>
      <c r="M612" s="34"/>
      <c r="N612" s="34"/>
      <c r="O612" s="34"/>
      <c r="P612" s="34"/>
      <c r="Q612" s="34"/>
      <c r="R612" s="34"/>
      <c r="V612" s="34"/>
      <c r="X612" s="34"/>
      <c r="Y612" s="198"/>
      <c r="Z612" s="34"/>
      <c r="AA612" s="34"/>
      <c r="AB612" s="34"/>
      <c r="AC612" s="34"/>
      <c r="AD612" s="34"/>
      <c r="AE612" s="34"/>
      <c r="AH612" s="34"/>
      <c r="AI612" s="34"/>
      <c r="AJ612" s="34"/>
      <c r="AK612" s="34"/>
    </row>
    <row r="613" spans="1:39" x14ac:dyDescent="0.3">
      <c r="A613" s="22"/>
      <c r="C613" s="23"/>
      <c r="D613" s="23"/>
      <c r="E613" s="23"/>
      <c r="T613" s="23"/>
      <c r="U613" s="23"/>
      <c r="V613" s="32"/>
      <c r="W613" s="32"/>
      <c r="X613" s="32"/>
      <c r="Y613" s="206"/>
    </row>
    <row r="614" spans="1:39" x14ac:dyDescent="0.3">
      <c r="A614" s="22"/>
      <c r="C614" s="23"/>
      <c r="T614" s="23"/>
      <c r="V614" s="32"/>
      <c r="W614" s="32"/>
      <c r="X614" s="32"/>
      <c r="Y614" s="206"/>
    </row>
    <row r="615" spans="1:39" x14ac:dyDescent="0.3">
      <c r="A615" s="22"/>
      <c r="C615" s="23"/>
      <c r="F615" s="195"/>
      <c r="H615" s="195"/>
      <c r="I615" s="195"/>
      <c r="J615" s="206"/>
      <c r="K615" s="206"/>
      <c r="L615" s="32"/>
      <c r="M615" s="32"/>
      <c r="N615" s="33"/>
      <c r="O615" s="33"/>
      <c r="P615" s="32"/>
      <c r="Q615" s="32"/>
      <c r="R615" s="32"/>
      <c r="T615" s="23"/>
      <c r="V615" s="32"/>
      <c r="W615" s="32"/>
      <c r="X615" s="32"/>
      <c r="Y615" s="206"/>
      <c r="Z615" s="32"/>
      <c r="AA615" s="32"/>
      <c r="AB615" s="33"/>
      <c r="AC615" s="33"/>
      <c r="AD615" s="32"/>
      <c r="AE615" s="32"/>
      <c r="AF615" s="44"/>
      <c r="AG615" s="44"/>
      <c r="AH615" s="32"/>
      <c r="AI615" s="32"/>
      <c r="AJ615" s="32"/>
      <c r="AK615" s="32"/>
      <c r="AL615" s="33"/>
      <c r="AM615" s="33"/>
    </row>
    <row r="616" spans="1:39" x14ac:dyDescent="0.3">
      <c r="A616" s="22"/>
      <c r="C616" s="23"/>
      <c r="T616" s="23"/>
      <c r="V616" s="32"/>
      <c r="W616" s="32"/>
      <c r="X616" s="32"/>
      <c r="Y616" s="206"/>
    </row>
    <row r="617" spans="1:39" x14ac:dyDescent="0.3">
      <c r="A617" s="22"/>
      <c r="C617" s="23"/>
      <c r="F617" s="195"/>
      <c r="H617" s="195"/>
      <c r="I617" s="195"/>
      <c r="J617" s="206"/>
      <c r="K617" s="206"/>
      <c r="L617" s="32"/>
      <c r="M617" s="32"/>
      <c r="N617" s="33"/>
      <c r="O617" s="33"/>
      <c r="P617" s="32"/>
      <c r="Q617" s="32"/>
      <c r="R617" s="32"/>
      <c r="T617" s="23"/>
      <c r="V617" s="32"/>
      <c r="W617" s="32"/>
      <c r="X617" s="32"/>
      <c r="Y617" s="206"/>
      <c r="Z617" s="32"/>
      <c r="AA617" s="32"/>
      <c r="AB617" s="33"/>
      <c r="AC617" s="33"/>
      <c r="AD617" s="32"/>
      <c r="AE617" s="32"/>
      <c r="AF617" s="44"/>
      <c r="AG617" s="44"/>
      <c r="AH617" s="32"/>
      <c r="AI617" s="32"/>
      <c r="AJ617" s="32"/>
      <c r="AK617" s="32"/>
      <c r="AL617" s="33"/>
      <c r="AM617" s="33"/>
    </row>
    <row r="618" spans="1:39" x14ac:dyDescent="0.3">
      <c r="A618" s="22"/>
      <c r="C618" s="23"/>
      <c r="T618" s="23"/>
      <c r="V618" s="32"/>
      <c r="W618" s="32"/>
      <c r="X618" s="32"/>
      <c r="Y618" s="206"/>
    </row>
    <row r="619" spans="1:39" x14ac:dyDescent="0.3">
      <c r="A619" s="22"/>
      <c r="C619" s="23"/>
      <c r="F619" s="195"/>
      <c r="H619" s="195"/>
      <c r="I619" s="195"/>
      <c r="J619" s="206"/>
      <c r="K619" s="206"/>
      <c r="L619" s="32"/>
      <c r="M619" s="32"/>
      <c r="N619" s="33"/>
      <c r="O619" s="33"/>
      <c r="P619" s="32"/>
      <c r="Q619" s="32"/>
      <c r="R619" s="32"/>
      <c r="T619" s="23"/>
      <c r="V619" s="32"/>
      <c r="W619" s="32"/>
      <c r="X619" s="32"/>
      <c r="Y619" s="206"/>
      <c r="Z619" s="32"/>
      <c r="AA619" s="32"/>
      <c r="AB619" s="33"/>
      <c r="AC619" s="33"/>
      <c r="AD619" s="32"/>
      <c r="AE619" s="32"/>
      <c r="AF619" s="44"/>
      <c r="AG619" s="44"/>
      <c r="AH619" s="32"/>
      <c r="AI619" s="32"/>
      <c r="AJ619" s="32"/>
      <c r="AK619" s="32"/>
      <c r="AL619" s="33"/>
      <c r="AM619" s="33"/>
    </row>
    <row r="620" spans="1:39" x14ac:dyDescent="0.3">
      <c r="A620" s="22"/>
      <c r="C620" s="23"/>
      <c r="T620" s="23"/>
      <c r="V620" s="32"/>
      <c r="W620" s="32"/>
      <c r="X620" s="32"/>
      <c r="Y620" s="206"/>
    </row>
    <row r="621" spans="1:39" x14ac:dyDescent="0.3">
      <c r="A621" s="22"/>
      <c r="C621" s="23"/>
      <c r="F621" s="195"/>
      <c r="H621" s="195"/>
      <c r="I621" s="195"/>
      <c r="J621" s="206"/>
      <c r="K621" s="206"/>
      <c r="L621" s="32"/>
      <c r="M621" s="32"/>
      <c r="N621" s="33"/>
      <c r="O621" s="33"/>
      <c r="P621" s="32"/>
      <c r="Q621" s="32"/>
      <c r="R621" s="32"/>
      <c r="T621" s="23"/>
      <c r="V621" s="32"/>
      <c r="W621" s="32"/>
      <c r="X621" s="32"/>
      <c r="Y621" s="206"/>
      <c r="Z621" s="32"/>
      <c r="AA621" s="32"/>
      <c r="AB621" s="33"/>
      <c r="AC621" s="33"/>
      <c r="AD621" s="32"/>
      <c r="AE621" s="32"/>
      <c r="AF621" s="44"/>
      <c r="AG621" s="44"/>
      <c r="AH621" s="32"/>
      <c r="AI621" s="32"/>
      <c r="AJ621" s="32"/>
      <c r="AK621" s="32"/>
      <c r="AL621" s="33"/>
      <c r="AM621" s="33"/>
    </row>
    <row r="622" spans="1:39" x14ac:dyDescent="0.3">
      <c r="F622" s="34"/>
      <c r="H622" s="34"/>
      <c r="I622" s="34"/>
      <c r="J622" s="198"/>
      <c r="K622" s="198"/>
      <c r="L622" s="34"/>
      <c r="M622" s="34"/>
      <c r="N622" s="34"/>
      <c r="O622" s="34"/>
      <c r="P622" s="34"/>
      <c r="Q622" s="34"/>
      <c r="R622" s="34"/>
      <c r="V622" s="34"/>
      <c r="X622" s="34"/>
      <c r="Y622" s="198"/>
      <c r="Z622" s="34"/>
      <c r="AA622" s="34"/>
      <c r="AB622" s="34"/>
      <c r="AC622" s="34"/>
      <c r="AD622" s="34"/>
      <c r="AE622" s="34"/>
      <c r="AH622" s="34"/>
      <c r="AI622" s="34"/>
      <c r="AJ622" s="34"/>
      <c r="AK622" s="34"/>
    </row>
    <row r="623" spans="1:39" x14ac:dyDescent="0.3">
      <c r="A623" s="22"/>
      <c r="C623" s="23"/>
      <c r="F623" s="32"/>
      <c r="H623" s="32"/>
      <c r="I623" s="32"/>
      <c r="L623" s="32"/>
      <c r="M623" s="32"/>
      <c r="N623" s="33"/>
      <c r="O623" s="33"/>
      <c r="P623" s="195"/>
      <c r="Q623" s="195"/>
      <c r="R623" s="32"/>
      <c r="T623" s="23"/>
      <c r="V623" s="32"/>
      <c r="W623" s="32"/>
      <c r="X623" s="32"/>
      <c r="Y623" s="206"/>
      <c r="Z623" s="32"/>
      <c r="AA623" s="32"/>
      <c r="AB623" s="33"/>
      <c r="AC623" s="33"/>
      <c r="AD623" s="32"/>
      <c r="AE623" s="32"/>
      <c r="AF623" s="44"/>
      <c r="AG623" s="44"/>
      <c r="AH623" s="195"/>
      <c r="AI623" s="195"/>
      <c r="AJ623" s="32"/>
      <c r="AK623" s="32"/>
      <c r="AL623" s="33"/>
      <c r="AM623" s="33"/>
    </row>
    <row r="624" spans="1:39" x14ac:dyDescent="0.3">
      <c r="F624" s="34"/>
      <c r="H624" s="34"/>
      <c r="I624" s="34"/>
      <c r="J624" s="198"/>
      <c r="K624" s="198"/>
      <c r="L624" s="34"/>
      <c r="M624" s="34"/>
      <c r="N624" s="34"/>
      <c r="O624" s="34"/>
      <c r="P624" s="34"/>
      <c r="Q624" s="34"/>
      <c r="R624" s="34"/>
      <c r="V624" s="34"/>
      <c r="X624" s="34"/>
      <c r="Y624" s="198"/>
      <c r="Z624" s="34"/>
      <c r="AA624" s="34"/>
      <c r="AB624" s="34"/>
      <c r="AC624" s="34"/>
      <c r="AD624" s="34"/>
      <c r="AE624" s="34"/>
      <c r="AH624" s="34"/>
      <c r="AI624" s="34"/>
      <c r="AJ624" s="34"/>
      <c r="AK624" s="34"/>
    </row>
    <row r="625" spans="1:39" x14ac:dyDescent="0.3">
      <c r="A625" s="22"/>
      <c r="C625" s="23"/>
      <c r="F625" s="32"/>
      <c r="H625" s="32"/>
      <c r="I625" s="32"/>
      <c r="L625" s="32"/>
      <c r="M625" s="32"/>
      <c r="N625" s="33"/>
      <c r="O625" s="33"/>
      <c r="P625" s="32"/>
      <c r="Q625" s="32"/>
      <c r="R625" s="32"/>
      <c r="T625" s="23"/>
      <c r="V625" s="32"/>
      <c r="W625" s="32"/>
      <c r="X625" s="32"/>
      <c r="Z625" s="32"/>
      <c r="AA625" s="32"/>
      <c r="AB625" s="33"/>
      <c r="AC625" s="33"/>
      <c r="AD625" s="32"/>
      <c r="AE625" s="32"/>
      <c r="AF625" s="44"/>
      <c r="AG625" s="44"/>
      <c r="AH625" s="32"/>
      <c r="AI625" s="32"/>
      <c r="AJ625" s="32"/>
      <c r="AK625" s="32"/>
      <c r="AL625" s="44"/>
      <c r="AM625" s="44"/>
    </row>
    <row r="626" spans="1:39" x14ac:dyDescent="0.3">
      <c r="F626" s="34"/>
      <c r="H626" s="34"/>
      <c r="I626" s="34"/>
      <c r="J626" s="198"/>
      <c r="K626" s="198"/>
      <c r="L626" s="34"/>
      <c r="M626" s="34"/>
      <c r="N626" s="34"/>
      <c r="O626" s="34"/>
      <c r="P626" s="34"/>
      <c r="Q626" s="34"/>
      <c r="R626" s="34"/>
      <c r="V626" s="34"/>
      <c r="X626" s="34"/>
      <c r="Y626" s="198"/>
      <c r="Z626" s="34"/>
      <c r="AA626" s="34"/>
      <c r="AB626" s="34"/>
      <c r="AC626" s="34"/>
      <c r="AD626" s="34"/>
      <c r="AE626" s="34"/>
      <c r="AH626" s="34"/>
      <c r="AI626" s="34"/>
      <c r="AJ626" s="34"/>
      <c r="AK626" s="34"/>
    </row>
    <row r="628" spans="1:39" x14ac:dyDescent="0.3">
      <c r="C628" s="22"/>
      <c r="T628" s="22"/>
    </row>
    <row r="629" spans="1:39" x14ac:dyDescent="0.3">
      <c r="A629" s="23"/>
    </row>
    <row r="630" spans="1:39" x14ac:dyDescent="0.3">
      <c r="J630" s="22"/>
      <c r="K630" s="22"/>
      <c r="Y630" s="22"/>
    </row>
    <row r="631" spans="1:39" x14ac:dyDescent="0.3">
      <c r="H631" s="23"/>
      <c r="I631" s="23"/>
      <c r="X631" s="23"/>
    </row>
    <row r="632" spans="1:39" x14ac:dyDescent="0.3">
      <c r="J632" s="22"/>
      <c r="K632" s="22"/>
      <c r="Y632" s="22"/>
    </row>
    <row r="633" spans="1:39" x14ac:dyDescent="0.3">
      <c r="L633" s="23"/>
      <c r="M633" s="23"/>
      <c r="Z633" s="23"/>
      <c r="AA633" s="23"/>
    </row>
    <row r="634" spans="1:39" x14ac:dyDescent="0.3">
      <c r="A634" s="22"/>
      <c r="R634" s="23"/>
      <c r="AJ634" s="23"/>
      <c r="AK634" s="23"/>
    </row>
    <row r="635" spans="1:39" x14ac:dyDescent="0.3">
      <c r="A635" s="22"/>
      <c r="R635" s="23"/>
      <c r="AJ635" s="23"/>
      <c r="AK635" s="23"/>
    </row>
    <row r="636" spans="1:39" x14ac:dyDescent="0.3">
      <c r="A636" s="23"/>
      <c r="R636" s="23"/>
      <c r="AJ636" s="23"/>
      <c r="AK636" s="23"/>
    </row>
    <row r="637" spans="1:39" x14ac:dyDescent="0.3">
      <c r="L637" s="23"/>
      <c r="M637" s="23"/>
      <c r="R637" s="22"/>
      <c r="Z637" s="23"/>
      <c r="AA637" s="23"/>
      <c r="AJ637" s="22"/>
      <c r="AK637" s="22"/>
    </row>
    <row r="638" spans="1:39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</row>
    <row r="639" spans="1:39" x14ac:dyDescent="0.3">
      <c r="L639" s="30"/>
      <c r="M639" s="30"/>
      <c r="N639" s="30"/>
      <c r="O639" s="30"/>
      <c r="R639" s="30"/>
      <c r="Z639" s="30"/>
      <c r="AA639" s="30"/>
      <c r="AB639" s="30"/>
      <c r="AC639" s="30"/>
      <c r="AD639" s="30"/>
      <c r="AE639" s="30"/>
      <c r="AF639" s="30"/>
      <c r="AG639" s="30"/>
      <c r="AJ639" s="30"/>
      <c r="AK639" s="30"/>
      <c r="AL639" s="30"/>
      <c r="AM639" s="30"/>
    </row>
    <row r="640" spans="1:39" x14ac:dyDescent="0.3">
      <c r="L640" s="30"/>
      <c r="M640" s="30"/>
      <c r="N640" s="30"/>
      <c r="O640" s="30"/>
      <c r="R640" s="30"/>
      <c r="Y640" s="30"/>
      <c r="Z640" s="30"/>
      <c r="AA640" s="30"/>
      <c r="AB640" s="30"/>
      <c r="AC640" s="30"/>
      <c r="AD640" s="30"/>
      <c r="AE640" s="30"/>
      <c r="AF640" s="30"/>
      <c r="AG640" s="30"/>
      <c r="AJ640" s="30"/>
      <c r="AK640" s="30"/>
      <c r="AL640" s="30"/>
      <c r="AM640" s="30"/>
    </row>
    <row r="641" spans="1:39" x14ac:dyDescent="0.3">
      <c r="A641" s="30"/>
      <c r="C641" s="30"/>
      <c r="D641" s="30"/>
      <c r="E641" s="30"/>
      <c r="F641" s="30"/>
      <c r="J641" s="30"/>
      <c r="K641" s="30"/>
      <c r="L641" s="30"/>
      <c r="M641" s="30"/>
      <c r="N641" s="30"/>
      <c r="O641" s="30"/>
      <c r="P641" s="30"/>
      <c r="Q641" s="30"/>
      <c r="R641" s="30"/>
      <c r="T641" s="30"/>
      <c r="U641" s="30"/>
      <c r="V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</row>
    <row r="642" spans="1:39" x14ac:dyDescent="0.3">
      <c r="A642" s="30"/>
      <c r="C642" s="30"/>
      <c r="D642" s="30"/>
      <c r="E642" s="30"/>
      <c r="F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T642" s="30"/>
      <c r="U642" s="30"/>
      <c r="V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</row>
    <row r="643" spans="1:39" x14ac:dyDescent="0.3">
      <c r="C643" s="30"/>
      <c r="D643" s="30"/>
      <c r="E643" s="30"/>
      <c r="F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T643" s="30"/>
      <c r="U643" s="30"/>
      <c r="V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</row>
    <row r="644" spans="1:39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</row>
    <row r="645" spans="1:39" x14ac:dyDescent="0.3"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</row>
    <row r="646" spans="1:39" x14ac:dyDescent="0.3">
      <c r="A646" s="22"/>
      <c r="C646" s="23"/>
      <c r="D646" s="23"/>
      <c r="E646" s="23"/>
      <c r="F646" s="32"/>
      <c r="H646" s="32"/>
      <c r="I646" s="32"/>
      <c r="J646" s="48"/>
      <c r="K646" s="48"/>
      <c r="L646" s="32"/>
      <c r="M646" s="32"/>
      <c r="N646" s="48"/>
      <c r="O646" s="48"/>
      <c r="P646" s="32"/>
      <c r="Q646" s="32"/>
      <c r="R646" s="32"/>
      <c r="T646" s="23"/>
      <c r="U646" s="23"/>
      <c r="V646" s="32"/>
      <c r="X646" s="32"/>
      <c r="Y646" s="48"/>
      <c r="Z646" s="32"/>
      <c r="AA646" s="32"/>
      <c r="AB646" s="48"/>
      <c r="AC646" s="48"/>
      <c r="AD646" s="32"/>
      <c r="AE646" s="32"/>
      <c r="AF646" s="44"/>
      <c r="AG646" s="44"/>
      <c r="AH646" s="32"/>
      <c r="AI646" s="32"/>
      <c r="AJ646" s="32"/>
      <c r="AK646" s="32"/>
      <c r="AL646" s="33"/>
      <c r="AM646" s="33"/>
    </row>
    <row r="647" spans="1:39" x14ac:dyDescent="0.3">
      <c r="F647" s="34"/>
      <c r="H647" s="34"/>
      <c r="I647" s="34"/>
      <c r="J647" s="198"/>
      <c r="K647" s="198"/>
      <c r="L647" s="34"/>
      <c r="M647" s="34"/>
      <c r="N647" s="34"/>
      <c r="O647" s="34"/>
      <c r="P647" s="34"/>
      <c r="Q647" s="34"/>
      <c r="R647" s="34"/>
      <c r="V647" s="34"/>
      <c r="X647" s="34"/>
      <c r="Y647" s="198"/>
      <c r="Z647" s="34"/>
      <c r="AA647" s="34"/>
      <c r="AB647" s="34"/>
      <c r="AC647" s="34"/>
      <c r="AD647" s="34"/>
      <c r="AE647" s="34"/>
      <c r="AH647" s="34"/>
      <c r="AI647" s="34"/>
      <c r="AJ647" s="34"/>
      <c r="AK647" s="34"/>
      <c r="AL647" s="33"/>
      <c r="AM647" s="33"/>
    </row>
    <row r="648" spans="1:39" x14ac:dyDescent="0.3">
      <c r="A648" s="22"/>
      <c r="C648" s="23"/>
      <c r="F648" s="32"/>
      <c r="H648" s="32"/>
      <c r="I648" s="32"/>
      <c r="J648" s="48"/>
      <c r="K648" s="48"/>
      <c r="L648" s="32"/>
      <c r="M648" s="32"/>
      <c r="N648" s="48"/>
      <c r="O648" s="48"/>
      <c r="P648" s="32"/>
      <c r="Q648" s="32"/>
      <c r="R648" s="32"/>
      <c r="T648" s="23"/>
      <c r="V648" s="32"/>
      <c r="X648" s="32"/>
      <c r="Y648" s="48"/>
      <c r="Z648" s="32"/>
      <c r="AA648" s="32"/>
      <c r="AB648" s="48"/>
      <c r="AC648" s="48"/>
      <c r="AD648" s="32"/>
      <c r="AE648" s="32"/>
      <c r="AF648" s="44"/>
      <c r="AG648" s="44"/>
      <c r="AH648" s="32"/>
      <c r="AI648" s="32"/>
      <c r="AJ648" s="32"/>
      <c r="AK648" s="32"/>
      <c r="AL648" s="33"/>
      <c r="AM648" s="33"/>
    </row>
    <row r="649" spans="1:39" x14ac:dyDescent="0.3">
      <c r="F649" s="32"/>
      <c r="H649" s="32"/>
      <c r="I649" s="32"/>
      <c r="J649" s="48"/>
      <c r="K649" s="48"/>
      <c r="L649" s="32"/>
      <c r="M649" s="32"/>
      <c r="N649" s="48"/>
      <c r="O649" s="48"/>
      <c r="P649" s="32"/>
      <c r="Q649" s="32"/>
      <c r="R649" s="32"/>
      <c r="V649" s="32"/>
      <c r="X649" s="32"/>
      <c r="Y649" s="48"/>
      <c r="Z649" s="32"/>
      <c r="AA649" s="32"/>
      <c r="AB649" s="48"/>
      <c r="AC649" s="48"/>
      <c r="AF649" s="44"/>
      <c r="AG649" s="44"/>
      <c r="AH649" s="32"/>
      <c r="AI649" s="32"/>
      <c r="AJ649" s="32"/>
      <c r="AK649" s="32"/>
      <c r="AL649" s="33"/>
      <c r="AM649" s="33"/>
    </row>
    <row r="650" spans="1:39" x14ac:dyDescent="0.3">
      <c r="A650" s="22"/>
      <c r="C650" s="23"/>
      <c r="D650" s="23"/>
      <c r="E650" s="23"/>
      <c r="F650" s="32"/>
      <c r="H650" s="32"/>
      <c r="I650" s="32"/>
      <c r="J650" s="48"/>
      <c r="K650" s="48"/>
      <c r="L650" s="32"/>
      <c r="M650" s="32"/>
      <c r="N650" s="48"/>
      <c r="O650" s="48"/>
      <c r="P650" s="32"/>
      <c r="Q650" s="32"/>
      <c r="R650" s="32"/>
      <c r="T650" s="23"/>
      <c r="U650" s="23"/>
      <c r="V650" s="32"/>
      <c r="X650" s="32"/>
      <c r="Y650" s="48"/>
      <c r="Z650" s="32"/>
      <c r="AA650" s="32"/>
      <c r="AB650" s="48"/>
      <c r="AC650" s="48"/>
      <c r="AD650" s="32"/>
      <c r="AE650" s="32"/>
      <c r="AF650" s="44"/>
      <c r="AG650" s="44"/>
      <c r="AH650" s="32"/>
      <c r="AI650" s="32"/>
      <c r="AJ650" s="32"/>
      <c r="AK650" s="32"/>
      <c r="AL650" s="33"/>
      <c r="AM650" s="33"/>
    </row>
    <row r="651" spans="1:39" x14ac:dyDescent="0.3">
      <c r="A651" s="22"/>
      <c r="C651" s="23"/>
      <c r="D651" s="23"/>
      <c r="E651" s="23"/>
      <c r="F651" s="32"/>
      <c r="H651" s="32"/>
      <c r="I651" s="32"/>
      <c r="J651" s="48"/>
      <c r="K651" s="48"/>
      <c r="L651" s="32"/>
      <c r="M651" s="32"/>
      <c r="N651" s="48"/>
      <c r="O651" s="48"/>
      <c r="P651" s="32"/>
      <c r="Q651" s="32"/>
      <c r="R651" s="32"/>
      <c r="T651" s="23"/>
      <c r="U651" s="23"/>
      <c r="V651" s="32"/>
      <c r="X651" s="32"/>
      <c r="Y651" s="48"/>
      <c r="Z651" s="32"/>
      <c r="AA651" s="32"/>
      <c r="AB651" s="48"/>
      <c r="AC651" s="48"/>
      <c r="AD651" s="32"/>
      <c r="AE651" s="32"/>
      <c r="AF651" s="44"/>
      <c r="AG651" s="44"/>
      <c r="AH651" s="32"/>
      <c r="AI651" s="32"/>
      <c r="AJ651" s="32"/>
      <c r="AK651" s="32"/>
      <c r="AL651" s="33"/>
      <c r="AM651" s="33"/>
    </row>
    <row r="652" spans="1:39" x14ac:dyDescent="0.3">
      <c r="A652" s="22"/>
      <c r="C652" s="23"/>
      <c r="D652" s="23"/>
      <c r="E652" s="23"/>
      <c r="F652" s="32"/>
      <c r="H652" s="32"/>
      <c r="I652" s="32"/>
      <c r="J652" s="48"/>
      <c r="K652" s="48"/>
      <c r="L652" s="32"/>
      <c r="M652" s="32"/>
      <c r="N652" s="48"/>
      <c r="O652" s="48"/>
      <c r="P652" s="32"/>
      <c r="Q652" s="32"/>
      <c r="R652" s="32"/>
      <c r="T652" s="23"/>
      <c r="U652" s="23"/>
      <c r="V652" s="32"/>
      <c r="X652" s="32"/>
      <c r="Y652" s="48"/>
      <c r="Z652" s="32"/>
      <c r="AA652" s="32"/>
      <c r="AB652" s="48"/>
      <c r="AC652" s="48"/>
      <c r="AD652" s="32"/>
      <c r="AE652" s="32"/>
      <c r="AF652" s="44"/>
      <c r="AG652" s="44"/>
      <c r="AH652" s="32"/>
      <c r="AI652" s="32"/>
      <c r="AJ652" s="32"/>
      <c r="AK652" s="32"/>
      <c r="AL652" s="33"/>
      <c r="AM652" s="33"/>
    </row>
    <row r="653" spans="1:39" x14ac:dyDescent="0.3">
      <c r="A653" s="22"/>
      <c r="C653" s="23"/>
      <c r="D653" s="23"/>
      <c r="E653" s="23"/>
      <c r="F653" s="32"/>
      <c r="H653" s="32"/>
      <c r="I653" s="32"/>
      <c r="J653" s="48"/>
      <c r="K653" s="48"/>
      <c r="L653" s="32"/>
      <c r="M653" s="32"/>
      <c r="N653" s="48"/>
      <c r="O653" s="48"/>
      <c r="P653" s="32"/>
      <c r="Q653" s="32"/>
      <c r="R653" s="32"/>
      <c r="T653" s="23"/>
      <c r="U653" s="23"/>
      <c r="V653" s="32"/>
      <c r="X653" s="32"/>
      <c r="Y653" s="48"/>
      <c r="Z653" s="32"/>
      <c r="AA653" s="32"/>
      <c r="AB653" s="48"/>
      <c r="AC653" s="48"/>
      <c r="AD653" s="32"/>
      <c r="AE653" s="32"/>
      <c r="AF653" s="44"/>
      <c r="AG653" s="44"/>
      <c r="AH653" s="32"/>
      <c r="AI653" s="32"/>
      <c r="AJ653" s="32"/>
      <c r="AK653" s="32"/>
      <c r="AL653" s="33"/>
      <c r="AM653" s="33"/>
    </row>
    <row r="654" spans="1:39" x14ac:dyDescent="0.3">
      <c r="A654" s="22"/>
      <c r="C654" s="23"/>
      <c r="D654" s="23"/>
      <c r="E654" s="23"/>
      <c r="F654" s="32"/>
      <c r="H654" s="32"/>
      <c r="I654" s="32"/>
      <c r="J654" s="48"/>
      <c r="K654" s="48"/>
      <c r="L654" s="32"/>
      <c r="M654" s="32"/>
      <c r="N654" s="48"/>
      <c r="O654" s="48"/>
      <c r="P654" s="32"/>
      <c r="Q654" s="32"/>
      <c r="R654" s="32"/>
      <c r="T654" s="23"/>
      <c r="U654" s="23"/>
      <c r="V654" s="32"/>
      <c r="X654" s="32"/>
      <c r="Y654" s="48"/>
      <c r="Z654" s="32"/>
      <c r="AA654" s="32"/>
      <c r="AB654" s="48"/>
      <c r="AC654" s="48"/>
      <c r="AD654" s="32"/>
      <c r="AE654" s="32"/>
      <c r="AF654" s="44"/>
      <c r="AG654" s="44"/>
      <c r="AH654" s="32"/>
      <c r="AI654" s="32"/>
      <c r="AJ654" s="32"/>
      <c r="AK654" s="32"/>
      <c r="AL654" s="33"/>
      <c r="AM654" s="33"/>
    </row>
    <row r="655" spans="1:39" x14ac:dyDescent="0.3">
      <c r="A655" s="22"/>
      <c r="C655" s="23"/>
      <c r="D655" s="23"/>
      <c r="E655" s="23"/>
      <c r="F655" s="32"/>
      <c r="H655" s="32"/>
      <c r="I655" s="32"/>
      <c r="J655" s="48"/>
      <c r="K655" s="48"/>
      <c r="L655" s="32"/>
      <c r="M655" s="32"/>
      <c r="N655" s="48"/>
      <c r="O655" s="48"/>
      <c r="P655" s="32"/>
      <c r="Q655" s="32"/>
      <c r="R655" s="32"/>
      <c r="T655" s="23"/>
      <c r="U655" s="23"/>
      <c r="V655" s="32"/>
      <c r="X655" s="32"/>
      <c r="Y655" s="48"/>
      <c r="Z655" s="32"/>
      <c r="AA655" s="32"/>
      <c r="AB655" s="48"/>
      <c r="AC655" s="48"/>
      <c r="AD655" s="32"/>
      <c r="AE655" s="32"/>
      <c r="AF655" s="44"/>
      <c r="AG655" s="44"/>
      <c r="AH655" s="32"/>
      <c r="AI655" s="32"/>
      <c r="AJ655" s="32"/>
      <c r="AK655" s="32"/>
      <c r="AL655" s="33"/>
      <c r="AM655" s="33"/>
    </row>
    <row r="656" spans="1:39" x14ac:dyDescent="0.3">
      <c r="F656" s="34"/>
      <c r="H656" s="34"/>
      <c r="I656" s="34"/>
      <c r="J656" s="198"/>
      <c r="K656" s="198"/>
      <c r="L656" s="34"/>
      <c r="M656" s="34"/>
      <c r="N656" s="34"/>
      <c r="O656" s="34"/>
      <c r="P656" s="34"/>
      <c r="Q656" s="34"/>
      <c r="R656" s="34"/>
      <c r="V656" s="34"/>
      <c r="X656" s="34"/>
      <c r="Y656" s="198"/>
      <c r="Z656" s="34"/>
      <c r="AA656" s="34"/>
      <c r="AB656" s="34"/>
      <c r="AC656" s="34"/>
      <c r="AD656" s="34"/>
      <c r="AE656" s="34"/>
      <c r="AH656" s="34"/>
      <c r="AI656" s="34"/>
      <c r="AJ656" s="34"/>
      <c r="AK656" s="34"/>
      <c r="AL656" s="33"/>
      <c r="AM656" s="33"/>
    </row>
    <row r="657" spans="1:39" x14ac:dyDescent="0.3">
      <c r="A657" s="22"/>
      <c r="C657" s="23"/>
      <c r="F657" s="32"/>
      <c r="H657" s="32"/>
      <c r="I657" s="32"/>
      <c r="J657" s="48"/>
      <c r="K657" s="48"/>
      <c r="L657" s="32"/>
      <c r="M657" s="32"/>
      <c r="N657" s="48"/>
      <c r="O657" s="48"/>
      <c r="P657" s="32"/>
      <c r="Q657" s="32"/>
      <c r="R657" s="32"/>
      <c r="T657" s="23"/>
      <c r="V657" s="32"/>
      <c r="X657" s="32"/>
      <c r="Y657" s="48"/>
      <c r="Z657" s="32"/>
      <c r="AA657" s="32"/>
      <c r="AB657" s="48"/>
      <c r="AC657" s="48"/>
      <c r="AD657" s="32"/>
      <c r="AE657" s="32"/>
      <c r="AF657" s="44"/>
      <c r="AG657" s="44"/>
      <c r="AH657" s="32"/>
      <c r="AI657" s="32"/>
      <c r="AJ657" s="32"/>
      <c r="AK657" s="32"/>
      <c r="AL657" s="33"/>
      <c r="AM657" s="33"/>
    </row>
    <row r="658" spans="1:39" x14ac:dyDescent="0.3">
      <c r="F658" s="32"/>
      <c r="H658" s="32"/>
      <c r="I658" s="32"/>
      <c r="J658" s="48"/>
      <c r="K658" s="48"/>
      <c r="L658" s="32"/>
      <c r="M658" s="32"/>
      <c r="N658" s="48"/>
      <c r="O658" s="48"/>
      <c r="P658" s="32"/>
      <c r="Q658" s="32"/>
      <c r="R658" s="32"/>
      <c r="V658" s="32"/>
      <c r="X658" s="32"/>
      <c r="Y658" s="48"/>
      <c r="Z658" s="32"/>
      <c r="AA658" s="32"/>
      <c r="AB658" s="48"/>
      <c r="AC658" s="48"/>
      <c r="AF658" s="44"/>
      <c r="AG658" s="44"/>
      <c r="AH658" s="32"/>
      <c r="AI658" s="32"/>
      <c r="AJ658" s="32"/>
      <c r="AK658" s="32"/>
      <c r="AL658" s="33"/>
      <c r="AM658" s="33"/>
    </row>
    <row r="659" spans="1:39" x14ac:dyDescent="0.3">
      <c r="A659" s="22"/>
      <c r="C659" s="23"/>
      <c r="D659" s="23"/>
      <c r="E659" s="23"/>
      <c r="F659" s="32"/>
      <c r="H659" s="32"/>
      <c r="I659" s="32"/>
      <c r="J659" s="48"/>
      <c r="K659" s="48"/>
      <c r="L659" s="32"/>
      <c r="M659" s="32"/>
      <c r="N659" s="48"/>
      <c r="O659" s="48"/>
      <c r="P659" s="32"/>
      <c r="Q659" s="32"/>
      <c r="R659" s="32"/>
      <c r="T659" s="23"/>
      <c r="U659" s="23"/>
      <c r="V659" s="32"/>
      <c r="X659" s="32"/>
      <c r="Y659" s="48"/>
      <c r="Z659" s="32"/>
      <c r="AA659" s="32"/>
      <c r="AB659" s="48"/>
      <c r="AC659" s="48"/>
      <c r="AD659" s="32"/>
      <c r="AE659" s="32"/>
      <c r="AF659" s="44"/>
      <c r="AG659" s="44"/>
      <c r="AH659" s="32"/>
      <c r="AI659" s="32"/>
      <c r="AJ659" s="32"/>
      <c r="AK659" s="32"/>
      <c r="AL659" s="33"/>
      <c r="AM659" s="33"/>
    </row>
    <row r="660" spans="1:39" x14ac:dyDescent="0.3">
      <c r="F660" s="34"/>
      <c r="H660" s="34"/>
      <c r="I660" s="34"/>
      <c r="J660" s="198"/>
      <c r="K660" s="198"/>
      <c r="L660" s="34"/>
      <c r="M660" s="34"/>
      <c r="N660" s="34"/>
      <c r="O660" s="34"/>
      <c r="P660" s="34"/>
      <c r="Q660" s="34"/>
      <c r="R660" s="34"/>
      <c r="V660" s="34"/>
      <c r="X660" s="34"/>
      <c r="Y660" s="198"/>
      <c r="Z660" s="34"/>
      <c r="AA660" s="34"/>
      <c r="AB660" s="34"/>
      <c r="AC660" s="34"/>
      <c r="AD660" s="34"/>
      <c r="AE660" s="34"/>
      <c r="AH660" s="34"/>
      <c r="AI660" s="34"/>
      <c r="AJ660" s="34"/>
      <c r="AK660" s="34"/>
      <c r="AL660" s="33"/>
      <c r="AM660" s="33"/>
    </row>
    <row r="661" spans="1:39" x14ac:dyDescent="0.3">
      <c r="A661" s="22"/>
      <c r="C661" s="23"/>
      <c r="F661" s="32"/>
      <c r="H661" s="32"/>
      <c r="I661" s="32"/>
      <c r="J661" s="48"/>
      <c r="K661" s="48"/>
      <c r="L661" s="32"/>
      <c r="M661" s="32"/>
      <c r="N661" s="48"/>
      <c r="O661" s="48"/>
      <c r="P661" s="32"/>
      <c r="Q661" s="32"/>
      <c r="R661" s="32"/>
      <c r="T661" s="23"/>
      <c r="V661" s="32"/>
      <c r="X661" s="32"/>
      <c r="Y661" s="48"/>
      <c r="Z661" s="32"/>
      <c r="AA661" s="32"/>
      <c r="AB661" s="48"/>
      <c r="AC661" s="48"/>
      <c r="AD661" s="32"/>
      <c r="AE661" s="32"/>
      <c r="AF661" s="44"/>
      <c r="AG661" s="44"/>
      <c r="AH661" s="32"/>
      <c r="AI661" s="32"/>
      <c r="AJ661" s="32"/>
      <c r="AK661" s="32"/>
      <c r="AL661" s="33"/>
      <c r="AM661" s="33"/>
    </row>
    <row r="662" spans="1:39" x14ac:dyDescent="0.3">
      <c r="F662" s="32"/>
      <c r="H662" s="32"/>
      <c r="I662" s="32"/>
      <c r="J662" s="48"/>
      <c r="K662" s="48"/>
      <c r="L662" s="32"/>
      <c r="M662" s="32"/>
      <c r="N662" s="48"/>
      <c r="O662" s="48"/>
      <c r="P662" s="32"/>
      <c r="Q662" s="32"/>
      <c r="R662" s="32"/>
      <c r="V662" s="32"/>
      <c r="X662" s="32"/>
      <c r="Y662" s="48"/>
      <c r="Z662" s="32"/>
      <c r="AA662" s="32"/>
      <c r="AB662" s="48"/>
      <c r="AC662" s="48"/>
      <c r="AF662" s="44"/>
      <c r="AG662" s="44"/>
      <c r="AH662" s="32"/>
      <c r="AI662" s="32"/>
      <c r="AJ662" s="32"/>
      <c r="AK662" s="32"/>
      <c r="AL662" s="33"/>
      <c r="AM662" s="33"/>
    </row>
    <row r="663" spans="1:39" x14ac:dyDescent="0.3">
      <c r="A663" s="22"/>
      <c r="C663" s="23"/>
      <c r="D663" s="23"/>
      <c r="E663" s="23"/>
      <c r="F663" s="32"/>
      <c r="H663" s="32"/>
      <c r="I663" s="32"/>
      <c r="J663" s="48"/>
      <c r="K663" s="48"/>
      <c r="L663" s="32"/>
      <c r="M663" s="32"/>
      <c r="N663" s="48"/>
      <c r="O663" s="48"/>
      <c r="P663" s="32"/>
      <c r="Q663" s="32"/>
      <c r="R663" s="32"/>
      <c r="T663" s="23"/>
      <c r="U663" s="23"/>
      <c r="V663" s="32"/>
      <c r="X663" s="32"/>
      <c r="Y663" s="48"/>
      <c r="Z663" s="32"/>
      <c r="AA663" s="32"/>
      <c r="AB663" s="48"/>
      <c r="AC663" s="48"/>
      <c r="AD663" s="32"/>
      <c r="AE663" s="32"/>
      <c r="AF663" s="44"/>
      <c r="AG663" s="44"/>
      <c r="AH663" s="32"/>
      <c r="AI663" s="32"/>
      <c r="AJ663" s="32"/>
      <c r="AK663" s="32"/>
      <c r="AL663" s="33"/>
      <c r="AM663" s="33"/>
    </row>
    <row r="664" spans="1:39" x14ac:dyDescent="0.3">
      <c r="A664" s="22"/>
      <c r="C664" s="23"/>
      <c r="D664" s="23"/>
      <c r="E664" s="23"/>
      <c r="F664" s="32"/>
      <c r="G664" s="32"/>
      <c r="H664" s="32"/>
      <c r="I664" s="32"/>
      <c r="J664" s="48"/>
      <c r="K664" s="48"/>
      <c r="L664" s="32"/>
      <c r="M664" s="32"/>
      <c r="N664" s="48"/>
      <c r="O664" s="48"/>
      <c r="P664" s="32"/>
      <c r="Q664" s="32"/>
      <c r="R664" s="32"/>
      <c r="T664" s="23"/>
      <c r="U664" s="23"/>
      <c r="V664" s="32"/>
      <c r="W664" s="32"/>
      <c r="X664" s="32"/>
      <c r="Y664" s="48"/>
      <c r="Z664" s="32"/>
      <c r="AA664" s="32"/>
      <c r="AB664" s="48"/>
      <c r="AC664" s="48"/>
      <c r="AD664" s="32"/>
      <c r="AE664" s="32"/>
      <c r="AF664" s="44"/>
      <c r="AG664" s="44"/>
      <c r="AH664" s="32"/>
      <c r="AI664" s="32"/>
      <c r="AJ664" s="32"/>
      <c r="AK664" s="32"/>
      <c r="AL664" s="33"/>
      <c r="AM664" s="33"/>
    </row>
    <row r="665" spans="1:39" x14ac:dyDescent="0.3">
      <c r="A665" s="22"/>
      <c r="C665" s="23"/>
      <c r="D665" s="23"/>
      <c r="E665" s="23"/>
      <c r="F665" s="32"/>
      <c r="G665" s="32"/>
      <c r="H665" s="32"/>
      <c r="I665" s="32"/>
      <c r="J665" s="48"/>
      <c r="K665" s="48"/>
      <c r="L665" s="32"/>
      <c r="M665" s="32"/>
      <c r="N665" s="48"/>
      <c r="O665" s="48"/>
      <c r="P665" s="32"/>
      <c r="Q665" s="32"/>
      <c r="R665" s="32"/>
      <c r="T665" s="23"/>
      <c r="U665" s="23"/>
      <c r="V665" s="32"/>
      <c r="W665" s="32"/>
      <c r="X665" s="32"/>
      <c r="Y665" s="48"/>
      <c r="Z665" s="32"/>
      <c r="AA665" s="32"/>
      <c r="AB665" s="48"/>
      <c r="AC665" s="48"/>
      <c r="AD665" s="32"/>
      <c r="AE665" s="32"/>
      <c r="AF665" s="44"/>
      <c r="AG665" s="44"/>
      <c r="AH665" s="32"/>
      <c r="AI665" s="32"/>
      <c r="AJ665" s="32"/>
      <c r="AK665" s="32"/>
      <c r="AL665" s="33"/>
      <c r="AM665" s="33"/>
    </row>
    <row r="666" spans="1:39" x14ac:dyDescent="0.3">
      <c r="A666" s="22"/>
      <c r="C666" s="23"/>
      <c r="D666" s="23"/>
      <c r="E666" s="23"/>
      <c r="F666" s="32"/>
      <c r="H666" s="32"/>
      <c r="I666" s="32"/>
      <c r="J666" s="48"/>
      <c r="K666" s="48"/>
      <c r="L666" s="32"/>
      <c r="M666" s="32"/>
      <c r="N666" s="48"/>
      <c r="O666" s="48"/>
      <c r="P666" s="32"/>
      <c r="Q666" s="32"/>
      <c r="R666" s="32"/>
      <c r="T666" s="23"/>
      <c r="U666" s="23"/>
      <c r="V666" s="32"/>
      <c r="X666" s="32"/>
      <c r="Y666" s="48"/>
      <c r="Z666" s="32"/>
      <c r="AA666" s="32"/>
      <c r="AB666" s="48"/>
      <c r="AC666" s="48"/>
      <c r="AD666" s="32"/>
      <c r="AE666" s="32"/>
      <c r="AF666" s="44"/>
      <c r="AG666" s="44"/>
      <c r="AH666" s="32"/>
      <c r="AI666" s="32"/>
      <c r="AJ666" s="32"/>
      <c r="AK666" s="32"/>
      <c r="AL666" s="33"/>
      <c r="AM666" s="33"/>
    </row>
    <row r="667" spans="1:39" x14ac:dyDescent="0.3">
      <c r="A667" s="22"/>
      <c r="C667" s="23"/>
      <c r="D667" s="23"/>
      <c r="E667" s="23"/>
      <c r="F667" s="32"/>
      <c r="H667" s="32"/>
      <c r="I667" s="32"/>
      <c r="J667" s="48"/>
      <c r="K667" s="48"/>
      <c r="L667" s="32"/>
      <c r="M667" s="32"/>
      <c r="N667" s="48"/>
      <c r="O667" s="48"/>
      <c r="P667" s="32"/>
      <c r="Q667" s="32"/>
      <c r="R667" s="32"/>
      <c r="T667" s="23"/>
      <c r="U667" s="23"/>
      <c r="V667" s="32"/>
      <c r="X667" s="32"/>
      <c r="Y667" s="48"/>
      <c r="Z667" s="32"/>
      <c r="AA667" s="32"/>
      <c r="AB667" s="48"/>
      <c r="AC667" s="48"/>
      <c r="AD667" s="32"/>
      <c r="AE667" s="32"/>
      <c r="AF667" s="44"/>
      <c r="AG667" s="44"/>
      <c r="AH667" s="32"/>
      <c r="AI667" s="32"/>
      <c r="AJ667" s="32"/>
      <c r="AK667" s="32"/>
      <c r="AL667" s="33"/>
      <c r="AM667" s="33"/>
    </row>
    <row r="668" spans="1:39" x14ac:dyDescent="0.3">
      <c r="A668" s="22"/>
      <c r="C668" s="23"/>
      <c r="D668" s="23"/>
      <c r="E668" s="23"/>
      <c r="F668" s="32"/>
      <c r="H668" s="32"/>
      <c r="I668" s="32"/>
      <c r="J668" s="48"/>
      <c r="K668" s="48"/>
      <c r="L668" s="32"/>
      <c r="M668" s="32"/>
      <c r="N668" s="48"/>
      <c r="O668" s="48"/>
      <c r="P668" s="32"/>
      <c r="Q668" s="32"/>
      <c r="R668" s="32"/>
      <c r="T668" s="23"/>
      <c r="U668" s="23"/>
      <c r="V668" s="32"/>
      <c r="X668" s="32"/>
      <c r="Y668" s="48"/>
      <c r="Z668" s="32"/>
      <c r="AA668" s="32"/>
      <c r="AB668" s="48"/>
      <c r="AC668" s="48"/>
      <c r="AD668" s="32"/>
      <c r="AE668" s="32"/>
      <c r="AF668" s="44"/>
      <c r="AG668" s="44"/>
      <c r="AH668" s="32"/>
      <c r="AI668" s="32"/>
      <c r="AJ668" s="32"/>
      <c r="AK668" s="32"/>
      <c r="AL668" s="33"/>
      <c r="AM668" s="33"/>
    </row>
    <row r="669" spans="1:39" x14ac:dyDescent="0.3">
      <c r="A669" s="22"/>
      <c r="C669" s="23"/>
      <c r="D669" s="23"/>
      <c r="E669" s="23"/>
      <c r="F669" s="32"/>
      <c r="H669" s="32"/>
      <c r="I669" s="32"/>
      <c r="J669" s="48"/>
      <c r="K669" s="48"/>
      <c r="L669" s="32"/>
      <c r="M669" s="32"/>
      <c r="N669" s="48"/>
      <c r="O669" s="48"/>
      <c r="P669" s="32"/>
      <c r="Q669" s="32"/>
      <c r="R669" s="32"/>
      <c r="T669" s="23"/>
      <c r="U669" s="23"/>
      <c r="V669" s="32"/>
      <c r="X669" s="32"/>
      <c r="Y669" s="48"/>
      <c r="Z669" s="32"/>
      <c r="AA669" s="32"/>
      <c r="AB669" s="48"/>
      <c r="AC669" s="48"/>
      <c r="AD669" s="32"/>
      <c r="AE669" s="32"/>
      <c r="AF669" s="44"/>
      <c r="AG669" s="44"/>
      <c r="AH669" s="32"/>
      <c r="AI669" s="32"/>
      <c r="AJ669" s="32"/>
      <c r="AK669" s="32"/>
      <c r="AL669" s="33"/>
      <c r="AM669" s="33"/>
    </row>
    <row r="670" spans="1:39" x14ac:dyDescent="0.3">
      <c r="F670" s="34"/>
      <c r="H670" s="34"/>
      <c r="I670" s="34"/>
      <c r="J670" s="198"/>
      <c r="K670" s="198"/>
      <c r="L670" s="34"/>
      <c r="M670" s="34"/>
      <c r="N670" s="34"/>
      <c r="O670" s="34"/>
      <c r="P670" s="34"/>
      <c r="Q670" s="34"/>
      <c r="R670" s="34"/>
      <c r="V670" s="34"/>
      <c r="X670" s="34"/>
      <c r="Y670" s="198"/>
      <c r="Z670" s="34"/>
      <c r="AA670" s="34"/>
      <c r="AB670" s="34"/>
      <c r="AC670" s="34"/>
      <c r="AD670" s="34"/>
      <c r="AE670" s="34"/>
      <c r="AH670" s="34"/>
      <c r="AI670" s="34"/>
      <c r="AJ670" s="34"/>
      <c r="AK670" s="34"/>
      <c r="AL670" s="33"/>
      <c r="AM670" s="33"/>
    </row>
    <row r="671" spans="1:39" x14ac:dyDescent="0.3">
      <c r="A671" s="22"/>
      <c r="C671" s="23"/>
      <c r="F671" s="32"/>
      <c r="H671" s="32"/>
      <c r="I671" s="32"/>
      <c r="J671" s="48"/>
      <c r="K671" s="48"/>
      <c r="L671" s="32"/>
      <c r="M671" s="32"/>
      <c r="N671" s="48"/>
      <c r="O671" s="48"/>
      <c r="P671" s="32"/>
      <c r="Q671" s="32"/>
      <c r="R671" s="32"/>
      <c r="T671" s="23"/>
      <c r="V671" s="32"/>
      <c r="X671" s="32"/>
      <c r="Y671" s="48"/>
      <c r="Z671" s="32"/>
      <c r="AA671" s="32"/>
      <c r="AB671" s="48"/>
      <c r="AC671" s="48"/>
      <c r="AD671" s="32"/>
      <c r="AE671" s="32"/>
      <c r="AF671" s="44"/>
      <c r="AG671" s="44"/>
      <c r="AH671" s="32"/>
      <c r="AI671" s="32"/>
      <c r="AJ671" s="32"/>
      <c r="AK671" s="32"/>
      <c r="AL671" s="33"/>
      <c r="AM671" s="33"/>
    </row>
    <row r="672" spans="1:39" x14ac:dyDescent="0.3">
      <c r="V672" s="32"/>
      <c r="X672" s="32"/>
      <c r="Y672" s="198"/>
      <c r="Z672" s="32"/>
      <c r="AA672" s="32"/>
      <c r="AB672" s="32"/>
      <c r="AC672" s="32"/>
      <c r="AD672" s="32"/>
      <c r="AE672" s="32"/>
      <c r="AH672" s="32"/>
      <c r="AI672" s="32"/>
      <c r="AJ672" s="32"/>
      <c r="AK672" s="32"/>
      <c r="AL672" s="33"/>
      <c r="AM672" s="33"/>
    </row>
    <row r="673" spans="1:39" x14ac:dyDescent="0.3">
      <c r="A673" s="22"/>
      <c r="C673" s="23"/>
      <c r="D673" s="23"/>
      <c r="E673" s="23"/>
      <c r="L673" s="32"/>
      <c r="M673" s="32"/>
      <c r="N673" s="48"/>
      <c r="O673" s="48"/>
      <c r="P673" s="22"/>
      <c r="Q673" s="22"/>
      <c r="R673" s="32"/>
      <c r="T673" s="23"/>
      <c r="U673" s="23"/>
      <c r="Z673" s="32"/>
      <c r="AA673" s="32"/>
      <c r="AB673" s="48"/>
      <c r="AC673" s="48"/>
      <c r="AD673" s="32"/>
      <c r="AE673" s="32"/>
      <c r="AF673" s="44"/>
      <c r="AG673" s="44"/>
      <c r="AH673" s="22"/>
      <c r="AI673" s="22"/>
      <c r="AJ673" s="32"/>
      <c r="AK673" s="32"/>
      <c r="AL673" s="33"/>
      <c r="AM673" s="33"/>
    </row>
    <row r="674" spans="1:39" x14ac:dyDescent="0.3">
      <c r="A674" s="22"/>
      <c r="D674" s="23"/>
      <c r="E674" s="23"/>
      <c r="F674" s="195"/>
      <c r="H674" s="195"/>
      <c r="I674" s="195"/>
      <c r="J674" s="48"/>
      <c r="K674" s="48"/>
      <c r="L674" s="32"/>
      <c r="M674" s="32"/>
      <c r="N674" s="48"/>
      <c r="O674" s="48"/>
      <c r="P674" s="195"/>
      <c r="Q674" s="195"/>
      <c r="R674" s="32"/>
      <c r="U674" s="23"/>
      <c r="V674" s="32"/>
      <c r="X674" s="32"/>
      <c r="Y674" s="48"/>
      <c r="Z674" s="32"/>
      <c r="AA674" s="32"/>
      <c r="AB674" s="48"/>
      <c r="AC674" s="48"/>
      <c r="AD674" s="32"/>
      <c r="AE674" s="32"/>
      <c r="AF674" s="44"/>
      <c r="AG674" s="44"/>
      <c r="AH674" s="32"/>
      <c r="AI674" s="32"/>
      <c r="AJ674" s="32"/>
      <c r="AK674" s="32"/>
      <c r="AL674" s="33"/>
      <c r="AM674" s="33"/>
    </row>
    <row r="675" spans="1:39" x14ac:dyDescent="0.3">
      <c r="F675" s="34"/>
      <c r="H675" s="34"/>
      <c r="I675" s="34"/>
      <c r="J675" s="198"/>
      <c r="K675" s="198"/>
      <c r="L675" s="34"/>
      <c r="M675" s="34"/>
      <c r="N675" s="34"/>
      <c r="O675" s="34"/>
      <c r="P675" s="34"/>
      <c r="Q675" s="34"/>
      <c r="R675" s="34"/>
      <c r="V675" s="34"/>
      <c r="X675" s="34"/>
      <c r="Y675" s="198"/>
      <c r="Z675" s="34"/>
      <c r="AA675" s="34"/>
      <c r="AB675" s="34"/>
      <c r="AC675" s="34"/>
      <c r="AD675" s="34"/>
      <c r="AE675" s="34"/>
      <c r="AH675" s="34"/>
      <c r="AI675" s="34"/>
      <c r="AJ675" s="34"/>
      <c r="AK675" s="34"/>
      <c r="AL675" s="33"/>
      <c r="AM675" s="33"/>
    </row>
    <row r="676" spans="1:39" x14ac:dyDescent="0.3">
      <c r="A676" s="22"/>
      <c r="C676" s="23"/>
      <c r="F676" s="32"/>
      <c r="H676" s="32"/>
      <c r="I676" s="32"/>
      <c r="J676" s="48"/>
      <c r="K676" s="48"/>
      <c r="L676" s="32"/>
      <c r="M676" s="32"/>
      <c r="N676" s="48"/>
      <c r="O676" s="48"/>
      <c r="P676" s="32"/>
      <c r="Q676" s="32"/>
      <c r="R676" s="32"/>
      <c r="T676" s="23"/>
      <c r="V676" s="32"/>
      <c r="X676" s="32"/>
      <c r="Y676" s="48"/>
      <c r="Z676" s="32"/>
      <c r="AA676" s="32"/>
      <c r="AB676" s="48"/>
      <c r="AC676" s="48"/>
      <c r="AD676" s="32"/>
      <c r="AE676" s="32"/>
      <c r="AF676" s="44"/>
      <c r="AG676" s="44"/>
      <c r="AH676" s="32"/>
      <c r="AI676" s="32"/>
      <c r="AJ676" s="32"/>
      <c r="AK676" s="32"/>
      <c r="AL676" s="33"/>
      <c r="AM676" s="33"/>
    </row>
    <row r="677" spans="1:39" x14ac:dyDescent="0.3">
      <c r="F677" s="32"/>
      <c r="H677" s="32"/>
      <c r="I677" s="32"/>
      <c r="J677" s="48"/>
      <c r="K677" s="48"/>
      <c r="L677" s="32"/>
      <c r="M677" s="32"/>
      <c r="N677" s="48"/>
      <c r="O677" s="48"/>
      <c r="P677" s="32"/>
      <c r="Q677" s="32"/>
      <c r="R677" s="32"/>
      <c r="V677" s="32"/>
      <c r="X677" s="32"/>
      <c r="Y677" s="48"/>
      <c r="Z677" s="32"/>
      <c r="AA677" s="32"/>
      <c r="AB677" s="48"/>
      <c r="AC677" s="48"/>
      <c r="AF677" s="44"/>
      <c r="AG677" s="44"/>
      <c r="AH677" s="32"/>
      <c r="AI677" s="32"/>
      <c r="AJ677" s="32"/>
      <c r="AK677" s="32"/>
      <c r="AL677" s="33"/>
      <c r="AM677" s="33"/>
    </row>
    <row r="678" spans="1:39" x14ac:dyDescent="0.3">
      <c r="A678" s="22"/>
      <c r="D678" s="23"/>
      <c r="E678" s="23"/>
      <c r="F678" s="32"/>
      <c r="H678" s="32"/>
      <c r="I678" s="32"/>
      <c r="J678" s="48"/>
      <c r="K678" s="48"/>
      <c r="L678" s="195"/>
      <c r="M678" s="195"/>
      <c r="N678" s="48"/>
      <c r="O678" s="48"/>
      <c r="P678" s="32"/>
      <c r="Q678" s="32"/>
      <c r="R678" s="32"/>
      <c r="U678" s="23"/>
      <c r="V678" s="32"/>
      <c r="X678" s="32"/>
      <c r="Y678" s="48"/>
      <c r="Z678" s="195"/>
      <c r="AA678" s="195"/>
      <c r="AB678" s="48"/>
      <c r="AC678" s="48"/>
      <c r="AD678" s="32"/>
      <c r="AE678" s="32"/>
      <c r="AF678" s="44"/>
      <c r="AG678" s="44"/>
      <c r="AH678" s="32"/>
      <c r="AI678" s="32"/>
      <c r="AJ678" s="32"/>
      <c r="AK678" s="32"/>
      <c r="AL678" s="33"/>
      <c r="AM678" s="33"/>
    </row>
    <row r="679" spans="1:39" x14ac:dyDescent="0.3">
      <c r="A679" s="22"/>
      <c r="D679" s="23"/>
      <c r="E679" s="23"/>
      <c r="F679" s="32"/>
      <c r="H679" s="32"/>
      <c r="I679" s="32"/>
      <c r="J679" s="48"/>
      <c r="K679" s="48"/>
      <c r="L679" s="195"/>
      <c r="M679" s="195"/>
      <c r="N679" s="48"/>
      <c r="O679" s="48"/>
      <c r="P679" s="32"/>
      <c r="Q679" s="32"/>
      <c r="R679" s="32"/>
      <c r="U679" s="23"/>
      <c r="V679" s="32"/>
      <c r="X679" s="32"/>
      <c r="Y679" s="48"/>
      <c r="Z679" s="195"/>
      <c r="AA679" s="195"/>
      <c r="AB679" s="48"/>
      <c r="AC679" s="48"/>
      <c r="AD679" s="32"/>
      <c r="AE679" s="32"/>
      <c r="AF679" s="44"/>
      <c r="AG679" s="44"/>
      <c r="AH679" s="32"/>
      <c r="AI679" s="32"/>
      <c r="AJ679" s="32"/>
      <c r="AK679" s="32"/>
      <c r="AL679" s="33"/>
      <c r="AM679" s="33"/>
    </row>
    <row r="680" spans="1:39" x14ac:dyDescent="0.3">
      <c r="A680" s="22"/>
      <c r="D680" s="23"/>
      <c r="E680" s="23"/>
      <c r="F680" s="32"/>
      <c r="H680" s="32"/>
      <c r="I680" s="32"/>
      <c r="J680" s="48"/>
      <c r="K680" s="48"/>
      <c r="L680" s="195"/>
      <c r="M680" s="195"/>
      <c r="N680" s="48"/>
      <c r="O680" s="48"/>
      <c r="P680" s="32"/>
      <c r="Q680" s="32"/>
      <c r="R680" s="32"/>
      <c r="U680" s="23"/>
      <c r="V680" s="32"/>
      <c r="X680" s="32"/>
      <c r="Y680" s="48"/>
      <c r="Z680" s="195"/>
      <c r="AA680" s="195"/>
      <c r="AB680" s="48"/>
      <c r="AC680" s="48"/>
      <c r="AD680" s="32"/>
      <c r="AE680" s="32"/>
      <c r="AF680" s="44"/>
      <c r="AG680" s="44"/>
      <c r="AH680" s="32"/>
      <c r="AI680" s="32"/>
      <c r="AJ680" s="32"/>
      <c r="AK680" s="32"/>
      <c r="AL680" s="33"/>
      <c r="AM680" s="33"/>
    </row>
    <row r="681" spans="1:39" x14ac:dyDescent="0.3">
      <c r="F681" s="34"/>
      <c r="H681" s="34"/>
      <c r="I681" s="34"/>
      <c r="J681" s="198"/>
      <c r="K681" s="198"/>
      <c r="L681" s="34"/>
      <c r="M681" s="34"/>
      <c r="N681" s="34"/>
      <c r="O681" s="34"/>
      <c r="P681" s="34"/>
      <c r="Q681" s="34"/>
      <c r="R681" s="34"/>
      <c r="V681" s="34"/>
      <c r="X681" s="34"/>
      <c r="Y681" s="198"/>
      <c r="Z681" s="34"/>
      <c r="AA681" s="34"/>
      <c r="AB681" s="34"/>
      <c r="AC681" s="34"/>
      <c r="AD681" s="34"/>
      <c r="AE681" s="34"/>
      <c r="AH681" s="34"/>
      <c r="AI681" s="34"/>
      <c r="AJ681" s="34"/>
      <c r="AK681" s="34"/>
      <c r="AL681" s="33"/>
      <c r="AM681" s="33"/>
    </row>
    <row r="682" spans="1:39" x14ac:dyDescent="0.3">
      <c r="A682" s="22"/>
      <c r="C682" s="23"/>
      <c r="F682" s="32"/>
      <c r="H682" s="32"/>
      <c r="I682" s="32"/>
      <c r="J682" s="48"/>
      <c r="K682" s="48"/>
      <c r="L682" s="32"/>
      <c r="M682" s="32"/>
      <c r="N682" s="48"/>
      <c r="O682" s="48"/>
      <c r="P682" s="32"/>
      <c r="Q682" s="32"/>
      <c r="R682" s="32"/>
      <c r="T682" s="23"/>
      <c r="V682" s="32"/>
      <c r="X682" s="32"/>
      <c r="Y682" s="48"/>
      <c r="Z682" s="32"/>
      <c r="AA682" s="32"/>
      <c r="AB682" s="48"/>
      <c r="AC682" s="48"/>
      <c r="AD682" s="32"/>
      <c r="AE682" s="32"/>
      <c r="AF682" s="44"/>
      <c r="AG682" s="44"/>
      <c r="AH682" s="32"/>
      <c r="AI682" s="32"/>
      <c r="AJ682" s="32"/>
      <c r="AK682" s="32"/>
      <c r="AL682" s="33"/>
      <c r="AM682" s="33"/>
    </row>
    <row r="683" spans="1:39" x14ac:dyDescent="0.3">
      <c r="F683" s="32"/>
      <c r="H683" s="32"/>
      <c r="I683" s="32"/>
      <c r="J683" s="48"/>
      <c r="K683" s="48"/>
      <c r="L683" s="32"/>
      <c r="M683" s="32"/>
      <c r="N683" s="48"/>
      <c r="O683" s="48"/>
      <c r="P683" s="32"/>
      <c r="Q683" s="32"/>
      <c r="R683" s="32"/>
      <c r="V683" s="32"/>
      <c r="X683" s="32"/>
      <c r="Y683" s="48"/>
      <c r="Z683" s="32"/>
      <c r="AA683" s="32"/>
      <c r="AB683" s="48"/>
      <c r="AC683" s="48"/>
      <c r="AF683" s="44"/>
      <c r="AG683" s="44"/>
      <c r="AH683" s="32"/>
      <c r="AI683" s="32"/>
      <c r="AJ683" s="32"/>
      <c r="AK683" s="32"/>
      <c r="AL683" s="33"/>
      <c r="AM683" s="33"/>
    </row>
    <row r="684" spans="1:39" x14ac:dyDescent="0.3">
      <c r="A684" s="22"/>
      <c r="C684" s="23"/>
      <c r="F684" s="32"/>
      <c r="H684" s="32"/>
      <c r="I684" s="32"/>
      <c r="J684" s="48"/>
      <c r="K684" s="48"/>
      <c r="L684" s="32"/>
      <c r="M684" s="32"/>
      <c r="N684" s="48"/>
      <c r="O684" s="48"/>
      <c r="P684" s="32"/>
      <c r="Q684" s="32"/>
      <c r="R684" s="32"/>
      <c r="T684" s="23"/>
      <c r="V684" s="32"/>
      <c r="X684" s="32"/>
      <c r="Y684" s="48"/>
      <c r="Z684" s="32"/>
      <c r="AA684" s="32"/>
      <c r="AB684" s="48"/>
      <c r="AC684" s="48"/>
      <c r="AD684" s="32"/>
      <c r="AE684" s="32"/>
      <c r="AF684" s="44"/>
      <c r="AG684" s="44"/>
      <c r="AH684" s="32"/>
      <c r="AI684" s="32"/>
      <c r="AJ684" s="32"/>
      <c r="AK684" s="32"/>
      <c r="AL684" s="33"/>
      <c r="AM684" s="33"/>
    </row>
    <row r="685" spans="1:39" x14ac:dyDescent="0.3">
      <c r="F685" s="34"/>
      <c r="H685" s="34"/>
      <c r="I685" s="34"/>
      <c r="J685" s="198"/>
      <c r="K685" s="198"/>
      <c r="L685" s="34"/>
      <c r="M685" s="34"/>
      <c r="N685" s="34"/>
      <c r="O685" s="34"/>
      <c r="P685" s="34"/>
      <c r="Q685" s="34"/>
      <c r="R685" s="34"/>
      <c r="V685" s="34"/>
      <c r="X685" s="34"/>
      <c r="Y685" s="198"/>
      <c r="Z685" s="34"/>
      <c r="AA685" s="34"/>
      <c r="AB685" s="34"/>
      <c r="AC685" s="34"/>
      <c r="AD685" s="34"/>
      <c r="AE685" s="34"/>
      <c r="AH685" s="34"/>
      <c r="AI685" s="34"/>
      <c r="AJ685" s="34"/>
      <c r="AK685" s="34"/>
    </row>
    <row r="687" spans="1:39" x14ac:dyDescent="0.3">
      <c r="C687" s="23"/>
      <c r="L687" s="32"/>
      <c r="M687" s="32"/>
      <c r="P687" s="32"/>
      <c r="Q687" s="32"/>
      <c r="R687" s="32"/>
      <c r="T687" s="23"/>
    </row>
    <row r="688" spans="1:39" x14ac:dyDescent="0.3">
      <c r="A688" s="23"/>
      <c r="L688" s="32"/>
      <c r="M688" s="32"/>
      <c r="P688" s="32"/>
      <c r="Q688" s="32"/>
      <c r="R688" s="32"/>
    </row>
    <row r="689" spans="12:18" x14ac:dyDescent="0.3">
      <c r="L689" s="32"/>
      <c r="M689" s="32"/>
      <c r="P689" s="32"/>
      <c r="Q689" s="32"/>
      <c r="R689" s="32"/>
    </row>
    <row r="690" spans="12:18" x14ac:dyDescent="0.3">
      <c r="L690" s="32"/>
      <c r="M690" s="32"/>
      <c r="P690" s="32"/>
      <c r="Q690" s="32"/>
      <c r="R690" s="32"/>
    </row>
    <row r="691" spans="12:18" x14ac:dyDescent="0.3">
      <c r="L691" s="32"/>
      <c r="M691" s="32"/>
      <c r="P691" s="32"/>
      <c r="Q691" s="32"/>
      <c r="R691" s="32"/>
    </row>
    <row r="692" spans="12:18" x14ac:dyDescent="0.3">
      <c r="L692" s="32"/>
      <c r="M692" s="32"/>
      <c r="P692" s="32"/>
      <c r="Q692" s="32"/>
      <c r="R692" s="32"/>
    </row>
    <row r="693" spans="12:18" x14ac:dyDescent="0.3">
      <c r="L693" s="32"/>
      <c r="M693" s="32"/>
      <c r="P693" s="32"/>
      <c r="Q693" s="32"/>
      <c r="R693" s="32"/>
    </row>
    <row r="726" spans="48:48" x14ac:dyDescent="0.3">
      <c r="AV726" s="32"/>
    </row>
    <row r="727" spans="48:48" x14ac:dyDescent="0.3">
      <c r="AV727" s="32"/>
    </row>
    <row r="728" spans="48:48" x14ac:dyDescent="0.3">
      <c r="AV728" s="32"/>
    </row>
    <row r="729" spans="48:48" x14ac:dyDescent="0.3">
      <c r="AV729" s="32"/>
    </row>
    <row r="730" spans="48:48" x14ac:dyDescent="0.3">
      <c r="AV730" s="32"/>
    </row>
    <row r="731" spans="48:48" x14ac:dyDescent="0.3">
      <c r="AV731" s="32"/>
    </row>
    <row r="734" spans="48:48" x14ac:dyDescent="0.3">
      <c r="AV734" s="32"/>
    </row>
    <row r="735" spans="48:48" x14ac:dyDescent="0.3">
      <c r="AV735" s="32"/>
    </row>
    <row r="736" spans="48:48" x14ac:dyDescent="0.3">
      <c r="AV736" s="32"/>
    </row>
    <row r="737" spans="48:48" x14ac:dyDescent="0.3">
      <c r="AV737" s="32"/>
    </row>
    <row r="738" spans="48:48" x14ac:dyDescent="0.3">
      <c r="AV738" s="32"/>
    </row>
    <row r="739" spans="48:48" x14ac:dyDescent="0.3">
      <c r="AV739" s="32"/>
    </row>
    <row r="740" spans="48:48" x14ac:dyDescent="0.3">
      <c r="AV740" s="32"/>
    </row>
    <row r="741" spans="48:48" x14ac:dyDescent="0.3">
      <c r="AV741" s="32"/>
    </row>
    <row r="744" spans="48:48" x14ac:dyDescent="0.3">
      <c r="AV744" s="32"/>
    </row>
    <row r="745" spans="48:48" x14ac:dyDescent="0.3">
      <c r="AV745" s="32"/>
    </row>
    <row r="748" spans="48:48" x14ac:dyDescent="0.3">
      <c r="AV748" s="32"/>
    </row>
    <row r="749" spans="48:48" x14ac:dyDescent="0.3">
      <c r="AV749" s="32"/>
    </row>
    <row r="750" spans="48:48" x14ac:dyDescent="0.3">
      <c r="AV750" s="32"/>
    </row>
    <row r="751" spans="48:48" x14ac:dyDescent="0.3">
      <c r="AV751" s="32"/>
    </row>
    <row r="757" spans="44:68" x14ac:dyDescent="0.3">
      <c r="AX757" s="22"/>
    </row>
    <row r="758" spans="44:68" x14ac:dyDescent="0.3">
      <c r="AX758" s="22"/>
    </row>
    <row r="759" spans="44:68" x14ac:dyDescent="0.3">
      <c r="AX759" s="23"/>
    </row>
    <row r="760" spans="44:68" x14ac:dyDescent="0.3">
      <c r="AX760" s="23"/>
    </row>
    <row r="761" spans="44:68" x14ac:dyDescent="0.3">
      <c r="AR761" s="22"/>
      <c r="BC761" s="23"/>
    </row>
    <row r="762" spans="44:68" x14ac:dyDescent="0.3">
      <c r="AR762" s="22"/>
      <c r="BC762" s="23"/>
    </row>
    <row r="763" spans="44:68" x14ac:dyDescent="0.3">
      <c r="AR763" s="23"/>
      <c r="BC763" s="23"/>
    </row>
    <row r="764" spans="44:68" x14ac:dyDescent="0.3">
      <c r="BC764" s="22"/>
    </row>
    <row r="765" spans="44:68" x14ac:dyDescent="0.3"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44:68" x14ac:dyDescent="0.3">
      <c r="AW766" s="23"/>
    </row>
    <row r="767" spans="44:68" x14ac:dyDescent="0.3">
      <c r="AW767" s="29"/>
      <c r="AX767" s="29"/>
      <c r="AY767" s="29"/>
      <c r="AZ767" s="29"/>
      <c r="BB767" s="30"/>
      <c r="BC767" s="30"/>
    </row>
    <row r="768" spans="44:68" x14ac:dyDescent="0.3">
      <c r="AU768" s="30"/>
      <c r="AV768" s="30"/>
      <c r="AY768" s="30"/>
      <c r="AZ768" s="30"/>
      <c r="BB768" s="30"/>
      <c r="BC768" s="30"/>
      <c r="BD768" s="30"/>
      <c r="BF768" s="29"/>
      <c r="BG768" s="23"/>
      <c r="BJ768" s="29"/>
      <c r="BL768" s="29"/>
      <c r="BM768" s="23"/>
      <c r="BP768" s="29"/>
    </row>
    <row r="769" spans="44:68" x14ac:dyDescent="0.3"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G769" s="30"/>
      <c r="BH769" s="30"/>
      <c r="BI769" s="30"/>
      <c r="BM769" s="30"/>
      <c r="BN769" s="30"/>
      <c r="BO769" s="30"/>
    </row>
    <row r="770" spans="44:68" x14ac:dyDescent="0.3">
      <c r="AR770" s="30"/>
      <c r="AT770" s="23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F770" s="30"/>
      <c r="BG770" s="30"/>
      <c r="BH770" s="30"/>
      <c r="BI770" s="30"/>
      <c r="BJ770" s="30"/>
      <c r="BL770" s="30"/>
      <c r="BM770" s="30"/>
      <c r="BN770" s="30"/>
      <c r="BO770" s="30"/>
      <c r="BP770" s="30"/>
    </row>
    <row r="771" spans="44:68" x14ac:dyDescent="0.3">
      <c r="AR771" s="30"/>
      <c r="AT771" s="23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F771" s="30"/>
      <c r="BG771" s="30"/>
      <c r="BH771" s="30"/>
      <c r="BI771" s="30"/>
      <c r="BJ771" s="30"/>
      <c r="BL771" s="30"/>
      <c r="BM771" s="30"/>
      <c r="BN771" s="30"/>
      <c r="BO771" s="30"/>
      <c r="BP771" s="30"/>
    </row>
    <row r="772" spans="44:68" x14ac:dyDescent="0.3"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F772" s="29"/>
      <c r="BG772" s="29"/>
      <c r="BH772" s="29"/>
      <c r="BI772" s="29"/>
      <c r="BJ772" s="29"/>
      <c r="BL772" s="29"/>
      <c r="BM772" s="29"/>
      <c r="BN772" s="29"/>
      <c r="BO772" s="29"/>
      <c r="BP772" s="29"/>
    </row>
    <row r="773" spans="44:68" x14ac:dyDescent="0.3"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</row>
    <row r="774" spans="44:68" x14ac:dyDescent="0.3">
      <c r="AR774" s="22"/>
      <c r="AT774" s="23"/>
      <c r="AU774" s="30"/>
      <c r="AX774" s="48"/>
    </row>
    <row r="775" spans="44:68" x14ac:dyDescent="0.3">
      <c r="AR775" s="22"/>
      <c r="AU775" s="30"/>
      <c r="AV775" s="32"/>
      <c r="AW775" s="62"/>
      <c r="AX775" s="62"/>
      <c r="AY775" s="62"/>
      <c r="AZ775" s="33"/>
      <c r="BA775" s="62"/>
      <c r="BB775" s="48"/>
      <c r="BC775" s="48"/>
      <c r="BD775" s="33"/>
      <c r="BF775" s="62"/>
      <c r="BG775" s="62"/>
      <c r="BH775" s="62"/>
      <c r="BI775" s="62"/>
      <c r="BJ775" s="62"/>
      <c r="BL775" s="62"/>
      <c r="BM775" s="62"/>
      <c r="BN775" s="62"/>
      <c r="BO775" s="62"/>
      <c r="BP775" s="62"/>
    </row>
    <row r="776" spans="44:68" x14ac:dyDescent="0.3">
      <c r="AR776" s="22"/>
      <c r="AU776" s="30"/>
      <c r="AV776" s="32"/>
      <c r="AW776" s="62"/>
      <c r="AX776" s="62"/>
      <c r="AY776" s="62"/>
      <c r="AZ776" s="33"/>
      <c r="BA776" s="62"/>
      <c r="BB776" s="48"/>
      <c r="BC776" s="48"/>
      <c r="BD776" s="33"/>
      <c r="BF776" s="62"/>
      <c r="BG776" s="62"/>
      <c r="BH776" s="62"/>
      <c r="BI776" s="62"/>
      <c r="BJ776" s="62"/>
      <c r="BL776" s="62"/>
      <c r="BM776" s="62"/>
      <c r="BN776" s="62"/>
      <c r="BO776" s="62"/>
      <c r="BP776" s="62"/>
    </row>
    <row r="777" spans="44:68" x14ac:dyDescent="0.3">
      <c r="AR777" s="22"/>
      <c r="AU777" s="30"/>
      <c r="AV777" s="32"/>
      <c r="AW777" s="62"/>
      <c r="AX777" s="62"/>
      <c r="AY777" s="62"/>
      <c r="AZ777" s="33"/>
      <c r="BA777" s="62"/>
      <c r="BB777" s="48"/>
      <c r="BC777" s="48"/>
      <c r="BD777" s="33"/>
      <c r="BF777" s="62"/>
      <c r="BG777" s="62"/>
      <c r="BH777" s="62"/>
      <c r="BI777" s="62"/>
      <c r="BJ777" s="62"/>
      <c r="BL777" s="62"/>
      <c r="BM777" s="62"/>
      <c r="BN777" s="62"/>
      <c r="BO777" s="62"/>
      <c r="BP777" s="62"/>
    </row>
    <row r="778" spans="44:68" x14ac:dyDescent="0.3">
      <c r="AR778" s="22"/>
      <c r="AU778" s="30"/>
      <c r="AV778" s="32"/>
      <c r="AW778" s="62"/>
      <c r="AX778" s="62"/>
      <c r="AY778" s="62"/>
      <c r="AZ778" s="33"/>
      <c r="BA778" s="62"/>
      <c r="BB778" s="48"/>
      <c r="BC778" s="48"/>
      <c r="BD778" s="33"/>
      <c r="BF778" s="62"/>
      <c r="BG778" s="62"/>
      <c r="BH778" s="62"/>
      <c r="BI778" s="62"/>
      <c r="BJ778" s="62"/>
      <c r="BL778" s="62"/>
      <c r="BM778" s="62"/>
      <c r="BN778" s="62"/>
      <c r="BO778" s="62"/>
      <c r="BP778" s="62"/>
    </row>
    <row r="779" spans="44:68" x14ac:dyDescent="0.3">
      <c r="AR779" s="22"/>
      <c r="AU779" s="30"/>
      <c r="AV779" s="32"/>
      <c r="AW779" s="62"/>
      <c r="AX779" s="62"/>
      <c r="AY779" s="62"/>
      <c r="AZ779" s="33"/>
      <c r="BA779" s="62"/>
      <c r="BB779" s="48"/>
      <c r="BC779" s="48"/>
      <c r="BD779" s="33"/>
      <c r="BF779" s="62"/>
      <c r="BG779" s="62"/>
      <c r="BH779" s="62"/>
      <c r="BI779" s="62"/>
      <c r="BJ779" s="62"/>
      <c r="BL779" s="62"/>
      <c r="BM779" s="62"/>
      <c r="BN779" s="62"/>
      <c r="BO779" s="62"/>
      <c r="BP779" s="62"/>
    </row>
    <row r="780" spans="44:68" x14ac:dyDescent="0.3">
      <c r="AR780" s="22"/>
      <c r="AU780" s="30"/>
      <c r="AV780" s="32"/>
      <c r="AW780" s="62"/>
      <c r="AX780" s="62"/>
      <c r="AY780" s="62"/>
      <c r="AZ780" s="33"/>
      <c r="BA780" s="62"/>
      <c r="BB780" s="48"/>
      <c r="BC780" s="48"/>
      <c r="BD780" s="33"/>
      <c r="BF780" s="62"/>
      <c r="BG780" s="62"/>
      <c r="BH780" s="62"/>
      <c r="BI780" s="62"/>
      <c r="BJ780" s="62"/>
      <c r="BL780" s="62"/>
      <c r="BM780" s="62"/>
      <c r="BN780" s="62"/>
      <c r="BO780" s="62"/>
      <c r="BP780" s="62"/>
    </row>
    <row r="781" spans="44:68" x14ac:dyDescent="0.3">
      <c r="AR781" s="22"/>
      <c r="AU781" s="30"/>
      <c r="AV781" s="32"/>
      <c r="AW781" s="62"/>
      <c r="AX781" s="62"/>
      <c r="AY781" s="62"/>
      <c r="AZ781" s="33"/>
      <c r="BA781" s="62"/>
      <c r="BB781" s="48"/>
      <c r="BC781" s="48"/>
      <c r="BD781" s="33"/>
      <c r="BF781" s="62"/>
      <c r="BG781" s="62"/>
      <c r="BH781" s="62"/>
      <c r="BI781" s="62"/>
      <c r="BJ781" s="62"/>
      <c r="BL781" s="62"/>
      <c r="BM781" s="62"/>
      <c r="BN781" s="62"/>
      <c r="BO781" s="62"/>
      <c r="BP781" s="62"/>
    </row>
    <row r="782" spans="44:68" x14ac:dyDescent="0.3">
      <c r="AX782" s="48"/>
      <c r="AY782" s="62"/>
      <c r="AZ782" s="33"/>
      <c r="BA782" s="62"/>
      <c r="BB782" s="48"/>
      <c r="BC782" s="48"/>
      <c r="BD782" s="33"/>
      <c r="BJ782" s="62"/>
      <c r="BP782" s="62"/>
    </row>
    <row r="783" spans="44:68" x14ac:dyDescent="0.3">
      <c r="AR783" s="22"/>
      <c r="AU783" s="30"/>
      <c r="AX783" s="48"/>
      <c r="AY783" s="62"/>
      <c r="AZ783" s="33"/>
      <c r="BA783" s="62"/>
      <c r="BB783" s="48"/>
      <c r="BC783" s="48"/>
      <c r="BD783" s="33"/>
      <c r="BJ783" s="62"/>
      <c r="BP783" s="62"/>
    </row>
    <row r="784" spans="44:68" x14ac:dyDescent="0.3">
      <c r="AR784" s="22"/>
      <c r="AU784" s="30"/>
      <c r="AV784" s="32"/>
      <c r="AW784" s="62"/>
      <c r="AX784" s="62"/>
      <c r="AY784" s="62"/>
      <c r="AZ784" s="33"/>
      <c r="BA784" s="62"/>
      <c r="BB784" s="48"/>
      <c r="BC784" s="48"/>
      <c r="BD784" s="33"/>
      <c r="BF784" s="62"/>
      <c r="BG784" s="62"/>
      <c r="BH784" s="62"/>
      <c r="BI784" s="62"/>
      <c r="BJ784" s="62"/>
      <c r="BL784" s="62"/>
      <c r="BM784" s="62"/>
      <c r="BN784" s="62"/>
      <c r="BO784" s="62"/>
      <c r="BP784" s="62"/>
    </row>
    <row r="785" spans="44:68" x14ac:dyDescent="0.3">
      <c r="AR785" s="22"/>
      <c r="AU785" s="30"/>
      <c r="AV785" s="32"/>
      <c r="AW785" s="62"/>
      <c r="AX785" s="62"/>
      <c r="AY785" s="62"/>
      <c r="AZ785" s="33"/>
      <c r="BA785" s="62"/>
      <c r="BB785" s="48"/>
      <c r="BC785" s="48"/>
      <c r="BD785" s="33"/>
      <c r="BF785" s="62"/>
      <c r="BG785" s="62"/>
      <c r="BH785" s="62"/>
      <c r="BI785" s="62"/>
      <c r="BJ785" s="62"/>
      <c r="BL785" s="62"/>
      <c r="BM785" s="62"/>
      <c r="BN785" s="62"/>
      <c r="BO785" s="62"/>
      <c r="BP785" s="62"/>
    </row>
    <row r="786" spans="44:68" x14ac:dyDescent="0.3">
      <c r="AR786" s="22"/>
      <c r="AU786" s="30"/>
      <c r="AV786" s="32"/>
      <c r="AW786" s="62"/>
      <c r="AX786" s="62"/>
      <c r="AY786" s="62"/>
      <c r="AZ786" s="33"/>
      <c r="BA786" s="62"/>
      <c r="BB786" s="48"/>
      <c r="BC786" s="48"/>
      <c r="BD786" s="33"/>
      <c r="BF786" s="62"/>
      <c r="BG786" s="62"/>
      <c r="BH786" s="62"/>
      <c r="BI786" s="62"/>
      <c r="BJ786" s="62"/>
      <c r="BL786" s="62"/>
      <c r="BM786" s="62"/>
      <c r="BN786" s="62"/>
      <c r="BO786" s="62"/>
      <c r="BP786" s="62"/>
    </row>
    <row r="787" spans="44:68" x14ac:dyDescent="0.3">
      <c r="AR787" s="22"/>
      <c r="AU787" s="30"/>
      <c r="AV787" s="32"/>
      <c r="AW787" s="62"/>
      <c r="AX787" s="62"/>
      <c r="AY787" s="62"/>
      <c r="AZ787" s="33"/>
      <c r="BA787" s="62"/>
      <c r="BB787" s="48"/>
      <c r="BC787" s="48"/>
      <c r="BD787" s="33"/>
      <c r="BF787" s="62"/>
      <c r="BG787" s="62"/>
      <c r="BH787" s="62"/>
      <c r="BI787" s="62"/>
      <c r="BJ787" s="62"/>
      <c r="BL787" s="62"/>
      <c r="BM787" s="62"/>
      <c r="BN787" s="62"/>
      <c r="BO787" s="62"/>
      <c r="BP787" s="62"/>
    </row>
    <row r="788" spans="44:68" x14ac:dyDescent="0.3">
      <c r="AR788" s="22"/>
      <c r="AU788" s="30"/>
      <c r="AV788" s="32"/>
      <c r="AW788" s="62"/>
      <c r="AX788" s="62"/>
      <c r="AY788" s="62"/>
      <c r="AZ788" s="33"/>
      <c r="BA788" s="62"/>
      <c r="BB788" s="48"/>
      <c r="BC788" s="48"/>
      <c r="BD788" s="33"/>
      <c r="BF788" s="62"/>
      <c r="BG788" s="62"/>
      <c r="BH788" s="62"/>
      <c r="BI788" s="62"/>
      <c r="BJ788" s="62"/>
      <c r="BL788" s="62"/>
      <c r="BM788" s="62"/>
      <c r="BN788" s="62"/>
      <c r="BO788" s="62"/>
      <c r="BP788" s="62"/>
    </row>
    <row r="789" spans="44:68" x14ac:dyDescent="0.3">
      <c r="AR789" s="22"/>
      <c r="AU789" s="30"/>
      <c r="AV789" s="32"/>
      <c r="AW789" s="62"/>
      <c r="AX789" s="62"/>
      <c r="AY789" s="62"/>
      <c r="AZ789" s="33"/>
      <c r="BA789" s="62"/>
      <c r="BB789" s="48"/>
      <c r="BC789" s="48"/>
      <c r="BD789" s="33"/>
      <c r="BF789" s="62"/>
      <c r="BG789" s="62"/>
      <c r="BH789" s="62"/>
      <c r="BI789" s="62"/>
      <c r="BJ789" s="62"/>
      <c r="BL789" s="62"/>
      <c r="BM789" s="62"/>
      <c r="BN789" s="62"/>
      <c r="BO789" s="62"/>
      <c r="BP789" s="62"/>
    </row>
    <row r="790" spans="44:68" x14ac:dyDescent="0.3">
      <c r="AR790" s="22"/>
      <c r="AU790" s="30"/>
      <c r="AV790" s="32"/>
      <c r="AW790" s="62"/>
      <c r="AX790" s="62"/>
      <c r="AY790" s="62"/>
      <c r="AZ790" s="33"/>
      <c r="BA790" s="62"/>
      <c r="BB790" s="48"/>
      <c r="BC790" s="48"/>
      <c r="BD790" s="33"/>
      <c r="BF790" s="62"/>
      <c r="BG790" s="62"/>
      <c r="BH790" s="62"/>
      <c r="BI790" s="62"/>
      <c r="BJ790" s="62"/>
      <c r="BL790" s="62"/>
      <c r="BM790" s="62"/>
      <c r="BN790" s="62"/>
      <c r="BO790" s="62"/>
      <c r="BP790" s="62"/>
    </row>
    <row r="791" spans="44:68" x14ac:dyDescent="0.3">
      <c r="AR791" s="22"/>
      <c r="AU791" s="30"/>
      <c r="AV791" s="32"/>
      <c r="AW791" s="62"/>
      <c r="AX791" s="62"/>
      <c r="AY791" s="62"/>
      <c r="AZ791" s="33"/>
      <c r="BA791" s="62"/>
      <c r="BB791" s="48"/>
      <c r="BC791" s="48"/>
      <c r="BD791" s="33"/>
      <c r="BF791" s="62"/>
      <c r="BG791" s="62"/>
      <c r="BH791" s="62"/>
      <c r="BI791" s="62"/>
      <c r="BJ791" s="62"/>
      <c r="BL791" s="62"/>
      <c r="BM791" s="62"/>
      <c r="BN791" s="62"/>
      <c r="BO791" s="62"/>
      <c r="BP791" s="62"/>
    </row>
    <row r="792" spans="44:68" x14ac:dyDescent="0.3">
      <c r="AX792" s="48"/>
      <c r="AY792" s="62"/>
      <c r="AZ792" s="33"/>
      <c r="BA792" s="62"/>
      <c r="BB792" s="48"/>
      <c r="BC792" s="48"/>
      <c r="BD792" s="33"/>
      <c r="BJ792" s="62"/>
      <c r="BP792" s="62"/>
    </row>
    <row r="793" spans="44:68" x14ac:dyDescent="0.3">
      <c r="AT793" s="23"/>
      <c r="AY793" s="62"/>
      <c r="BA793" s="62"/>
      <c r="BF793" s="62"/>
      <c r="BG793" s="62"/>
      <c r="BI793" s="62"/>
      <c r="BJ793" s="62"/>
    </row>
    <row r="794" spans="44:68" x14ac:dyDescent="0.3">
      <c r="AY794" s="62"/>
      <c r="BA794" s="62"/>
    </row>
    <row r="795" spans="44:68" x14ac:dyDescent="0.3">
      <c r="AR795" s="23"/>
      <c r="AY795" s="62"/>
      <c r="BA795" s="62"/>
      <c r="BH795" s="62"/>
    </row>
    <row r="796" spans="44:68" x14ac:dyDescent="0.3">
      <c r="AX796" s="22"/>
      <c r="AY796" s="62"/>
      <c r="BA796" s="62"/>
    </row>
    <row r="797" spans="44:68" x14ac:dyDescent="0.3">
      <c r="AX797" s="62"/>
      <c r="BA797" s="62"/>
    </row>
    <row r="798" spans="44:68" x14ac:dyDescent="0.3">
      <c r="AX798" s="23"/>
      <c r="AY798" s="62"/>
      <c r="BA798" s="62"/>
    </row>
    <row r="799" spans="44:68" x14ac:dyDescent="0.3">
      <c r="AX799" s="23"/>
      <c r="AY799" s="62"/>
      <c r="BA799" s="62"/>
    </row>
    <row r="800" spans="44:68" x14ac:dyDescent="0.3">
      <c r="AR800" s="22"/>
      <c r="AY800" s="62"/>
      <c r="BA800" s="62"/>
      <c r="BC800" s="23"/>
    </row>
    <row r="801" spans="44:74" x14ac:dyDescent="0.3">
      <c r="AR801" s="22"/>
      <c r="AY801" s="62"/>
      <c r="BA801" s="62"/>
      <c r="BC801" s="23"/>
    </row>
    <row r="802" spans="44:74" x14ac:dyDescent="0.3">
      <c r="AR802" s="23"/>
      <c r="AY802" s="62"/>
      <c r="BA802" s="62"/>
      <c r="BC802" s="23"/>
    </row>
    <row r="803" spans="44:74" x14ac:dyDescent="0.3">
      <c r="AY803" s="62"/>
      <c r="BA803" s="62"/>
      <c r="BC803" s="22"/>
    </row>
    <row r="804" spans="44:74" x14ac:dyDescent="0.3">
      <c r="AR804" s="29"/>
      <c r="AS804" s="29"/>
      <c r="AT804" s="29"/>
      <c r="AU804" s="29"/>
      <c r="AV804" s="29"/>
      <c r="AW804" s="29"/>
      <c r="AX804" s="29"/>
      <c r="AY804" s="63"/>
      <c r="AZ804" s="29"/>
      <c r="BA804" s="63"/>
      <c r="BB804" s="29"/>
      <c r="BC804" s="29"/>
      <c r="BD804" s="29"/>
    </row>
    <row r="805" spans="44:74" x14ac:dyDescent="0.3">
      <c r="AW805" s="23"/>
      <c r="AY805" s="62"/>
      <c r="BA805" s="62"/>
    </row>
    <row r="806" spans="44:74" x14ac:dyDescent="0.3">
      <c r="AW806" s="29"/>
      <c r="AX806" s="29"/>
      <c r="AY806" s="63"/>
      <c r="AZ806" s="29"/>
      <c r="BA806" s="62"/>
      <c r="BB806" s="30"/>
      <c r="BC806" s="30"/>
    </row>
    <row r="807" spans="44:74" x14ac:dyDescent="0.3">
      <c r="AU807" s="30"/>
      <c r="AV807" s="30"/>
      <c r="AY807" s="64"/>
      <c r="AZ807" s="30"/>
      <c r="BA807" s="62"/>
      <c r="BB807" s="30"/>
      <c r="BC807" s="30"/>
      <c r="BD807" s="30"/>
      <c r="BF807" s="29"/>
      <c r="BG807" s="29"/>
      <c r="BH807" s="23"/>
      <c r="BL807" s="29"/>
      <c r="BM807" s="29"/>
      <c r="BO807" s="29"/>
      <c r="BP807" s="29"/>
      <c r="BQ807" s="23"/>
      <c r="BU807" s="29"/>
      <c r="BV807" s="29"/>
    </row>
    <row r="808" spans="44:74" x14ac:dyDescent="0.3">
      <c r="AU808" s="30"/>
      <c r="AV808" s="30"/>
      <c r="AW808" s="30"/>
      <c r="AX808" s="30"/>
      <c r="AY808" s="64"/>
      <c r="AZ808" s="30"/>
      <c r="BA808" s="64"/>
      <c r="BB808" s="30"/>
      <c r="BC808" s="30"/>
      <c r="BD808" s="30"/>
      <c r="BG808" s="30"/>
      <c r="BH808" s="30"/>
      <c r="BI808" s="30"/>
      <c r="BJ808" s="30"/>
      <c r="BK808" s="30"/>
      <c r="BL808" s="30"/>
      <c r="BP808" s="30"/>
      <c r="BQ808" s="30"/>
      <c r="BR808" s="30"/>
      <c r="BS808" s="30"/>
      <c r="BT808" s="30"/>
      <c r="BU808" s="30"/>
    </row>
    <row r="809" spans="44:74" x14ac:dyDescent="0.3">
      <c r="AR809" s="30"/>
      <c r="AT809" s="23"/>
      <c r="AU809" s="30"/>
      <c r="AV809" s="30"/>
      <c r="AW809" s="30"/>
      <c r="AX809" s="30"/>
      <c r="AY809" s="64"/>
      <c r="AZ809" s="30"/>
      <c r="BA809" s="64"/>
      <c r="BB809" s="30"/>
      <c r="BC809" s="30"/>
      <c r="BD809" s="30"/>
      <c r="BF809" s="30"/>
      <c r="BG809" s="30"/>
      <c r="BH809" s="30"/>
      <c r="BI809" s="30"/>
      <c r="BJ809" s="30"/>
      <c r="BK809" s="30"/>
      <c r="BL809" s="30"/>
      <c r="BM809" s="30"/>
      <c r="BO809" s="30"/>
      <c r="BP809" s="30"/>
      <c r="BQ809" s="30"/>
      <c r="BR809" s="30"/>
      <c r="BS809" s="30"/>
      <c r="BT809" s="30"/>
      <c r="BU809" s="30"/>
      <c r="BV809" s="30"/>
    </row>
    <row r="810" spans="44:74" x14ac:dyDescent="0.3">
      <c r="AR810" s="30"/>
      <c r="AT810" s="23"/>
      <c r="AU810" s="30"/>
      <c r="AV810" s="30"/>
      <c r="AW810" s="30"/>
      <c r="AX810" s="30"/>
      <c r="AY810" s="64"/>
      <c r="AZ810" s="30"/>
      <c r="BA810" s="64"/>
      <c r="BB810" s="30"/>
      <c r="BC810" s="30"/>
      <c r="BD810" s="30"/>
      <c r="BF810" s="30"/>
      <c r="BG810" s="30"/>
      <c r="BH810" s="30"/>
      <c r="BI810" s="30"/>
      <c r="BJ810" s="30"/>
      <c r="BK810" s="30"/>
      <c r="BL810" s="30"/>
      <c r="BM810" s="30"/>
      <c r="BO810" s="30"/>
      <c r="BP810" s="30"/>
      <c r="BQ810" s="30"/>
      <c r="BR810" s="30"/>
      <c r="BS810" s="30"/>
      <c r="BT810" s="30"/>
      <c r="BU810" s="30"/>
      <c r="BV810" s="30"/>
    </row>
    <row r="811" spans="44:74" x14ac:dyDescent="0.3">
      <c r="AR811" s="29"/>
      <c r="AS811" s="29"/>
      <c r="AT811" s="29"/>
      <c r="AU811" s="29"/>
      <c r="AV811" s="29"/>
      <c r="AW811" s="29"/>
      <c r="AX811" s="29"/>
      <c r="AY811" s="63"/>
      <c r="AZ811" s="29"/>
      <c r="BA811" s="63"/>
      <c r="BB811" s="29"/>
      <c r="BC811" s="29"/>
      <c r="BD811" s="29"/>
      <c r="BF811" s="29"/>
      <c r="BG811" s="29"/>
      <c r="BH811" s="29"/>
      <c r="BI811" s="29"/>
      <c r="BJ811" s="29"/>
      <c r="BK811" s="29"/>
      <c r="BL811" s="29"/>
      <c r="BM811" s="29"/>
      <c r="BO811" s="29"/>
      <c r="BP811" s="29"/>
      <c r="BQ811" s="29"/>
      <c r="BR811" s="29"/>
      <c r="BS811" s="29"/>
      <c r="BT811" s="29"/>
      <c r="BU811" s="29"/>
      <c r="BV811" s="29"/>
    </row>
    <row r="812" spans="44:74" x14ac:dyDescent="0.3">
      <c r="AU812" s="30"/>
      <c r="AV812" s="30"/>
      <c r="AW812" s="30"/>
      <c r="AX812" s="30"/>
      <c r="AY812" s="64"/>
      <c r="AZ812" s="30"/>
      <c r="BA812" s="64"/>
      <c r="BB812" s="30"/>
      <c r="BC812" s="30"/>
      <c r="BD812" s="30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</row>
    <row r="813" spans="44:74" x14ac:dyDescent="0.3">
      <c r="AR813" s="22"/>
      <c r="AT813" s="23"/>
      <c r="AU813" s="2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</row>
    <row r="814" spans="44:74" x14ac:dyDescent="0.3">
      <c r="AR814" s="22"/>
      <c r="AU814" s="2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</row>
    <row r="815" spans="44:74" x14ac:dyDescent="0.3">
      <c r="AR815" s="22"/>
      <c r="AU815" s="2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</row>
    <row r="816" spans="44:74" x14ac:dyDescent="0.3">
      <c r="AR816" s="22"/>
      <c r="AU816" s="2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</row>
    <row r="817" spans="44:74" x14ac:dyDescent="0.3">
      <c r="AR817" s="22"/>
      <c r="AU817" s="2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</row>
    <row r="818" spans="44:74" x14ac:dyDescent="0.3">
      <c r="AR818" s="22"/>
      <c r="AU818" s="2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</row>
    <row r="819" spans="44:74" x14ac:dyDescent="0.3">
      <c r="AR819" s="22"/>
      <c r="AU819" s="2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</row>
    <row r="820" spans="44:74" x14ac:dyDescent="0.3">
      <c r="AR820" s="22"/>
      <c r="AU820" s="2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</row>
    <row r="821" spans="44:74" x14ac:dyDescent="0.3">
      <c r="AR821" s="22"/>
      <c r="AU821" s="2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</row>
    <row r="822" spans="44:74" x14ac:dyDescent="0.3">
      <c r="AR822" s="22"/>
      <c r="AU822" s="2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</row>
    <row r="823" spans="44:74" x14ac:dyDescent="0.3">
      <c r="AR823" s="22"/>
      <c r="AU823" s="2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</row>
    <row r="824" spans="44:74" x14ac:dyDescent="0.3">
      <c r="AR824" s="22"/>
      <c r="AU824" s="2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</row>
    <row r="825" spans="44:74" x14ac:dyDescent="0.3">
      <c r="AR825" s="22"/>
      <c r="AU825" s="2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</row>
    <row r="826" spans="44:74" x14ac:dyDescent="0.3">
      <c r="AR826" s="22"/>
      <c r="AU826" s="2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</row>
    <row r="827" spans="44:74" x14ac:dyDescent="0.3">
      <c r="AR827" s="22"/>
      <c r="AU827" s="2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</row>
    <row r="828" spans="44:74" x14ac:dyDescent="0.3">
      <c r="AR828" s="22"/>
      <c r="AU828" s="2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</row>
    <row r="829" spans="44:74" x14ac:dyDescent="0.3">
      <c r="AR829" s="22"/>
      <c r="AU829" s="2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</row>
    <row r="830" spans="44:74" x14ac:dyDescent="0.3">
      <c r="AR830" s="22"/>
      <c r="AU830" s="22"/>
      <c r="AV830" s="32"/>
      <c r="AW830" s="62"/>
      <c r="AX830" s="62"/>
      <c r="AY830" s="62"/>
      <c r="AZ830" s="44"/>
      <c r="BA830" s="62"/>
      <c r="BB830" s="62"/>
      <c r="BC830" s="62"/>
      <c r="BD830" s="44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</row>
    <row r="831" spans="44:74" x14ac:dyDescent="0.3">
      <c r="AR831" s="22"/>
      <c r="AU831" s="22"/>
      <c r="AV831" s="32"/>
      <c r="AW831" s="62"/>
      <c r="AX831" s="62"/>
      <c r="AY831" s="62"/>
      <c r="AZ831" s="44"/>
      <c r="BA831" s="62"/>
      <c r="BB831" s="62"/>
      <c r="BC831" s="62"/>
      <c r="BD831" s="44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</row>
    <row r="832" spans="44:74" x14ac:dyDescent="0.3">
      <c r="AR832" s="22"/>
      <c r="AU832" s="22"/>
      <c r="AV832" s="32"/>
      <c r="AW832" s="62"/>
      <c r="AX832" s="62"/>
      <c r="AY832" s="62"/>
      <c r="AZ832" s="44"/>
      <c r="BA832" s="62"/>
      <c r="BB832" s="62"/>
      <c r="BC832" s="62"/>
      <c r="BD832" s="44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</row>
    <row r="833" spans="44:74" x14ac:dyDescent="0.3">
      <c r="AR833" s="22"/>
      <c r="AU833" s="22"/>
      <c r="AV833" s="32"/>
      <c r="AW833" s="62"/>
      <c r="AX833" s="62"/>
      <c r="AY833" s="62"/>
      <c r="AZ833" s="44"/>
      <c r="BA833" s="62"/>
      <c r="BB833" s="62"/>
      <c r="BC833" s="62"/>
      <c r="BD833" s="44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</row>
    <row r="834" spans="44:74" x14ac:dyDescent="0.3">
      <c r="AV834" s="32"/>
      <c r="AW834" s="62"/>
      <c r="AX834" s="62"/>
      <c r="AY834" s="62"/>
      <c r="AZ834" s="44"/>
      <c r="BA834" s="62"/>
      <c r="BB834" s="62"/>
      <c r="BC834" s="62"/>
      <c r="BD834" s="44"/>
      <c r="BF834" s="29"/>
      <c r="BG834" s="29"/>
      <c r="BH834" s="23"/>
      <c r="BL834" s="29"/>
      <c r="BM834" s="29"/>
      <c r="BN834" s="62"/>
      <c r="BO834" s="29"/>
      <c r="BP834" s="29"/>
      <c r="BQ834" s="23"/>
      <c r="BU834" s="29"/>
      <c r="BV834" s="29"/>
    </row>
    <row r="835" spans="44:74" x14ac:dyDescent="0.3">
      <c r="AR835" s="22"/>
      <c r="AT835" s="23"/>
      <c r="AU835" s="30"/>
      <c r="AV835" s="32"/>
      <c r="AW835" s="62"/>
      <c r="AX835" s="62"/>
      <c r="AY835" s="62"/>
      <c r="AZ835" s="44"/>
      <c r="BA835" s="62"/>
      <c r="BB835" s="62"/>
      <c r="BC835" s="62"/>
      <c r="BD835" s="44"/>
      <c r="BF835" s="64"/>
      <c r="BG835" s="62"/>
      <c r="BH835" s="62"/>
      <c r="BI835" s="62"/>
      <c r="BJ835" s="64"/>
      <c r="BK835" s="65"/>
      <c r="BL835" s="62"/>
      <c r="BM835" s="64"/>
      <c r="BN835" s="62"/>
      <c r="BO835" s="64"/>
      <c r="BP835" s="62"/>
      <c r="BQ835" s="62"/>
      <c r="BR835" s="62"/>
      <c r="BS835" s="64"/>
      <c r="BT835" s="65"/>
      <c r="BU835" s="62"/>
      <c r="BV835" s="64"/>
    </row>
    <row r="836" spans="44:74" x14ac:dyDescent="0.3">
      <c r="AR836" s="22"/>
      <c r="AU836" s="30"/>
      <c r="AV836" s="32"/>
      <c r="AW836" s="62"/>
      <c r="AX836" s="62"/>
      <c r="AY836" s="62"/>
      <c r="AZ836" s="44"/>
      <c r="BA836" s="62"/>
      <c r="BB836" s="62"/>
      <c r="BC836" s="62"/>
      <c r="BD836" s="44"/>
      <c r="BF836" s="62"/>
      <c r="BG836" s="62"/>
      <c r="BH836" s="62"/>
      <c r="BI836" s="62"/>
      <c r="BJ836" s="62"/>
      <c r="BK836" s="65"/>
      <c r="BL836" s="62"/>
      <c r="BM836" s="62"/>
      <c r="BN836" s="62"/>
      <c r="BO836" s="62"/>
      <c r="BP836" s="62"/>
      <c r="BQ836" s="62"/>
      <c r="BR836" s="62"/>
      <c r="BS836" s="62"/>
      <c r="BT836" s="65"/>
      <c r="BU836" s="62"/>
      <c r="BV836" s="62"/>
    </row>
    <row r="837" spans="44:74" x14ac:dyDescent="0.3">
      <c r="AR837" s="22"/>
      <c r="AU837" s="30"/>
      <c r="AV837" s="32"/>
      <c r="AW837" s="62"/>
      <c r="AX837" s="62"/>
      <c r="AY837" s="62"/>
      <c r="AZ837" s="44"/>
      <c r="BA837" s="62"/>
      <c r="BB837" s="62"/>
      <c r="BC837" s="62"/>
      <c r="BD837" s="44"/>
      <c r="BF837" s="62"/>
      <c r="BG837" s="62"/>
      <c r="BH837" s="62"/>
      <c r="BI837" s="62"/>
      <c r="BJ837" s="62"/>
      <c r="BK837" s="65"/>
      <c r="BL837" s="62"/>
      <c r="BM837" s="62"/>
      <c r="BN837" s="62"/>
      <c r="BO837" s="62"/>
      <c r="BP837" s="62"/>
      <c r="BQ837" s="62"/>
      <c r="BR837" s="62"/>
      <c r="BS837" s="62"/>
      <c r="BT837" s="65"/>
      <c r="BU837" s="62"/>
      <c r="BV837" s="62"/>
    </row>
    <row r="838" spans="44:74" x14ac:dyDescent="0.3">
      <c r="AR838" s="22"/>
      <c r="AU838" s="30"/>
      <c r="AV838" s="32"/>
      <c r="AW838" s="62"/>
      <c r="AX838" s="62"/>
      <c r="AY838" s="62"/>
      <c r="AZ838" s="44"/>
      <c r="BA838" s="62"/>
      <c r="BB838" s="62"/>
      <c r="BC838" s="62"/>
      <c r="BD838" s="44"/>
      <c r="BF838" s="62"/>
      <c r="BG838" s="62"/>
      <c r="BH838" s="62"/>
      <c r="BI838" s="62"/>
      <c r="BJ838" s="62"/>
      <c r="BK838" s="65"/>
      <c r="BL838" s="62"/>
      <c r="BM838" s="62"/>
      <c r="BN838" s="62"/>
      <c r="BO838" s="62"/>
      <c r="BP838" s="62"/>
      <c r="BQ838" s="62"/>
      <c r="BR838" s="62"/>
      <c r="BS838" s="62"/>
      <c r="BT838" s="65"/>
      <c r="BU838" s="62"/>
      <c r="BV838" s="62"/>
    </row>
    <row r="839" spans="44:74" x14ac:dyDescent="0.3">
      <c r="AW839" s="62"/>
      <c r="AX839" s="62"/>
      <c r="AY839" s="62"/>
      <c r="AZ839" s="44"/>
      <c r="BA839" s="62"/>
      <c r="BB839" s="62"/>
      <c r="BC839" s="62"/>
      <c r="BD839" s="44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</row>
    <row r="840" spans="44:74" x14ac:dyDescent="0.3">
      <c r="AT840" s="23"/>
    </row>
    <row r="841" spans="44:74" x14ac:dyDescent="0.3">
      <c r="AT841" s="23"/>
      <c r="AY841" s="62"/>
      <c r="AZ841" s="44"/>
      <c r="BA841" s="62"/>
      <c r="BB841" s="62"/>
      <c r="BC841" s="62"/>
      <c r="BD841" s="44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</row>
    <row r="842" spans="44:74" x14ac:dyDescent="0.3">
      <c r="AR842" s="23"/>
      <c r="AY842" s="62"/>
      <c r="BA842" s="62"/>
    </row>
    <row r="843" spans="44:74" x14ac:dyDescent="0.3">
      <c r="AX843" s="22"/>
      <c r="AY843" s="62"/>
      <c r="BA843" s="62"/>
      <c r="BN843" s="62"/>
      <c r="BO843" s="62"/>
      <c r="BP843" s="62"/>
      <c r="BQ843" s="62"/>
      <c r="BR843" s="62"/>
      <c r="BS843" s="62"/>
      <c r="BT843" s="62"/>
      <c r="BU843" s="62"/>
    </row>
    <row r="844" spans="44:74" x14ac:dyDescent="0.3">
      <c r="AX844" s="62"/>
      <c r="AY844" s="62"/>
      <c r="BA844" s="62"/>
      <c r="BN844" s="62"/>
      <c r="BO844" s="62"/>
      <c r="BP844" s="62"/>
      <c r="BQ844" s="62"/>
      <c r="BR844" s="62"/>
      <c r="BS844" s="62"/>
      <c r="BT844" s="62"/>
      <c r="BU844" s="62"/>
    </row>
    <row r="845" spans="44:74" x14ac:dyDescent="0.3">
      <c r="AX845" s="23"/>
      <c r="AY845" s="62"/>
      <c r="BA845" s="62"/>
      <c r="BN845" s="62"/>
      <c r="BO845" s="62"/>
      <c r="BP845" s="62"/>
      <c r="BQ845" s="62"/>
      <c r="BR845" s="62"/>
      <c r="BS845" s="62"/>
      <c r="BT845" s="62"/>
      <c r="BU845" s="62"/>
    </row>
    <row r="846" spans="44:74" x14ac:dyDescent="0.3">
      <c r="AX846" s="23"/>
      <c r="AY846" s="62"/>
      <c r="BA846" s="62"/>
      <c r="BN846" s="62"/>
      <c r="BO846" s="62"/>
      <c r="BP846" s="62"/>
      <c r="BQ846" s="62"/>
      <c r="BR846" s="62"/>
      <c r="BS846" s="62"/>
      <c r="BT846" s="62"/>
      <c r="BU846" s="62"/>
    </row>
    <row r="847" spans="44:74" x14ac:dyDescent="0.3">
      <c r="AR847" s="22"/>
      <c r="AY847" s="62"/>
      <c r="BA847" s="62"/>
      <c r="BC847" s="23"/>
      <c r="BN847" s="62"/>
      <c r="BO847" s="62"/>
      <c r="BP847" s="62"/>
      <c r="BQ847" s="62"/>
      <c r="BR847" s="62"/>
      <c r="BS847" s="62"/>
      <c r="BT847" s="62"/>
      <c r="BU847" s="62"/>
    </row>
    <row r="848" spans="44:74" x14ac:dyDescent="0.3">
      <c r="AR848" s="22"/>
      <c r="AY848" s="62"/>
      <c r="BA848" s="62"/>
      <c r="BC848" s="23"/>
      <c r="BN848" s="62"/>
      <c r="BO848" s="62"/>
      <c r="BP848" s="62"/>
      <c r="BQ848" s="62"/>
      <c r="BR848" s="62"/>
      <c r="BS848" s="62"/>
      <c r="BT848" s="62"/>
      <c r="BU848" s="62"/>
    </row>
    <row r="849" spans="44:73" x14ac:dyDescent="0.3">
      <c r="AR849" s="23"/>
      <c r="AY849" s="62"/>
      <c r="BA849" s="62"/>
      <c r="BC849" s="23"/>
      <c r="BN849" s="62"/>
      <c r="BO849" s="62"/>
      <c r="BP849" s="62"/>
      <c r="BQ849" s="62"/>
      <c r="BR849" s="62"/>
      <c r="BS849" s="62"/>
      <c r="BT849" s="62"/>
      <c r="BU849" s="62"/>
    </row>
    <row r="850" spans="44:73" x14ac:dyDescent="0.3">
      <c r="AY850" s="62"/>
      <c r="BA850" s="62"/>
      <c r="BC850" s="22"/>
      <c r="BN850" s="62"/>
      <c r="BO850" s="62"/>
      <c r="BP850" s="62"/>
      <c r="BQ850" s="62"/>
      <c r="BR850" s="62"/>
      <c r="BS850" s="62"/>
      <c r="BT850" s="62"/>
      <c r="BU850" s="62"/>
    </row>
    <row r="851" spans="44:73" x14ac:dyDescent="0.3">
      <c r="AR851" s="29"/>
      <c r="AS851" s="29"/>
      <c r="AT851" s="29"/>
      <c r="AU851" s="29"/>
      <c r="AV851" s="29"/>
      <c r="AW851" s="29"/>
      <c r="AX851" s="29"/>
      <c r="AY851" s="63"/>
      <c r="AZ851" s="29"/>
      <c r="BA851" s="63"/>
      <c r="BB851" s="29"/>
      <c r="BC851" s="29"/>
      <c r="BD851" s="29"/>
      <c r="BN851" s="62"/>
      <c r="BO851" s="62"/>
      <c r="BP851" s="62"/>
      <c r="BQ851" s="62"/>
      <c r="BR851" s="62"/>
      <c r="BS851" s="62"/>
      <c r="BT851" s="62"/>
      <c r="BU851" s="62"/>
    </row>
    <row r="852" spans="44:73" x14ac:dyDescent="0.3">
      <c r="AW852" s="23"/>
      <c r="AY852" s="62"/>
      <c r="BA852" s="62"/>
      <c r="BN852" s="62"/>
      <c r="BO852" s="62"/>
      <c r="BP852" s="62"/>
      <c r="BQ852" s="62"/>
      <c r="BR852" s="62"/>
      <c r="BS852" s="62"/>
      <c r="BT852" s="62"/>
      <c r="BU852" s="62"/>
    </row>
    <row r="853" spans="44:73" x14ac:dyDescent="0.3">
      <c r="AW853" s="29"/>
      <c r="AX853" s="29"/>
      <c r="AY853" s="63"/>
      <c r="AZ853" s="29"/>
      <c r="BA853" s="62"/>
      <c r="BB853" s="30"/>
      <c r="BC853" s="30"/>
      <c r="BN853" s="62"/>
      <c r="BO853" s="62"/>
      <c r="BP853" s="62"/>
      <c r="BQ853" s="62"/>
      <c r="BR853" s="62"/>
      <c r="BS853" s="62"/>
      <c r="BT853" s="62"/>
      <c r="BU853" s="62"/>
    </row>
    <row r="854" spans="44:73" x14ac:dyDescent="0.3">
      <c r="AU854" s="30"/>
      <c r="AV854" s="30"/>
      <c r="AY854" s="64"/>
      <c r="AZ854" s="30"/>
      <c r="BA854" s="62"/>
      <c r="BB854" s="30"/>
      <c r="BC854" s="30"/>
      <c r="BD854" s="30"/>
      <c r="BF854" s="29"/>
      <c r="BG854" s="23"/>
      <c r="BJ854" s="29"/>
      <c r="BL854" s="29"/>
      <c r="BM854" s="23"/>
      <c r="BP854" s="29"/>
    </row>
    <row r="855" spans="44:73" x14ac:dyDescent="0.3">
      <c r="AU855" s="30"/>
      <c r="AV855" s="30"/>
      <c r="AW855" s="30"/>
      <c r="AX855" s="30"/>
      <c r="AY855" s="64"/>
      <c r="AZ855" s="30"/>
      <c r="BA855" s="64"/>
      <c r="BB855" s="30"/>
      <c r="BC855" s="30"/>
      <c r="BD855" s="30"/>
      <c r="BG855" s="30"/>
      <c r="BH855" s="30"/>
      <c r="BM855" s="30"/>
      <c r="BN855" s="30"/>
    </row>
    <row r="856" spans="44:73" x14ac:dyDescent="0.3">
      <c r="AR856" s="30"/>
      <c r="AT856" s="23"/>
      <c r="AU856" s="30"/>
      <c r="AV856" s="30"/>
      <c r="AW856" s="30"/>
      <c r="AX856" s="30"/>
      <c r="AY856" s="64"/>
      <c r="AZ856" s="30"/>
      <c r="BA856" s="64"/>
      <c r="BB856" s="30"/>
      <c r="BC856" s="30"/>
      <c r="BD856" s="30"/>
      <c r="BF856" s="30"/>
      <c r="BG856" s="30"/>
      <c r="BH856" s="30"/>
      <c r="BI856" s="30"/>
      <c r="BJ856" s="30"/>
      <c r="BL856" s="30"/>
      <c r="BM856" s="30"/>
      <c r="BN856" s="30"/>
      <c r="BO856" s="30"/>
      <c r="BP856" s="30"/>
    </row>
    <row r="857" spans="44:73" x14ac:dyDescent="0.3">
      <c r="AR857" s="30"/>
      <c r="AT857" s="23"/>
      <c r="AU857" s="30"/>
      <c r="AV857" s="30"/>
      <c r="AW857" s="30"/>
      <c r="AX857" s="30"/>
      <c r="AY857" s="64"/>
      <c r="AZ857" s="30"/>
      <c r="BA857" s="64"/>
      <c r="BB857" s="30"/>
      <c r="BC857" s="30"/>
      <c r="BD857" s="30"/>
      <c r="BF857" s="30"/>
      <c r="BG857" s="30"/>
      <c r="BH857" s="30"/>
      <c r="BI857" s="30"/>
      <c r="BJ857" s="30"/>
      <c r="BL857" s="30"/>
      <c r="BM857" s="30"/>
      <c r="BN857" s="30"/>
      <c r="BO857" s="30"/>
      <c r="BP857" s="30"/>
    </row>
    <row r="858" spans="44:73" x14ac:dyDescent="0.3">
      <c r="AR858" s="29"/>
      <c r="AS858" s="29"/>
      <c r="AT858" s="29"/>
      <c r="AU858" s="29"/>
      <c r="AV858" s="29"/>
      <c r="AW858" s="29"/>
      <c r="AX858" s="29"/>
      <c r="AY858" s="63"/>
      <c r="AZ858" s="29"/>
      <c r="BA858" s="63"/>
      <c r="BB858" s="29"/>
      <c r="BC858" s="29"/>
      <c r="BD858" s="29"/>
      <c r="BF858" s="29"/>
      <c r="BG858" s="29"/>
      <c r="BH858" s="29"/>
      <c r="BI858" s="29"/>
      <c r="BJ858" s="29"/>
      <c r="BL858" s="29"/>
      <c r="BM858" s="29"/>
      <c r="BN858" s="29"/>
      <c r="BO858" s="29"/>
      <c r="BP858" s="29"/>
    </row>
    <row r="859" spans="44:73" x14ac:dyDescent="0.3">
      <c r="AU859" s="30"/>
      <c r="AV859" s="30"/>
      <c r="AW859" s="30"/>
      <c r="AX859" s="30"/>
      <c r="AY859" s="64"/>
      <c r="AZ859" s="30"/>
      <c r="BA859" s="64"/>
      <c r="BB859" s="30"/>
      <c r="BC859" s="30"/>
      <c r="BD859" s="30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</row>
    <row r="860" spans="44:73" x14ac:dyDescent="0.3">
      <c r="AR860" s="22"/>
      <c r="AS860" s="23"/>
      <c r="AU860" s="32"/>
      <c r="AV860" s="32"/>
      <c r="AW860" s="62"/>
      <c r="AX860" s="62"/>
      <c r="AY860" s="62"/>
      <c r="AZ860" s="44"/>
      <c r="BA860" s="62"/>
      <c r="BB860" s="62"/>
      <c r="BC860" s="62"/>
      <c r="BD860" s="44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</row>
    <row r="861" spans="44:73" x14ac:dyDescent="0.3">
      <c r="AR861" s="22"/>
      <c r="AU861" s="32"/>
      <c r="AV861" s="32"/>
      <c r="AW861" s="62"/>
      <c r="AX861" s="62"/>
      <c r="AY861" s="62"/>
      <c r="AZ861" s="44"/>
      <c r="BA861" s="62"/>
      <c r="BB861" s="62"/>
      <c r="BC861" s="62"/>
      <c r="BD861" s="44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</row>
    <row r="862" spans="44:73" x14ac:dyDescent="0.3">
      <c r="AR862" s="22"/>
      <c r="AU862" s="32"/>
      <c r="AV862" s="32"/>
      <c r="AW862" s="62"/>
      <c r="AX862" s="62"/>
      <c r="AY862" s="62"/>
      <c r="AZ862" s="44"/>
      <c r="BA862" s="62"/>
      <c r="BB862" s="62"/>
      <c r="BC862" s="62"/>
      <c r="BD862" s="44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</row>
    <row r="863" spans="44:73" x14ac:dyDescent="0.3">
      <c r="AR863" s="22"/>
      <c r="AU863" s="32"/>
      <c r="AV863" s="32"/>
      <c r="AW863" s="62"/>
      <c r="AX863" s="62"/>
      <c r="AY863" s="62"/>
      <c r="AZ863" s="44"/>
      <c r="BA863" s="62"/>
      <c r="BB863" s="62"/>
      <c r="BC863" s="62"/>
      <c r="BD863" s="44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</row>
    <row r="864" spans="44:73" x14ac:dyDescent="0.3">
      <c r="AR864" s="22"/>
      <c r="AU864" s="32"/>
      <c r="AV864" s="32"/>
      <c r="AW864" s="62"/>
      <c r="AX864" s="62"/>
      <c r="AY864" s="62"/>
      <c r="AZ864" s="44"/>
      <c r="BA864" s="62"/>
      <c r="BB864" s="62"/>
      <c r="BC864" s="62"/>
      <c r="BD864" s="44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</row>
    <row r="865" spans="44:70" x14ac:dyDescent="0.3">
      <c r="AR865" s="22"/>
      <c r="AU865" s="32"/>
      <c r="AV865" s="32"/>
      <c r="AW865" s="62"/>
      <c r="AX865" s="62"/>
      <c r="AY865" s="62"/>
      <c r="AZ865" s="44"/>
      <c r="BA865" s="62"/>
      <c r="BB865" s="62"/>
      <c r="BC865" s="62"/>
      <c r="BD865" s="44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</row>
    <row r="866" spans="44:70" x14ac:dyDescent="0.3">
      <c r="AR866" s="22"/>
      <c r="AU866" s="32"/>
      <c r="AV866" s="32"/>
      <c r="AW866" s="62"/>
      <c r="AX866" s="62"/>
      <c r="AY866" s="62"/>
      <c r="AZ866" s="44"/>
      <c r="BA866" s="62"/>
      <c r="BB866" s="62"/>
      <c r="BC866" s="62"/>
      <c r="BD866" s="44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</row>
    <row r="867" spans="44:70" x14ac:dyDescent="0.3">
      <c r="AR867" s="22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</row>
    <row r="868" spans="44:70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</row>
    <row r="869" spans="44:70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</row>
    <row r="870" spans="44:70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</row>
    <row r="871" spans="44:70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</row>
    <row r="872" spans="44:70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</row>
    <row r="873" spans="44:70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</row>
    <row r="874" spans="44:70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</row>
    <row r="875" spans="44:70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</row>
    <row r="876" spans="44:70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</row>
    <row r="877" spans="44:70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</row>
    <row r="878" spans="44:70" x14ac:dyDescent="0.3">
      <c r="AY878" s="62"/>
      <c r="BA878" s="62"/>
      <c r="BB878" s="62"/>
      <c r="BC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</row>
    <row r="879" spans="44:70" x14ac:dyDescent="0.3">
      <c r="AR879" s="22"/>
      <c r="AS879" s="23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70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AR893" s="22"/>
      <c r="AU893" s="32"/>
      <c r="AV893" s="32"/>
      <c r="AW893" s="62"/>
      <c r="AX893" s="62"/>
      <c r="AY893" s="62"/>
      <c r="AZ893" s="44"/>
      <c r="BA893" s="62"/>
      <c r="BB893" s="62"/>
      <c r="BC893" s="62"/>
      <c r="BD893" s="44"/>
    </row>
    <row r="894" spans="44:56" x14ac:dyDescent="0.3">
      <c r="AR894" s="22"/>
      <c r="AU894" s="32"/>
      <c r="AV894" s="32"/>
      <c r="AW894" s="62"/>
      <c r="AX894" s="62"/>
      <c r="AY894" s="62"/>
      <c r="AZ894" s="44"/>
      <c r="BA894" s="62"/>
      <c r="BB894" s="62"/>
      <c r="BC894" s="62"/>
      <c r="BD894" s="44"/>
    </row>
    <row r="895" spans="44:56" x14ac:dyDescent="0.3">
      <c r="AR895" s="22"/>
      <c r="AU895" s="32"/>
      <c r="AV895" s="32"/>
      <c r="AW895" s="62"/>
      <c r="AX895" s="62"/>
      <c r="AY895" s="62"/>
      <c r="AZ895" s="44"/>
      <c r="BA895" s="62"/>
      <c r="BB895" s="62"/>
      <c r="BC895" s="62"/>
      <c r="BD895" s="44"/>
    </row>
    <row r="896" spans="44:56" x14ac:dyDescent="0.3">
      <c r="AR896" s="22"/>
      <c r="AU896" s="32"/>
      <c r="AV896" s="32"/>
      <c r="AW896" s="62"/>
      <c r="AX896" s="62"/>
      <c r="AY896" s="62"/>
      <c r="AZ896" s="44"/>
      <c r="BA896" s="62"/>
      <c r="BB896" s="62"/>
      <c r="BC896" s="62"/>
      <c r="BD896" s="44"/>
    </row>
    <row r="897" spans="44:56" x14ac:dyDescent="0.3">
      <c r="BA897" s="62"/>
    </row>
    <row r="898" spans="44:56" x14ac:dyDescent="0.3">
      <c r="AT898" s="23"/>
      <c r="BA898" s="62"/>
    </row>
    <row r="899" spans="44:56" x14ac:dyDescent="0.3">
      <c r="AT899" s="23"/>
    </row>
    <row r="900" spans="44:56" x14ac:dyDescent="0.3">
      <c r="AT900" s="23"/>
      <c r="BA900" s="62"/>
    </row>
    <row r="901" spans="44:56" x14ac:dyDescent="0.3">
      <c r="AR901" s="23"/>
      <c r="AY901" s="62"/>
      <c r="BA901" s="62"/>
    </row>
    <row r="902" spans="44:56" x14ac:dyDescent="0.3">
      <c r="AX902" s="22"/>
      <c r="AY902" s="62"/>
      <c r="BA902" s="62"/>
    </row>
    <row r="903" spans="44:56" x14ac:dyDescent="0.3">
      <c r="AX903" s="62"/>
      <c r="AY903" s="62"/>
      <c r="BA903" s="62"/>
    </row>
    <row r="904" spans="44:56" x14ac:dyDescent="0.3">
      <c r="AX904" s="23"/>
      <c r="AY904" s="62"/>
      <c r="BA904" s="62"/>
    </row>
    <row r="905" spans="44:56" x14ac:dyDescent="0.3">
      <c r="AX905" s="23"/>
      <c r="AY905" s="62"/>
      <c r="BA905" s="62"/>
    </row>
    <row r="906" spans="44:56" x14ac:dyDescent="0.3">
      <c r="AR906" s="22"/>
      <c r="AY906" s="62"/>
      <c r="BA906" s="62"/>
      <c r="BC906" s="23"/>
    </row>
    <row r="907" spans="44:56" x14ac:dyDescent="0.3">
      <c r="AR907" s="22"/>
      <c r="AY907" s="62"/>
      <c r="BA907" s="62"/>
      <c r="BC907" s="23"/>
    </row>
    <row r="908" spans="44:56" x14ac:dyDescent="0.3">
      <c r="AR908" s="23"/>
      <c r="AY908" s="62"/>
      <c r="BA908" s="62"/>
      <c r="BC908" s="23"/>
    </row>
    <row r="909" spans="44:56" x14ac:dyDescent="0.3">
      <c r="AY909" s="62"/>
      <c r="BA909" s="62"/>
      <c r="BC909" s="22"/>
    </row>
    <row r="910" spans="44:56" x14ac:dyDescent="0.3">
      <c r="AR910" s="29"/>
      <c r="AS910" s="29"/>
      <c r="AT910" s="29"/>
      <c r="AU910" s="29"/>
      <c r="AV910" s="29"/>
      <c r="AW910" s="29"/>
      <c r="AX910" s="29"/>
      <c r="AY910" s="63"/>
      <c r="AZ910" s="29"/>
      <c r="BA910" s="63"/>
      <c r="BB910" s="29"/>
      <c r="BC910" s="29"/>
      <c r="BD910" s="29"/>
    </row>
    <row r="911" spans="44:56" x14ac:dyDescent="0.3">
      <c r="AW911" s="23"/>
      <c r="AY911" s="62"/>
      <c r="BA911" s="62"/>
    </row>
    <row r="912" spans="44:56" x14ac:dyDescent="0.3">
      <c r="AW912" s="29"/>
      <c r="AX912" s="29"/>
      <c r="AY912" s="63"/>
      <c r="AZ912" s="29"/>
      <c r="BA912" s="62"/>
      <c r="BB912" s="30"/>
      <c r="BC912" s="30"/>
    </row>
    <row r="913" spans="44:56" x14ac:dyDescent="0.3">
      <c r="AU913" s="30"/>
      <c r="AV913" s="30"/>
      <c r="AY913" s="64"/>
      <c r="AZ913" s="30"/>
      <c r="BA913" s="62"/>
      <c r="BB913" s="30"/>
      <c r="BC913" s="30"/>
      <c r="BD913" s="30"/>
    </row>
    <row r="914" spans="44:56" x14ac:dyDescent="0.3">
      <c r="AU914" s="30"/>
      <c r="AV914" s="30"/>
      <c r="AW914" s="30"/>
      <c r="AX914" s="30"/>
      <c r="AY914" s="64"/>
      <c r="AZ914" s="30"/>
      <c r="BA914" s="64"/>
      <c r="BB914" s="30"/>
      <c r="BC914" s="30"/>
      <c r="BD914" s="30"/>
    </row>
    <row r="915" spans="44:56" x14ac:dyDescent="0.3">
      <c r="AR915" s="30"/>
      <c r="AT915" s="23"/>
      <c r="AU915" s="30"/>
      <c r="AV915" s="30"/>
      <c r="AW915" s="30"/>
      <c r="AX915" s="30"/>
      <c r="AY915" s="64"/>
      <c r="AZ915" s="30"/>
      <c r="BA915" s="64"/>
      <c r="BB915" s="30"/>
      <c r="BC915" s="30"/>
      <c r="BD915" s="30"/>
    </row>
    <row r="916" spans="44:56" x14ac:dyDescent="0.3">
      <c r="AR916" s="30"/>
      <c r="AT916" s="23"/>
      <c r="AU916" s="30"/>
      <c r="AV916" s="30"/>
      <c r="AW916" s="30"/>
      <c r="AX916" s="30"/>
      <c r="AY916" s="64"/>
      <c r="AZ916" s="30"/>
      <c r="BA916" s="64"/>
      <c r="BB916" s="30"/>
      <c r="BC916" s="30"/>
      <c r="BD916" s="30"/>
    </row>
    <row r="917" spans="44:56" x14ac:dyDescent="0.3">
      <c r="AR917" s="29"/>
      <c r="AS917" s="29"/>
      <c r="AT917" s="29"/>
      <c r="AU917" s="29"/>
      <c r="AV917" s="29"/>
      <c r="AW917" s="29"/>
      <c r="AX917" s="29"/>
      <c r="AY917" s="63"/>
      <c r="AZ917" s="29"/>
      <c r="BA917" s="63"/>
      <c r="BB917" s="29"/>
      <c r="BC917" s="29"/>
      <c r="BD917" s="29"/>
    </row>
    <row r="918" spans="44:56" x14ac:dyDescent="0.3">
      <c r="AU918" s="30"/>
      <c r="AV918" s="30"/>
      <c r="AW918" s="30"/>
      <c r="AX918" s="30"/>
      <c r="AY918" s="64"/>
      <c r="AZ918" s="30"/>
      <c r="BA918" s="64"/>
      <c r="BB918" s="30"/>
      <c r="BC918" s="30"/>
      <c r="BD918" s="30"/>
    </row>
    <row r="919" spans="44:56" x14ac:dyDescent="0.3">
      <c r="AR919" s="22"/>
      <c r="AS919" s="23"/>
      <c r="AU919" s="32"/>
      <c r="AV919" s="32"/>
      <c r="AW919" s="62"/>
      <c r="AX919" s="62"/>
      <c r="AY919" s="62"/>
      <c r="AZ919" s="44"/>
      <c r="BA919" s="62"/>
      <c r="BB919" s="62"/>
      <c r="BC919" s="62"/>
      <c r="BD919" s="44"/>
    </row>
    <row r="920" spans="44:56" x14ac:dyDescent="0.3">
      <c r="AR920" s="22"/>
      <c r="AU920" s="32"/>
      <c r="AV920" s="32"/>
      <c r="AW920" s="62"/>
      <c r="AX920" s="62"/>
      <c r="AY920" s="62"/>
      <c r="AZ920" s="44"/>
      <c r="BA920" s="62"/>
      <c r="BB920" s="62"/>
      <c r="BC920" s="62"/>
      <c r="BD920" s="44"/>
    </row>
    <row r="921" spans="44:56" x14ac:dyDescent="0.3">
      <c r="AR921" s="22"/>
      <c r="AU921" s="32"/>
      <c r="AV921" s="32"/>
      <c r="AW921" s="62"/>
      <c r="AX921" s="62"/>
      <c r="AY921" s="62"/>
      <c r="AZ921" s="44"/>
      <c r="BA921" s="62"/>
      <c r="BB921" s="62"/>
      <c r="BC921" s="62"/>
      <c r="BD921" s="44"/>
    </row>
    <row r="922" spans="44:56" x14ac:dyDescent="0.3">
      <c r="AR922" s="22"/>
      <c r="AU922" s="32"/>
      <c r="AV922" s="32"/>
      <c r="AW922" s="62"/>
      <c r="AX922" s="62"/>
      <c r="AY922" s="62"/>
      <c r="AZ922" s="44"/>
      <c r="BA922" s="62"/>
      <c r="BB922" s="62"/>
      <c r="BC922" s="62"/>
      <c r="BD922" s="44"/>
    </row>
    <row r="923" spans="44:56" x14ac:dyDescent="0.3">
      <c r="AR923" s="22"/>
      <c r="AU923" s="32"/>
      <c r="AV923" s="32"/>
      <c r="AW923" s="62"/>
      <c r="AX923" s="62"/>
      <c r="AY923" s="62"/>
      <c r="AZ923" s="44"/>
      <c r="BA923" s="62"/>
      <c r="BB923" s="62"/>
      <c r="BC923" s="62"/>
      <c r="BD923" s="44"/>
    </row>
    <row r="924" spans="44:56" x14ac:dyDescent="0.3">
      <c r="AR924" s="22"/>
      <c r="AU924" s="32"/>
      <c r="AV924" s="32"/>
      <c r="AW924" s="62"/>
      <c r="AX924" s="62"/>
      <c r="AY924" s="62"/>
      <c r="AZ924" s="44"/>
      <c r="BA924" s="62"/>
      <c r="BB924" s="62"/>
      <c r="BC924" s="62"/>
      <c r="BD924" s="44"/>
    </row>
    <row r="925" spans="44:56" x14ac:dyDescent="0.3">
      <c r="AR925" s="22"/>
      <c r="AU925" s="32"/>
      <c r="AV925" s="32"/>
      <c r="AW925" s="62"/>
      <c r="AX925" s="62"/>
      <c r="AY925" s="62"/>
      <c r="AZ925" s="44"/>
      <c r="BA925" s="62"/>
      <c r="BB925" s="62"/>
      <c r="BC925" s="62"/>
      <c r="BD925" s="44"/>
    </row>
    <row r="926" spans="44:56" x14ac:dyDescent="0.3">
      <c r="AR926" s="22"/>
      <c r="AU926" s="32"/>
      <c r="AV926" s="32"/>
      <c r="AW926" s="62"/>
      <c r="AX926" s="62"/>
      <c r="AY926" s="62"/>
      <c r="AZ926" s="44"/>
      <c r="BA926" s="62"/>
      <c r="BB926" s="62"/>
      <c r="BC926" s="62"/>
      <c r="BD926" s="44"/>
    </row>
    <row r="927" spans="44:56" x14ac:dyDescent="0.3">
      <c r="AR927" s="22"/>
      <c r="AU927" s="32"/>
      <c r="AV927" s="32"/>
      <c r="AW927" s="62"/>
      <c r="AX927" s="62"/>
      <c r="AY927" s="62"/>
      <c r="AZ927" s="44"/>
      <c r="BA927" s="62"/>
      <c r="BB927" s="62"/>
      <c r="BC927" s="62"/>
      <c r="BD927" s="44"/>
    </row>
    <row r="928" spans="44:56" x14ac:dyDescent="0.3">
      <c r="AR928" s="22"/>
      <c r="AU928" s="32"/>
      <c r="AV928" s="32"/>
      <c r="AW928" s="62"/>
      <c r="AX928" s="62"/>
      <c r="AY928" s="62"/>
      <c r="AZ928" s="44"/>
      <c r="BA928" s="62"/>
      <c r="BB928" s="62"/>
      <c r="BC928" s="62"/>
      <c r="BD928" s="44"/>
    </row>
    <row r="929" spans="44:56" x14ac:dyDescent="0.3">
      <c r="AU929" s="32"/>
      <c r="AV929" s="32"/>
      <c r="BA929" s="62"/>
    </row>
    <row r="930" spans="44:56" x14ac:dyDescent="0.3">
      <c r="AR930" s="22"/>
      <c r="AS930" s="23"/>
      <c r="AU930" s="32"/>
      <c r="AV930" s="32"/>
      <c r="AW930" s="62"/>
      <c r="AX930" s="62"/>
      <c r="AY930" s="62"/>
      <c r="AZ930" s="44"/>
      <c r="BA930" s="62"/>
      <c r="BB930" s="62"/>
      <c r="BC930" s="62"/>
      <c r="BD930" s="44"/>
    </row>
    <row r="931" spans="44:56" x14ac:dyDescent="0.3">
      <c r="AR931" s="22"/>
      <c r="AU931" s="32"/>
      <c r="AV931" s="32"/>
      <c r="AW931" s="62"/>
      <c r="AX931" s="62"/>
      <c r="AY931" s="62"/>
      <c r="AZ931" s="44"/>
      <c r="BA931" s="62"/>
      <c r="BB931" s="62"/>
      <c r="BC931" s="62"/>
      <c r="BD931" s="44"/>
    </row>
    <row r="932" spans="44:56" x14ac:dyDescent="0.3">
      <c r="AR932" s="22"/>
      <c r="AU932" s="32"/>
      <c r="AV932" s="32"/>
      <c r="AW932" s="62"/>
      <c r="AX932" s="62"/>
      <c r="AY932" s="62"/>
      <c r="AZ932" s="44"/>
      <c r="BA932" s="62"/>
      <c r="BB932" s="62"/>
      <c r="BC932" s="62"/>
      <c r="BD932" s="44"/>
    </row>
    <row r="933" spans="44:56" x14ac:dyDescent="0.3">
      <c r="AR933" s="22"/>
      <c r="AU933" s="32"/>
      <c r="AV933" s="32"/>
      <c r="AW933" s="62"/>
      <c r="AX933" s="62"/>
      <c r="AY933" s="62"/>
      <c r="AZ933" s="44"/>
      <c r="BA933" s="62"/>
      <c r="BB933" s="62"/>
      <c r="BC933" s="62"/>
      <c r="BD933" s="44"/>
    </row>
    <row r="934" spans="44:56" x14ac:dyDescent="0.3">
      <c r="AR934" s="22"/>
      <c r="AU934" s="32"/>
      <c r="AV934" s="32"/>
      <c r="AW934" s="62"/>
      <c r="AX934" s="62"/>
      <c r="AY934" s="62"/>
      <c r="AZ934" s="44"/>
      <c r="BA934" s="62"/>
      <c r="BB934" s="62"/>
      <c r="BC934" s="62"/>
      <c r="BD934" s="44"/>
    </row>
    <row r="935" spans="44:56" x14ac:dyDescent="0.3">
      <c r="AR935" s="22"/>
      <c r="AU935" s="32"/>
      <c r="AV935" s="32"/>
      <c r="AW935" s="62"/>
      <c r="AX935" s="62"/>
      <c r="AY935" s="62"/>
      <c r="AZ935" s="44"/>
      <c r="BA935" s="62"/>
      <c r="BB935" s="62"/>
      <c r="BC935" s="62"/>
      <c r="BD935" s="44"/>
    </row>
    <row r="936" spans="44:56" x14ac:dyDescent="0.3">
      <c r="AR936" s="22"/>
      <c r="AU936" s="32"/>
      <c r="AV936" s="32"/>
      <c r="AW936" s="62"/>
      <c r="AX936" s="62"/>
      <c r="AY936" s="62"/>
      <c r="AZ936" s="44"/>
      <c r="BA936" s="62"/>
      <c r="BB936" s="62"/>
      <c r="BC936" s="62"/>
      <c r="BD936" s="44"/>
    </row>
    <row r="937" spans="44:56" x14ac:dyDescent="0.3">
      <c r="AR937" s="22"/>
      <c r="AU937" s="32"/>
      <c r="AV937" s="32"/>
      <c r="AW937" s="62"/>
      <c r="AX937" s="62"/>
      <c r="AY937" s="62"/>
      <c r="AZ937" s="44"/>
      <c r="BA937" s="62"/>
      <c r="BB937" s="62"/>
      <c r="BC937" s="62"/>
      <c r="BD937" s="44"/>
    </row>
    <row r="938" spans="44:56" x14ac:dyDescent="0.3">
      <c r="AR938" s="22"/>
      <c r="AU938" s="32"/>
      <c r="AV938" s="32"/>
      <c r="AW938" s="62"/>
      <c r="AX938" s="62"/>
      <c r="AY938" s="62"/>
      <c r="AZ938" s="44"/>
      <c r="BA938" s="62"/>
      <c r="BB938" s="62"/>
      <c r="BC938" s="62"/>
      <c r="BD938" s="44"/>
    </row>
    <row r="939" spans="44:56" x14ac:dyDescent="0.3">
      <c r="AR939" s="22"/>
      <c r="AU939" s="32"/>
      <c r="AV939" s="32"/>
      <c r="AW939" s="62"/>
      <c r="AX939" s="62"/>
      <c r="AY939" s="62"/>
      <c r="AZ939" s="44"/>
      <c r="BA939" s="62"/>
      <c r="BB939" s="62"/>
      <c r="BC939" s="62"/>
      <c r="BD939" s="44"/>
    </row>
    <row r="941" spans="44:56" x14ac:dyDescent="0.3">
      <c r="AT941" s="23"/>
    </row>
    <row r="942" spans="44:56" x14ac:dyDescent="0.3">
      <c r="AT942" s="23"/>
    </row>
    <row r="943" spans="44:56" x14ac:dyDescent="0.3">
      <c r="AT943" s="23"/>
    </row>
    <row r="944" spans="44:56" x14ac:dyDescent="0.3">
      <c r="AR944" s="23"/>
    </row>
    <row r="965" spans="51:70" x14ac:dyDescent="0.3">
      <c r="AY965" s="62"/>
      <c r="BA965" s="62"/>
      <c r="BB965" s="62"/>
      <c r="BC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</row>
    <row r="966" spans="51:70" x14ac:dyDescent="0.3">
      <c r="AY966" s="62"/>
      <c r="BA966" s="62"/>
      <c r="BB966" s="62"/>
      <c r="BC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</row>
    <row r="967" spans="51:70" x14ac:dyDescent="0.3">
      <c r="AY967" s="62"/>
      <c r="BA967" s="62"/>
      <c r="BB967" s="62"/>
      <c r="BC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</row>
    <row r="968" spans="51:70" x14ac:dyDescent="0.3">
      <c r="AY968" s="62"/>
      <c r="BA968" s="62"/>
      <c r="BB968" s="62"/>
      <c r="BC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</row>
    <row r="969" spans="51:70" x14ac:dyDescent="0.3">
      <c r="AY969" s="62"/>
      <c r="BA969" s="62"/>
      <c r="BB969" s="62"/>
      <c r="BC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</row>
    <row r="970" spans="51:70" x14ac:dyDescent="0.3">
      <c r="AY970" s="62"/>
      <c r="BA970" s="62"/>
      <c r="BB970" s="62"/>
      <c r="BC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</row>
    <row r="971" spans="51:70" x14ac:dyDescent="0.3">
      <c r="AY971" s="62"/>
      <c r="BA971" s="62"/>
      <c r="BB971" s="62"/>
      <c r="BC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</row>
    <row r="972" spans="51:70" x14ac:dyDescent="0.3">
      <c r="AY972" s="62"/>
      <c r="BA972" s="62"/>
      <c r="BB972" s="62"/>
      <c r="BC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</row>
    <row r="973" spans="51:70" x14ac:dyDescent="0.3">
      <c r="AY973" s="62"/>
      <c r="BA973" s="62"/>
      <c r="BB973" s="62"/>
      <c r="BC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</row>
    <row r="974" spans="51:70" x14ac:dyDescent="0.3">
      <c r="AY974" s="62"/>
      <c r="BA974" s="62"/>
      <c r="BB974" s="62"/>
      <c r="BC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</row>
    <row r="975" spans="51:70" x14ac:dyDescent="0.3">
      <c r="AY975" s="62"/>
      <c r="BA975" s="62"/>
      <c r="BB975" s="62"/>
      <c r="BC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</row>
    <row r="976" spans="51:70" x14ac:dyDescent="0.3">
      <c r="AY976" s="62"/>
      <c r="BA976" s="62"/>
      <c r="BB976" s="62"/>
      <c r="BC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</row>
    <row r="977" spans="51:70" x14ac:dyDescent="0.3">
      <c r="AY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</row>
    <row r="978" spans="51:70" x14ac:dyDescent="0.3">
      <c r="AY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</row>
    <row r="979" spans="51:70" x14ac:dyDescent="0.3">
      <c r="AY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</row>
    <row r="980" spans="51:70" x14ac:dyDescent="0.3">
      <c r="AY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</row>
    <row r="981" spans="51:70" x14ac:dyDescent="0.3">
      <c r="AY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</row>
    <row r="982" spans="51:70" x14ac:dyDescent="0.3">
      <c r="AY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</row>
    <row r="983" spans="51:70" x14ac:dyDescent="0.3">
      <c r="AY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</row>
    <row r="984" spans="51:70" x14ac:dyDescent="0.3">
      <c r="AY984" s="62"/>
    </row>
    <row r="985" spans="51:70" x14ac:dyDescent="0.3">
      <c r="AY985" s="62"/>
    </row>
    <row r="999" spans="1:27" x14ac:dyDescent="0.3">
      <c r="A999" s="23"/>
    </row>
    <row r="1002" spans="1:27" x14ac:dyDescent="0.3">
      <c r="X1002" s="23"/>
    </row>
    <row r="1003" spans="1:27" x14ac:dyDescent="0.3">
      <c r="A1003" s="23"/>
      <c r="H1003" s="23"/>
      <c r="I1003" s="23"/>
    </row>
    <row r="1004" spans="1:27" x14ac:dyDescent="0.3">
      <c r="A1004" s="23"/>
      <c r="V1004" s="30"/>
      <c r="Z1004" s="30"/>
      <c r="AA1004" s="30"/>
    </row>
    <row r="1005" spans="1:27" x14ac:dyDescent="0.3">
      <c r="A1005" s="23"/>
      <c r="V1005" s="29"/>
      <c r="Z1005" s="29"/>
      <c r="AA1005" s="29"/>
    </row>
    <row r="1006" spans="1:27" x14ac:dyDescent="0.3">
      <c r="A1006" s="23"/>
      <c r="U1006" s="23"/>
      <c r="Z1006" s="30"/>
      <c r="AA1006" s="30"/>
    </row>
    <row r="1007" spans="1:27" x14ac:dyDescent="0.3">
      <c r="A1007" s="23"/>
    </row>
    <row r="1008" spans="1:27" x14ac:dyDescent="0.3">
      <c r="A1008" s="23"/>
      <c r="U1008" s="23"/>
      <c r="Z1008" s="30"/>
      <c r="AA1008" s="30"/>
    </row>
    <row r="1009" spans="1:27" x14ac:dyDescent="0.3">
      <c r="A1009" s="23"/>
    </row>
    <row r="1010" spans="1:27" x14ac:dyDescent="0.3">
      <c r="A1010" s="23"/>
      <c r="U1010" s="23"/>
      <c r="V1010" s="210"/>
      <c r="Z1010" s="30"/>
      <c r="AA1010" s="30"/>
    </row>
    <row r="1011" spans="1:27" x14ac:dyDescent="0.3">
      <c r="A1011" s="23"/>
    </row>
    <row r="1012" spans="1:27" x14ac:dyDescent="0.3">
      <c r="A1012" s="23"/>
      <c r="U1012" s="23"/>
      <c r="Z1012" s="30"/>
      <c r="AA1012" s="30"/>
    </row>
    <row r="1013" spans="1:27" x14ac:dyDescent="0.3">
      <c r="A1013" s="23"/>
    </row>
    <row r="1014" spans="1:27" x14ac:dyDescent="0.3">
      <c r="A1014" s="23"/>
      <c r="U1014" s="23"/>
      <c r="Z1014" s="30"/>
      <c r="AA1014" s="30"/>
    </row>
    <row r="1015" spans="1:27" x14ac:dyDescent="0.3">
      <c r="A1015" s="23"/>
    </row>
    <row r="1016" spans="1:27" x14ac:dyDescent="0.3">
      <c r="A1016" s="23"/>
    </row>
    <row r="1017" spans="1:27" x14ac:dyDescent="0.3">
      <c r="A1017" s="23"/>
    </row>
    <row r="1018" spans="1:27" x14ac:dyDescent="0.3">
      <c r="A1018" s="23"/>
    </row>
    <row r="1019" spans="1:27" x14ac:dyDescent="0.3">
      <c r="A1019" s="23"/>
    </row>
    <row r="1020" spans="1:27" x14ac:dyDescent="0.3">
      <c r="A1020" s="23"/>
    </row>
    <row r="1021" spans="1:27" x14ac:dyDescent="0.3">
      <c r="A1021" s="23"/>
    </row>
    <row r="1022" spans="1:27" x14ac:dyDescent="0.3">
      <c r="A1022" s="23"/>
    </row>
    <row r="1023" spans="1:27" x14ac:dyDescent="0.3">
      <c r="A1023" s="23"/>
    </row>
    <row r="1024" spans="1:27" x14ac:dyDescent="0.3">
      <c r="A1024" s="23"/>
    </row>
    <row r="1025" spans="1:9" x14ac:dyDescent="0.3">
      <c r="A1025" s="23"/>
      <c r="H1025" s="23"/>
      <c r="I1025" s="23"/>
    </row>
    <row r="1028" spans="1:9" x14ac:dyDescent="0.3">
      <c r="A1028" s="23"/>
    </row>
    <row r="1031" spans="1:9" x14ac:dyDescent="0.3">
      <c r="A1031" s="23"/>
    </row>
    <row r="1034" spans="1:9" x14ac:dyDescent="0.3">
      <c r="A1034" s="23"/>
    </row>
    <row r="1035" spans="1:9" x14ac:dyDescent="0.3">
      <c r="A1035" s="23"/>
    </row>
    <row r="1036" spans="1:9" x14ac:dyDescent="0.3">
      <c r="A1036" s="23"/>
    </row>
    <row r="1037" spans="1:9" x14ac:dyDescent="0.3">
      <c r="A1037" s="23"/>
    </row>
    <row r="1038" spans="1:9" x14ac:dyDescent="0.3">
      <c r="A1038" s="23"/>
    </row>
    <row r="1039" spans="1:9" x14ac:dyDescent="0.3">
      <c r="A1039" s="23"/>
    </row>
    <row r="1040" spans="1:9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  <row r="1048" spans="1:1" x14ac:dyDescent="0.3">
      <c r="A1048" s="23"/>
    </row>
    <row r="1049" spans="1:1" x14ac:dyDescent="0.3">
      <c r="A1049" s="23"/>
    </row>
    <row r="1050" spans="1:1" x14ac:dyDescent="0.3">
      <c r="A1050" s="23"/>
    </row>
    <row r="1051" spans="1:1" x14ac:dyDescent="0.3">
      <c r="A1051" s="23"/>
    </row>
    <row r="1052" spans="1:1" x14ac:dyDescent="0.3">
      <c r="A1052" s="23"/>
    </row>
    <row r="1053" spans="1:1" x14ac:dyDescent="0.3">
      <c r="A1053" s="23"/>
    </row>
    <row r="1054" spans="1:1" x14ac:dyDescent="0.3">
      <c r="A1054" s="23"/>
    </row>
    <row r="1055" spans="1:1" x14ac:dyDescent="0.3">
      <c r="A1055" s="23"/>
    </row>
    <row r="1056" spans="1:1" x14ac:dyDescent="0.3">
      <c r="A1056" s="23"/>
    </row>
    <row r="1057" spans="1:1" x14ac:dyDescent="0.3">
      <c r="A1057" s="23"/>
    </row>
    <row r="1058" spans="1:1" x14ac:dyDescent="0.3">
      <c r="A1058" s="23"/>
    </row>
    <row r="1059" spans="1:1" x14ac:dyDescent="0.3">
      <c r="A1059" s="23"/>
    </row>
    <row r="1060" spans="1:1" x14ac:dyDescent="0.3">
      <c r="A1060" s="23"/>
    </row>
    <row r="1061" spans="1:1" x14ac:dyDescent="0.3">
      <c r="A1061" s="23"/>
    </row>
    <row r="1062" spans="1:1" x14ac:dyDescent="0.3">
      <c r="A1062" s="23"/>
    </row>
    <row r="1063" spans="1:1" x14ac:dyDescent="0.3">
      <c r="A1063" s="23"/>
    </row>
    <row r="1064" spans="1:1" x14ac:dyDescent="0.3">
      <c r="A1064" s="23"/>
    </row>
    <row r="1065" spans="1:1" x14ac:dyDescent="0.3">
      <c r="A1065" s="23"/>
    </row>
    <row r="1066" spans="1:1" x14ac:dyDescent="0.3">
      <c r="A1066" s="23"/>
    </row>
    <row r="1067" spans="1:1" x14ac:dyDescent="0.3">
      <c r="A1067" s="23"/>
    </row>
    <row r="1068" spans="1:1" x14ac:dyDescent="0.3">
      <c r="A1068" s="23"/>
    </row>
    <row r="1073" spans="1:1" x14ac:dyDescent="0.3">
      <c r="A1073" s="23"/>
    </row>
    <row r="1074" spans="1:1" x14ac:dyDescent="0.3">
      <c r="A1074" s="23"/>
    </row>
    <row r="1077" spans="1:1" x14ac:dyDescent="0.3">
      <c r="A1077" s="23"/>
    </row>
    <row r="1079" spans="1:1" x14ac:dyDescent="0.3">
      <c r="A1079" s="23"/>
    </row>
    <row r="1081" spans="1:1" x14ac:dyDescent="0.3">
      <c r="A1081" s="23"/>
    </row>
    <row r="1083" spans="1:1" x14ac:dyDescent="0.3">
      <c r="A1083" s="23"/>
    </row>
    <row r="1086" spans="1:1" x14ac:dyDescent="0.3">
      <c r="A1086" s="23"/>
    </row>
    <row r="1087" spans="1:1" x14ac:dyDescent="0.3">
      <c r="A1087" s="23"/>
    </row>
    <row r="1088" spans="1:1" x14ac:dyDescent="0.3">
      <c r="A1088" s="23"/>
    </row>
    <row r="1089" spans="1:1" x14ac:dyDescent="0.3">
      <c r="A1089" s="23"/>
    </row>
    <row r="1090" spans="1:1" x14ac:dyDescent="0.3">
      <c r="A1090" s="23"/>
    </row>
    <row r="1091" spans="1:1" x14ac:dyDescent="0.3">
      <c r="A1091" s="23"/>
    </row>
    <row r="1092" spans="1:1" x14ac:dyDescent="0.3">
      <c r="A1092" s="23"/>
    </row>
    <row r="1093" spans="1:1" x14ac:dyDescent="0.3">
      <c r="A1093" s="23"/>
    </row>
  </sheetData>
  <customSheetViews>
    <customSheetView guid="{B7519FF1-05A6-4A79-8E47-A233872313D4}" scale="75" fitToPage="1">
      <selection activeCell="H26" sqref="H26"/>
      <rowBreaks count="16" manualBreakCount="16">
        <brk id="136" max="65535" man="1"/>
        <brk id="179" max="65535" man="1"/>
        <brk id="221" max="65535" man="1"/>
        <brk id="260" max="65535" man="1"/>
        <brk id="316" max="65535" man="1"/>
        <brk id="362" max="65535" man="1"/>
        <brk id="444" max="65535" man="1"/>
        <brk id="482" max="65535" man="1"/>
        <brk id="519" max="65535" man="1"/>
        <brk id="567" max="65535" man="1"/>
        <brk id="628" max="65535" man="1"/>
        <brk id="687" max="65535" man="1"/>
        <brk id="794" max="65535" man="1"/>
        <brk id="841" max="65535" man="1"/>
        <brk id="900" max="65535" man="1"/>
        <brk id="943" max="65535" man="1"/>
      </rowBreaks>
      <colBreaks count="1" manualBreakCount="1">
        <brk id="43" max="1048575" man="1"/>
      </colBreaks>
      <pageMargins left="0.5" right="0.5" top="1" bottom="0" header="0" footer="0"/>
      <pageSetup scale="74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9" orientation="landscape" r:id="rId2"/>
  <headerFooter alignWithMargins="0">
    <oddHeader>&amp;R&amp;"Times New Roman,Bold"&amp;10KyPSC Case No. 2021-00190
STAFF-DR-01-049 Attachment 2
Page &amp;P of &amp;N</oddHeader>
  </headerFooter>
  <rowBreaks count="16" manualBreakCount="16">
    <brk id="136" max="65535" man="1"/>
    <brk id="179" max="65535" man="1"/>
    <brk id="221" max="65535" man="1"/>
    <brk id="260" max="65535" man="1"/>
    <brk id="316" max="65535" man="1"/>
    <brk id="362" max="65535" man="1"/>
    <brk id="444" max="65535" man="1"/>
    <brk id="482" max="65535" man="1"/>
    <brk id="519" max="65535" man="1"/>
    <brk id="567" max="65535" man="1"/>
    <brk id="628" max="65535" man="1"/>
    <brk id="687" max="65535" man="1"/>
    <brk id="794" max="65535" man="1"/>
    <brk id="841" max="65535" man="1"/>
    <brk id="900" max="65535" man="1"/>
    <brk id="943" max="65535" man="1"/>
  </rowBreaks>
  <colBreaks count="1" manualBreakCount="1">
    <brk id="4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T113"/>
  <sheetViews>
    <sheetView tabSelected="1" view="pageBreakPreview" topLeftCell="A65" zoomScale="60" zoomScaleNormal="75" workbookViewId="0">
      <selection activeCell="P13" sqref="P13"/>
    </sheetView>
  </sheetViews>
  <sheetFormatPr defaultColWidth="8.9140625" defaultRowHeight="15.6" x14ac:dyDescent="0.3"/>
  <cols>
    <col min="1" max="1" width="4.25" style="25" customWidth="1"/>
    <col min="2" max="2" width="1" style="25" customWidth="1"/>
    <col min="3" max="3" width="18" style="25" customWidth="1"/>
    <col min="4" max="4" width="11.4140625" style="25" customWidth="1"/>
    <col min="5" max="5" width="11.9140625" style="25" customWidth="1"/>
    <col min="6" max="6" width="14.4140625" style="25" customWidth="1"/>
    <col min="7" max="7" width="12.9140625" style="25" customWidth="1"/>
    <col min="8" max="8" width="11.4140625" style="25" customWidth="1"/>
    <col min="9" max="9" width="11.58203125" style="25" customWidth="1"/>
    <col min="10" max="10" width="0.75" style="25" customWidth="1"/>
    <col min="11" max="11" width="14" style="25" customWidth="1"/>
    <col min="12" max="12" width="12.58203125" style="25" customWidth="1"/>
    <col min="13" max="13" width="12.6640625" style="25" customWidth="1"/>
    <col min="14" max="14" width="13.08203125" style="25" customWidth="1"/>
    <col min="15" max="15" width="12.9140625" style="25" customWidth="1"/>
    <col min="16" max="16" width="11.9140625" style="25" customWidth="1"/>
    <col min="17" max="17" width="13.58203125" style="25" customWidth="1"/>
    <col min="18" max="18" width="8.9140625" style="25"/>
    <col min="19" max="20" width="12.75" style="25" bestFit="1" customWidth="1"/>
    <col min="21" max="16384" width="8.9140625" style="25"/>
  </cols>
  <sheetData>
    <row r="1" spans="1:15" x14ac:dyDescent="0.3">
      <c r="A1" s="310" t="str">
        <f>COMPANY</f>
        <v>DUKE ENERGY KENTUCKY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5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x14ac:dyDescent="0.3">
      <c r="A3" s="20" t="s">
        <v>185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x14ac:dyDescent="0.3">
      <c r="A4" s="311" t="s">
        <v>99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5" x14ac:dyDescent="0.3">
      <c r="A5" s="311" t="str">
        <f>SERV_TYPE</f>
        <v>(GAS SERVICE)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5" x14ac:dyDescent="0.3">
      <c r="A6" s="26"/>
    </row>
    <row r="7" spans="1:15" x14ac:dyDescent="0.3">
      <c r="A7" s="24" t="str">
        <f>DATA_TYPE</f>
        <v>DATA: ___ BASE PERIOD   _X_FORECASTED PERIOD</v>
      </c>
      <c r="M7" s="26" t="s">
        <v>100</v>
      </c>
    </row>
    <row r="8" spans="1:15" x14ac:dyDescent="0.3">
      <c r="A8" s="24" t="str">
        <f>FILING_TYPE</f>
        <v>TYPE OF FILING: _X_ ORIGINAL   ___UPDATED  ___ REVISED</v>
      </c>
      <c r="M8" s="27" t="s">
        <v>186</v>
      </c>
    </row>
    <row r="9" spans="1:15" x14ac:dyDescent="0.3">
      <c r="A9" s="27" t="s">
        <v>103</v>
      </c>
      <c r="M9" s="26" t="s">
        <v>1</v>
      </c>
    </row>
    <row r="10" spans="1:15" x14ac:dyDescent="0.3">
      <c r="A10" s="177" t="str">
        <f>TIME</f>
        <v>12 MONTHS FORECASTED</v>
      </c>
      <c r="M10" s="24" t="str">
        <f>WIT</f>
        <v>J.L. Kern</v>
      </c>
    </row>
    <row r="11" spans="1:1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3" spans="1:15" x14ac:dyDescent="0.3">
      <c r="F13" s="2" t="s">
        <v>307</v>
      </c>
      <c r="G13" s="120"/>
      <c r="H13" s="120"/>
      <c r="I13" s="120"/>
      <c r="J13" s="49"/>
      <c r="L13" s="176" t="s">
        <v>8</v>
      </c>
      <c r="M13" s="176" t="s">
        <v>8</v>
      </c>
    </row>
    <row r="14" spans="1:15" x14ac:dyDescent="0.3">
      <c r="D14" s="176" t="s">
        <v>56</v>
      </c>
      <c r="E14" s="176" t="s">
        <v>56</v>
      </c>
      <c r="H14" s="176" t="s">
        <v>57</v>
      </c>
      <c r="I14" s="176" t="s">
        <v>58</v>
      </c>
      <c r="J14" s="176"/>
      <c r="L14" s="176" t="s">
        <v>5</v>
      </c>
      <c r="M14" s="176" t="s">
        <v>3</v>
      </c>
      <c r="N14" s="176" t="s">
        <v>58</v>
      </c>
    </row>
    <row r="15" spans="1:15" x14ac:dyDescent="0.3">
      <c r="D15" s="176" t="s">
        <v>59</v>
      </c>
      <c r="E15" s="176" t="s">
        <v>59</v>
      </c>
      <c r="F15" s="176" t="s">
        <v>5</v>
      </c>
      <c r="G15" s="176" t="s">
        <v>3</v>
      </c>
      <c r="H15" s="176" t="s">
        <v>60</v>
      </c>
      <c r="I15" s="176" t="s">
        <v>60</v>
      </c>
      <c r="J15" s="176"/>
      <c r="K15" s="176" t="s">
        <v>161</v>
      </c>
      <c r="L15" s="176" t="s">
        <v>61</v>
      </c>
      <c r="M15" s="176" t="s">
        <v>61</v>
      </c>
      <c r="N15" s="176" t="s">
        <v>60</v>
      </c>
    </row>
    <row r="16" spans="1:15" x14ac:dyDescent="0.3">
      <c r="A16" s="176" t="s">
        <v>14</v>
      </c>
      <c r="C16" s="176" t="s">
        <v>15</v>
      </c>
      <c r="D16" s="176" t="s">
        <v>62</v>
      </c>
      <c r="E16" s="176" t="s">
        <v>63</v>
      </c>
      <c r="F16" s="31" t="s">
        <v>61</v>
      </c>
      <c r="G16" s="31" t="s">
        <v>61</v>
      </c>
      <c r="H16" s="188" t="s">
        <v>64</v>
      </c>
      <c r="I16" s="188" t="s">
        <v>65</v>
      </c>
      <c r="J16" s="176"/>
      <c r="K16" s="31" t="s">
        <v>308</v>
      </c>
      <c r="L16" s="189" t="s">
        <v>66</v>
      </c>
      <c r="M16" s="189" t="s">
        <v>67</v>
      </c>
      <c r="N16" s="189" t="s">
        <v>172</v>
      </c>
    </row>
    <row r="17" spans="1:14" x14ac:dyDescent="0.3">
      <c r="A17" s="94" t="s">
        <v>19</v>
      </c>
      <c r="B17" s="75"/>
      <c r="C17" s="94" t="s">
        <v>20</v>
      </c>
      <c r="D17" s="180" t="s">
        <v>30</v>
      </c>
      <c r="E17" s="180" t="s">
        <v>31</v>
      </c>
      <c r="F17" s="180" t="s">
        <v>32</v>
      </c>
      <c r="G17" s="180" t="s">
        <v>33</v>
      </c>
      <c r="H17" s="180" t="s">
        <v>34</v>
      </c>
      <c r="I17" s="180" t="s">
        <v>35</v>
      </c>
      <c r="J17" s="180"/>
      <c r="K17" s="180" t="s">
        <v>36</v>
      </c>
      <c r="L17" s="179" t="s">
        <v>37</v>
      </c>
      <c r="M17" s="179" t="s">
        <v>38</v>
      </c>
      <c r="N17" s="179" t="s">
        <v>41</v>
      </c>
    </row>
    <row r="18" spans="1:14" x14ac:dyDescent="0.3">
      <c r="D18" s="176"/>
      <c r="E18" s="189" t="s">
        <v>115</v>
      </c>
      <c r="F18" s="188" t="s">
        <v>46</v>
      </c>
      <c r="G18" s="188" t="s">
        <v>46</v>
      </c>
      <c r="H18" s="188" t="s">
        <v>46</v>
      </c>
      <c r="I18" s="188" t="s">
        <v>47</v>
      </c>
      <c r="J18" s="188"/>
      <c r="K18" s="188" t="s">
        <v>46</v>
      </c>
      <c r="L18" s="188" t="s">
        <v>46</v>
      </c>
      <c r="M18" s="188" t="s">
        <v>46</v>
      </c>
      <c r="N18" s="188" t="s">
        <v>47</v>
      </c>
    </row>
    <row r="19" spans="1:14" x14ac:dyDescent="0.3">
      <c r="A19" s="24">
        <v>1</v>
      </c>
      <c r="C19" s="31" t="s">
        <v>158</v>
      </c>
      <c r="D19" s="176"/>
      <c r="G19" s="46"/>
    </row>
    <row r="20" spans="1:14" x14ac:dyDescent="0.3">
      <c r="A20" s="24">
        <v>2</v>
      </c>
      <c r="C20" s="175" t="s">
        <v>49</v>
      </c>
      <c r="D20" s="176" t="s">
        <v>159</v>
      </c>
      <c r="E20" s="37">
        <v>1</v>
      </c>
      <c r="F20" s="98">
        <f t="shared" ref="F20:F33" si="0">ROUND(E20*(CUR_RS+CUR_RS_DSM)+CUR_RS_CUST+CUR_RS_HEA,2)</f>
        <v>21.95</v>
      </c>
      <c r="G20" s="98">
        <f t="shared" ref="G20:G33" si="1">ROUND(E20*(PRO_RS_COM+PRO_RS_DSM)+PRO_RS_CUST+PRO_RS_HEA,2)</f>
        <v>25.55</v>
      </c>
      <c r="H20" s="98">
        <f t="shared" ref="H20:H33" si="2">G20-F20</f>
        <v>3.6000000000000014</v>
      </c>
      <c r="I20" s="70">
        <f t="shared" ref="I20:I33" si="3">ROUND(H20/F20,3)*100</f>
        <v>16.400000000000002</v>
      </c>
      <c r="J20" s="39"/>
      <c r="K20" s="98">
        <f t="shared" ref="K20:K33" si="4">ROUND(E20*EGC,2)</f>
        <v>4.0599999999999996</v>
      </c>
      <c r="L20" s="98">
        <f>F20+K20</f>
        <v>26.009999999999998</v>
      </c>
      <c r="M20" s="98">
        <f>G20+K20</f>
        <v>29.61</v>
      </c>
      <c r="N20" s="70">
        <f>ROUND((M20-L20)/L20,3)*100</f>
        <v>13.8</v>
      </c>
    </row>
    <row r="21" spans="1:14" x14ac:dyDescent="0.3">
      <c r="A21" s="24">
        <v>3</v>
      </c>
      <c r="D21" s="176" t="s">
        <v>160</v>
      </c>
      <c r="E21" s="37">
        <v>3</v>
      </c>
      <c r="F21" s="98">
        <f t="shared" si="0"/>
        <v>32.25</v>
      </c>
      <c r="G21" s="98">
        <f t="shared" si="1"/>
        <v>38.049999999999997</v>
      </c>
      <c r="H21" s="98">
        <f t="shared" si="2"/>
        <v>5.7999999999999972</v>
      </c>
      <c r="I21" s="70">
        <f t="shared" si="3"/>
        <v>18</v>
      </c>
      <c r="J21" s="39"/>
      <c r="K21" s="98">
        <f t="shared" si="4"/>
        <v>12.19</v>
      </c>
      <c r="L21" s="98">
        <f t="shared" ref="L21:L33" si="5">F21+K21</f>
        <v>44.44</v>
      </c>
      <c r="M21" s="98">
        <f t="shared" ref="M21:M33" si="6">G21+K21</f>
        <v>50.239999999999995</v>
      </c>
      <c r="N21" s="70">
        <f t="shared" ref="N21:N33" si="7">ROUND((M21-L21)/L21,3)*100</f>
        <v>13.100000000000001</v>
      </c>
    </row>
    <row r="22" spans="1:14" x14ac:dyDescent="0.3">
      <c r="A22" s="24">
        <v>4</v>
      </c>
      <c r="D22" s="176"/>
      <c r="E22" s="37">
        <v>6</v>
      </c>
      <c r="F22" s="98">
        <f t="shared" si="0"/>
        <v>47.7</v>
      </c>
      <c r="G22" s="98">
        <f t="shared" si="1"/>
        <v>56.8</v>
      </c>
      <c r="H22" s="98">
        <f t="shared" si="2"/>
        <v>9.0999999999999943</v>
      </c>
      <c r="I22" s="70">
        <f t="shared" si="3"/>
        <v>19.100000000000001</v>
      </c>
      <c r="J22" s="39"/>
      <c r="K22" s="98">
        <f t="shared" si="4"/>
        <v>24.37</v>
      </c>
      <c r="L22" s="98">
        <f t="shared" si="5"/>
        <v>72.070000000000007</v>
      </c>
      <c r="M22" s="98">
        <f t="shared" si="6"/>
        <v>81.17</v>
      </c>
      <c r="N22" s="70">
        <f t="shared" si="7"/>
        <v>12.6</v>
      </c>
    </row>
    <row r="23" spans="1:14" x14ac:dyDescent="0.3">
      <c r="A23" s="24">
        <v>5</v>
      </c>
      <c r="D23" s="176"/>
      <c r="E23" s="37">
        <v>8</v>
      </c>
      <c r="F23" s="98">
        <f t="shared" si="0"/>
        <v>58</v>
      </c>
      <c r="G23" s="98">
        <f t="shared" si="1"/>
        <v>69.3</v>
      </c>
      <c r="H23" s="98">
        <f t="shared" si="2"/>
        <v>11.299999999999997</v>
      </c>
      <c r="I23" s="70">
        <f t="shared" si="3"/>
        <v>19.5</v>
      </c>
      <c r="J23" s="39"/>
      <c r="K23" s="98">
        <f t="shared" si="4"/>
        <v>32.5</v>
      </c>
      <c r="L23" s="98">
        <f t="shared" si="5"/>
        <v>90.5</v>
      </c>
      <c r="M23" s="98">
        <f t="shared" si="6"/>
        <v>101.8</v>
      </c>
      <c r="N23" s="70">
        <f t="shared" si="7"/>
        <v>12.5</v>
      </c>
    </row>
    <row r="24" spans="1:14" x14ac:dyDescent="0.3">
      <c r="A24" s="24">
        <v>6</v>
      </c>
      <c r="D24" s="176"/>
      <c r="E24" s="37">
        <v>10</v>
      </c>
      <c r="F24" s="98">
        <f t="shared" si="0"/>
        <v>68.3</v>
      </c>
      <c r="G24" s="98">
        <f t="shared" si="1"/>
        <v>81.8</v>
      </c>
      <c r="H24" s="98">
        <f t="shared" si="2"/>
        <v>13.5</v>
      </c>
      <c r="I24" s="70">
        <f t="shared" si="3"/>
        <v>19.8</v>
      </c>
      <c r="J24" s="39"/>
      <c r="K24" s="98">
        <f t="shared" si="4"/>
        <v>40.619999999999997</v>
      </c>
      <c r="L24" s="98">
        <f t="shared" si="5"/>
        <v>108.91999999999999</v>
      </c>
      <c r="M24" s="98">
        <f t="shared" si="6"/>
        <v>122.41999999999999</v>
      </c>
      <c r="N24" s="70">
        <f t="shared" si="7"/>
        <v>12.4</v>
      </c>
    </row>
    <row r="25" spans="1:14" x14ac:dyDescent="0.3">
      <c r="A25" s="24">
        <v>7</v>
      </c>
      <c r="D25" s="176"/>
      <c r="E25" s="37">
        <v>12</v>
      </c>
      <c r="F25" s="98">
        <f t="shared" si="0"/>
        <v>78.599999999999994</v>
      </c>
      <c r="G25" s="98">
        <f t="shared" si="1"/>
        <v>94.31</v>
      </c>
      <c r="H25" s="98">
        <f t="shared" si="2"/>
        <v>15.710000000000008</v>
      </c>
      <c r="I25" s="70">
        <f t="shared" si="3"/>
        <v>20</v>
      </c>
      <c r="J25" s="39"/>
      <c r="K25" s="98">
        <f t="shared" si="4"/>
        <v>48.74</v>
      </c>
      <c r="L25" s="98">
        <f t="shared" si="5"/>
        <v>127.34</v>
      </c>
      <c r="M25" s="98">
        <f t="shared" si="6"/>
        <v>143.05000000000001</v>
      </c>
      <c r="N25" s="70">
        <f t="shared" si="7"/>
        <v>12.3</v>
      </c>
    </row>
    <row r="26" spans="1:14" x14ac:dyDescent="0.3">
      <c r="A26" s="24">
        <v>8</v>
      </c>
      <c r="D26" s="176"/>
      <c r="E26" s="37">
        <v>16</v>
      </c>
      <c r="F26" s="98">
        <f t="shared" si="0"/>
        <v>99.2</v>
      </c>
      <c r="G26" s="98">
        <f t="shared" si="1"/>
        <v>119.31</v>
      </c>
      <c r="H26" s="98">
        <f t="shared" si="2"/>
        <v>20.11</v>
      </c>
      <c r="I26" s="70">
        <f t="shared" si="3"/>
        <v>20.3</v>
      </c>
      <c r="J26" s="39"/>
      <c r="K26" s="98">
        <f t="shared" si="4"/>
        <v>64.989999999999995</v>
      </c>
      <c r="L26" s="98">
        <f t="shared" si="5"/>
        <v>164.19</v>
      </c>
      <c r="M26" s="98">
        <f t="shared" si="6"/>
        <v>184.3</v>
      </c>
      <c r="N26" s="70">
        <f t="shared" si="7"/>
        <v>12.2</v>
      </c>
    </row>
    <row r="27" spans="1:14" x14ac:dyDescent="0.3">
      <c r="A27" s="24">
        <v>9</v>
      </c>
      <c r="D27" s="176"/>
      <c r="E27" s="37">
        <v>20</v>
      </c>
      <c r="F27" s="98">
        <f t="shared" si="0"/>
        <v>119.8</v>
      </c>
      <c r="G27" s="98">
        <f t="shared" si="1"/>
        <v>144.31</v>
      </c>
      <c r="H27" s="98">
        <f t="shared" si="2"/>
        <v>24.510000000000005</v>
      </c>
      <c r="I27" s="70">
        <f t="shared" si="3"/>
        <v>20.5</v>
      </c>
      <c r="J27" s="39"/>
      <c r="K27" s="98">
        <f t="shared" si="4"/>
        <v>81.239999999999995</v>
      </c>
      <c r="L27" s="98">
        <f t="shared" si="5"/>
        <v>201.04</v>
      </c>
      <c r="M27" s="98">
        <f t="shared" si="6"/>
        <v>225.55</v>
      </c>
      <c r="N27" s="70">
        <f t="shared" si="7"/>
        <v>12.2</v>
      </c>
    </row>
    <row r="28" spans="1:14" x14ac:dyDescent="0.3">
      <c r="A28" s="24">
        <v>10</v>
      </c>
      <c r="D28" s="176"/>
      <c r="E28" s="37">
        <v>30</v>
      </c>
      <c r="F28" s="98">
        <f t="shared" si="0"/>
        <v>171.31</v>
      </c>
      <c r="G28" s="98">
        <f t="shared" si="1"/>
        <v>206.81</v>
      </c>
      <c r="H28" s="98">
        <f t="shared" si="2"/>
        <v>35.5</v>
      </c>
      <c r="I28" s="70">
        <f t="shared" si="3"/>
        <v>20.7</v>
      </c>
      <c r="J28" s="39"/>
      <c r="K28" s="98">
        <f t="shared" si="4"/>
        <v>121.86</v>
      </c>
      <c r="L28" s="98">
        <f t="shared" si="5"/>
        <v>293.17</v>
      </c>
      <c r="M28" s="98">
        <f t="shared" si="6"/>
        <v>328.67</v>
      </c>
      <c r="N28" s="70">
        <f t="shared" si="7"/>
        <v>12.1</v>
      </c>
    </row>
    <row r="29" spans="1:14" x14ac:dyDescent="0.3">
      <c r="A29" s="24">
        <v>11</v>
      </c>
      <c r="D29" s="176"/>
      <c r="E29" s="37">
        <v>40</v>
      </c>
      <c r="F29" s="98">
        <f t="shared" si="0"/>
        <v>222.81</v>
      </c>
      <c r="G29" s="98">
        <f t="shared" si="1"/>
        <v>269.32</v>
      </c>
      <c r="H29" s="98">
        <f t="shared" si="2"/>
        <v>46.509999999999991</v>
      </c>
      <c r="I29" s="70">
        <f t="shared" si="3"/>
        <v>20.9</v>
      </c>
      <c r="J29" s="39"/>
      <c r="K29" s="98">
        <f t="shared" si="4"/>
        <v>162.47999999999999</v>
      </c>
      <c r="L29" s="98">
        <f t="shared" si="5"/>
        <v>385.28999999999996</v>
      </c>
      <c r="M29" s="98">
        <f t="shared" si="6"/>
        <v>431.79999999999995</v>
      </c>
      <c r="N29" s="70">
        <f t="shared" si="7"/>
        <v>12.1</v>
      </c>
    </row>
    <row r="30" spans="1:14" x14ac:dyDescent="0.3">
      <c r="A30" s="24">
        <v>12</v>
      </c>
      <c r="D30" s="176"/>
      <c r="E30" s="37">
        <v>50</v>
      </c>
      <c r="F30" s="98">
        <f t="shared" si="0"/>
        <v>274.31</v>
      </c>
      <c r="G30" s="98">
        <f t="shared" si="1"/>
        <v>331.82</v>
      </c>
      <c r="H30" s="98">
        <f t="shared" si="2"/>
        <v>57.509999999999991</v>
      </c>
      <c r="I30" s="70">
        <f t="shared" si="3"/>
        <v>21</v>
      </c>
      <c r="J30" s="39"/>
      <c r="K30" s="98">
        <f t="shared" si="4"/>
        <v>203.1</v>
      </c>
      <c r="L30" s="98">
        <f t="shared" si="5"/>
        <v>477.40999999999997</v>
      </c>
      <c r="M30" s="98">
        <f t="shared" si="6"/>
        <v>534.91999999999996</v>
      </c>
      <c r="N30" s="70">
        <f t="shared" si="7"/>
        <v>12</v>
      </c>
    </row>
    <row r="31" spans="1:14" x14ac:dyDescent="0.3">
      <c r="A31" s="24">
        <v>13</v>
      </c>
      <c r="D31" s="176"/>
      <c r="E31" s="37">
        <v>60</v>
      </c>
      <c r="F31" s="98">
        <f t="shared" si="0"/>
        <v>325.81</v>
      </c>
      <c r="G31" s="98">
        <f t="shared" si="1"/>
        <v>394.33</v>
      </c>
      <c r="H31" s="98">
        <f t="shared" si="2"/>
        <v>68.519999999999982</v>
      </c>
      <c r="I31" s="70">
        <f t="shared" si="3"/>
        <v>21</v>
      </c>
      <c r="J31" s="39"/>
      <c r="K31" s="98">
        <f t="shared" si="4"/>
        <v>243.72</v>
      </c>
      <c r="L31" s="98">
        <f t="shared" si="5"/>
        <v>569.53</v>
      </c>
      <c r="M31" s="98">
        <f t="shared" si="6"/>
        <v>638.04999999999995</v>
      </c>
      <c r="N31" s="70">
        <f t="shared" si="7"/>
        <v>12</v>
      </c>
    </row>
    <row r="32" spans="1:14" x14ac:dyDescent="0.3">
      <c r="A32" s="24">
        <v>14</v>
      </c>
      <c r="D32" s="176"/>
      <c r="E32" s="37">
        <v>80</v>
      </c>
      <c r="F32" s="98">
        <f t="shared" si="0"/>
        <v>428.81</v>
      </c>
      <c r="G32" s="98">
        <f t="shared" si="1"/>
        <v>519.34</v>
      </c>
      <c r="H32" s="98">
        <f t="shared" si="2"/>
        <v>90.53000000000003</v>
      </c>
      <c r="I32" s="70">
        <f t="shared" si="3"/>
        <v>21.099999999999998</v>
      </c>
      <c r="J32" s="39"/>
      <c r="K32" s="98">
        <f t="shared" si="4"/>
        <v>324.95999999999998</v>
      </c>
      <c r="L32" s="98">
        <f t="shared" si="5"/>
        <v>753.77</v>
      </c>
      <c r="M32" s="98">
        <f t="shared" si="6"/>
        <v>844.3</v>
      </c>
      <c r="N32" s="70">
        <f t="shared" si="7"/>
        <v>12</v>
      </c>
    </row>
    <row r="33" spans="1:14" x14ac:dyDescent="0.3">
      <c r="A33" s="25">
        <v>15</v>
      </c>
      <c r="E33" s="53">
        <v>100</v>
      </c>
      <c r="F33" s="98">
        <f t="shared" si="0"/>
        <v>531.82000000000005</v>
      </c>
      <c r="G33" s="98">
        <f t="shared" si="1"/>
        <v>644.35</v>
      </c>
      <c r="H33" s="98">
        <f t="shared" si="2"/>
        <v>112.52999999999997</v>
      </c>
      <c r="I33" s="70">
        <f t="shared" si="3"/>
        <v>21.2</v>
      </c>
      <c r="J33" s="39"/>
      <c r="K33" s="98">
        <f t="shared" si="4"/>
        <v>406.2</v>
      </c>
      <c r="L33" s="98">
        <f t="shared" si="5"/>
        <v>938.02</v>
      </c>
      <c r="M33" s="98">
        <f t="shared" si="6"/>
        <v>1050.55</v>
      </c>
      <c r="N33" s="70">
        <f t="shared" si="7"/>
        <v>12</v>
      </c>
    </row>
    <row r="34" spans="1:14" x14ac:dyDescent="0.3">
      <c r="E34" s="53"/>
      <c r="F34" s="98"/>
      <c r="G34" s="98"/>
      <c r="H34" s="98"/>
      <c r="I34" s="70"/>
      <c r="J34" s="39"/>
      <c r="K34" s="98"/>
      <c r="L34" s="98"/>
      <c r="M34" s="98"/>
      <c r="N34" s="70"/>
    </row>
    <row r="35" spans="1:14" x14ac:dyDescent="0.3">
      <c r="A35" s="25">
        <v>16</v>
      </c>
      <c r="C35" s="175" t="s">
        <v>162</v>
      </c>
      <c r="F35" s="98"/>
      <c r="G35" s="98"/>
      <c r="H35" s="98"/>
      <c r="I35" s="70"/>
      <c r="J35" s="39"/>
      <c r="K35" s="98"/>
      <c r="L35" s="98"/>
      <c r="M35" s="98"/>
      <c r="N35" s="70"/>
    </row>
    <row r="36" spans="1:14" x14ac:dyDescent="0.3">
      <c r="A36" s="25">
        <v>17</v>
      </c>
      <c r="C36" s="25" t="s">
        <v>125</v>
      </c>
      <c r="E36" s="53">
        <v>5</v>
      </c>
      <c r="F36" s="98">
        <f t="shared" ref="F36:F48" si="8">ROUND(E36*(CUR_GS)+CUR_GS_CUST,2)</f>
        <v>64.62</v>
      </c>
      <c r="G36" s="98">
        <f t="shared" ref="G36:G48" si="9">ROUND(E36*(+PRO_GS)+PRO_GS_CUST,2)</f>
        <v>77.709999999999994</v>
      </c>
      <c r="H36" s="98">
        <f t="shared" ref="H36:H48" si="10">G36-F36</f>
        <v>13.089999999999989</v>
      </c>
      <c r="I36" s="70">
        <f t="shared" ref="I36:I48" si="11">ROUND(H36/F36,3)*100</f>
        <v>20.3</v>
      </c>
      <c r="J36" s="39"/>
      <c r="K36" s="98">
        <f t="shared" ref="K36:K48" si="12">ROUND(E36*EGC,2)</f>
        <v>20.309999999999999</v>
      </c>
      <c r="L36" s="98">
        <f t="shared" ref="L36:L48" si="13">F36+K36</f>
        <v>84.93</v>
      </c>
      <c r="M36" s="98">
        <f t="shared" ref="M36:M48" si="14">G36+K36</f>
        <v>98.02</v>
      </c>
      <c r="N36" s="70">
        <f t="shared" ref="N36:N48" si="15">ROUND((M36-L36)/L36,3)*100</f>
        <v>15.4</v>
      </c>
    </row>
    <row r="37" spans="1:14" x14ac:dyDescent="0.3">
      <c r="A37" s="25">
        <v>18</v>
      </c>
      <c r="E37" s="53">
        <v>10</v>
      </c>
      <c r="F37" s="98">
        <f t="shared" si="8"/>
        <v>79.239999999999995</v>
      </c>
      <c r="G37" s="98">
        <f t="shared" si="9"/>
        <v>97.41</v>
      </c>
      <c r="H37" s="98">
        <f t="shared" si="10"/>
        <v>18.170000000000002</v>
      </c>
      <c r="I37" s="70">
        <f t="shared" si="11"/>
        <v>22.900000000000002</v>
      </c>
      <c r="J37" s="39"/>
      <c r="K37" s="98">
        <f t="shared" si="12"/>
        <v>40.619999999999997</v>
      </c>
      <c r="L37" s="98">
        <f t="shared" si="13"/>
        <v>119.85999999999999</v>
      </c>
      <c r="M37" s="98">
        <f t="shared" si="14"/>
        <v>138.03</v>
      </c>
      <c r="N37" s="70">
        <f t="shared" si="15"/>
        <v>15.2</v>
      </c>
    </row>
    <row r="38" spans="1:14" x14ac:dyDescent="0.3">
      <c r="A38" s="25">
        <v>19</v>
      </c>
      <c r="E38" s="53">
        <v>20</v>
      </c>
      <c r="F38" s="98">
        <f t="shared" si="8"/>
        <v>108.49</v>
      </c>
      <c r="G38" s="98">
        <f t="shared" si="9"/>
        <v>136.82</v>
      </c>
      <c r="H38" s="98">
        <f t="shared" si="10"/>
        <v>28.33</v>
      </c>
      <c r="I38" s="70">
        <f t="shared" si="11"/>
        <v>26.1</v>
      </c>
      <c r="J38" s="39"/>
      <c r="K38" s="98">
        <f t="shared" si="12"/>
        <v>81.239999999999995</v>
      </c>
      <c r="L38" s="98">
        <f t="shared" si="13"/>
        <v>189.73</v>
      </c>
      <c r="M38" s="98">
        <f t="shared" si="14"/>
        <v>218.06</v>
      </c>
      <c r="N38" s="70">
        <f t="shared" si="15"/>
        <v>14.899999999999999</v>
      </c>
    </row>
    <row r="39" spans="1:14" x14ac:dyDescent="0.3">
      <c r="A39" s="25">
        <v>20</v>
      </c>
      <c r="E39" s="53">
        <v>40</v>
      </c>
      <c r="F39" s="98">
        <f t="shared" si="8"/>
        <v>166.97</v>
      </c>
      <c r="G39" s="98">
        <f t="shared" si="9"/>
        <v>215.64</v>
      </c>
      <c r="H39" s="98">
        <f t="shared" si="10"/>
        <v>48.669999999999987</v>
      </c>
      <c r="I39" s="70">
        <f t="shared" si="11"/>
        <v>29.099999999999998</v>
      </c>
      <c r="J39" s="39"/>
      <c r="K39" s="98">
        <f t="shared" si="12"/>
        <v>162.47999999999999</v>
      </c>
      <c r="L39" s="98">
        <f t="shared" si="13"/>
        <v>329.45</v>
      </c>
      <c r="M39" s="98">
        <f t="shared" si="14"/>
        <v>378.12</v>
      </c>
      <c r="N39" s="70">
        <f t="shared" si="15"/>
        <v>14.799999999999999</v>
      </c>
    </row>
    <row r="40" spans="1:14" x14ac:dyDescent="0.3">
      <c r="A40" s="25">
        <v>21</v>
      </c>
      <c r="E40" s="53">
        <v>50</v>
      </c>
      <c r="F40" s="98">
        <f t="shared" si="8"/>
        <v>196.22</v>
      </c>
      <c r="G40" s="98">
        <f t="shared" si="9"/>
        <v>255.06</v>
      </c>
      <c r="H40" s="98">
        <f t="shared" si="10"/>
        <v>58.84</v>
      </c>
      <c r="I40" s="70">
        <f t="shared" si="11"/>
        <v>30</v>
      </c>
      <c r="J40" s="39"/>
      <c r="K40" s="98">
        <f t="shared" si="12"/>
        <v>203.1</v>
      </c>
      <c r="L40" s="98">
        <f t="shared" si="13"/>
        <v>399.32</v>
      </c>
      <c r="M40" s="98">
        <f t="shared" si="14"/>
        <v>458.15999999999997</v>
      </c>
      <c r="N40" s="70">
        <f t="shared" si="15"/>
        <v>14.7</v>
      </c>
    </row>
    <row r="41" spans="1:14" x14ac:dyDescent="0.3">
      <c r="A41" s="25">
        <v>22</v>
      </c>
      <c r="E41" s="53">
        <v>100</v>
      </c>
      <c r="F41" s="98">
        <f t="shared" si="8"/>
        <v>342.43</v>
      </c>
      <c r="G41" s="98">
        <f t="shared" si="9"/>
        <v>452.11</v>
      </c>
      <c r="H41" s="98">
        <f t="shared" si="10"/>
        <v>109.68</v>
      </c>
      <c r="I41" s="70">
        <f t="shared" si="11"/>
        <v>32</v>
      </c>
      <c r="J41" s="39"/>
      <c r="K41" s="98">
        <f t="shared" si="12"/>
        <v>406.2</v>
      </c>
      <c r="L41" s="98">
        <f t="shared" si="13"/>
        <v>748.63</v>
      </c>
      <c r="M41" s="98">
        <f t="shared" si="14"/>
        <v>858.31</v>
      </c>
      <c r="N41" s="70">
        <f t="shared" si="15"/>
        <v>14.7</v>
      </c>
    </row>
    <row r="42" spans="1:14" x14ac:dyDescent="0.3">
      <c r="A42" s="25">
        <v>23</v>
      </c>
      <c r="E42" s="53">
        <v>300</v>
      </c>
      <c r="F42" s="98">
        <f t="shared" si="8"/>
        <v>927.29</v>
      </c>
      <c r="G42" s="98">
        <f t="shared" si="9"/>
        <v>1240.33</v>
      </c>
      <c r="H42" s="98">
        <f t="shared" si="10"/>
        <v>313.03999999999996</v>
      </c>
      <c r="I42" s="70">
        <f t="shared" si="11"/>
        <v>33.800000000000004</v>
      </c>
      <c r="J42" s="39"/>
      <c r="K42" s="98">
        <f t="shared" si="12"/>
        <v>1218.5999999999999</v>
      </c>
      <c r="L42" s="98">
        <f t="shared" si="13"/>
        <v>2145.89</v>
      </c>
      <c r="M42" s="98">
        <f t="shared" si="14"/>
        <v>2458.9299999999998</v>
      </c>
      <c r="N42" s="70">
        <f t="shared" si="15"/>
        <v>14.6</v>
      </c>
    </row>
    <row r="43" spans="1:14" x14ac:dyDescent="0.3">
      <c r="A43" s="25">
        <v>24</v>
      </c>
      <c r="E43" s="53">
        <v>500</v>
      </c>
      <c r="F43" s="98">
        <f t="shared" si="8"/>
        <v>1512.15</v>
      </c>
      <c r="G43" s="98">
        <f t="shared" si="9"/>
        <v>2028.55</v>
      </c>
      <c r="H43" s="98">
        <f t="shared" si="10"/>
        <v>516.39999999999986</v>
      </c>
      <c r="I43" s="70">
        <f t="shared" si="11"/>
        <v>34.200000000000003</v>
      </c>
      <c r="J43" s="39"/>
      <c r="K43" s="98">
        <f t="shared" si="12"/>
        <v>2031</v>
      </c>
      <c r="L43" s="98">
        <f t="shared" si="13"/>
        <v>3543.15</v>
      </c>
      <c r="M43" s="98">
        <f t="shared" si="14"/>
        <v>4059.55</v>
      </c>
      <c r="N43" s="70">
        <f t="shared" si="15"/>
        <v>14.6</v>
      </c>
    </row>
    <row r="44" spans="1:14" x14ac:dyDescent="0.3">
      <c r="A44" s="25">
        <v>25</v>
      </c>
      <c r="E44" s="53">
        <v>700</v>
      </c>
      <c r="F44" s="98">
        <f t="shared" si="8"/>
        <v>2097.0100000000002</v>
      </c>
      <c r="G44" s="98">
        <f t="shared" si="9"/>
        <v>2816.77</v>
      </c>
      <c r="H44" s="98">
        <f t="shared" si="10"/>
        <v>719.75999999999976</v>
      </c>
      <c r="I44" s="70">
        <f t="shared" si="11"/>
        <v>34.300000000000004</v>
      </c>
      <c r="J44" s="39"/>
      <c r="K44" s="98">
        <f t="shared" si="12"/>
        <v>2843.4</v>
      </c>
      <c r="L44" s="98">
        <f t="shared" si="13"/>
        <v>4940.41</v>
      </c>
      <c r="M44" s="98">
        <f t="shared" si="14"/>
        <v>5660.17</v>
      </c>
      <c r="N44" s="70">
        <f t="shared" si="15"/>
        <v>14.6</v>
      </c>
    </row>
    <row r="45" spans="1:14" x14ac:dyDescent="0.3">
      <c r="A45" s="25">
        <v>26</v>
      </c>
      <c r="E45" s="53">
        <v>850</v>
      </c>
      <c r="F45" s="98">
        <f t="shared" si="8"/>
        <v>2535.66</v>
      </c>
      <c r="G45" s="98">
        <f t="shared" si="9"/>
        <v>3407.94</v>
      </c>
      <c r="H45" s="98">
        <f t="shared" si="10"/>
        <v>872.2800000000002</v>
      </c>
      <c r="I45" s="70">
        <f t="shared" si="11"/>
        <v>34.4</v>
      </c>
      <c r="J45" s="39"/>
      <c r="K45" s="98">
        <f t="shared" si="12"/>
        <v>3452.7</v>
      </c>
      <c r="L45" s="98">
        <f t="shared" si="13"/>
        <v>5988.36</v>
      </c>
      <c r="M45" s="98">
        <f t="shared" si="14"/>
        <v>6860.6399999999994</v>
      </c>
      <c r="N45" s="70">
        <f t="shared" si="15"/>
        <v>14.6</v>
      </c>
    </row>
    <row r="46" spans="1:14" x14ac:dyDescent="0.3">
      <c r="A46" s="25">
        <v>27</v>
      </c>
      <c r="E46" s="53">
        <v>1000</v>
      </c>
      <c r="F46" s="98">
        <f t="shared" si="8"/>
        <v>2974.3</v>
      </c>
      <c r="G46" s="98">
        <f t="shared" si="9"/>
        <v>3999.1</v>
      </c>
      <c r="H46" s="98">
        <f t="shared" si="10"/>
        <v>1024.7999999999997</v>
      </c>
      <c r="I46" s="70">
        <f t="shared" si="11"/>
        <v>34.5</v>
      </c>
      <c r="J46" s="39"/>
      <c r="K46" s="98">
        <f t="shared" si="12"/>
        <v>4062</v>
      </c>
      <c r="L46" s="98">
        <f t="shared" si="13"/>
        <v>7036.3</v>
      </c>
      <c r="M46" s="98">
        <f t="shared" si="14"/>
        <v>8061.1</v>
      </c>
      <c r="N46" s="70">
        <f t="shared" si="15"/>
        <v>14.6</v>
      </c>
    </row>
    <row r="47" spans="1:14" x14ac:dyDescent="0.3">
      <c r="A47" s="25">
        <v>28</v>
      </c>
      <c r="E47" s="53">
        <v>2000</v>
      </c>
      <c r="F47" s="98">
        <f t="shared" si="8"/>
        <v>5898.6</v>
      </c>
      <c r="G47" s="98">
        <f t="shared" si="9"/>
        <v>7940.2</v>
      </c>
      <c r="H47" s="98">
        <f t="shared" si="10"/>
        <v>2041.5999999999995</v>
      </c>
      <c r="I47" s="70">
        <f t="shared" si="11"/>
        <v>34.599999999999994</v>
      </c>
      <c r="J47" s="39"/>
      <c r="K47" s="98">
        <f t="shared" si="12"/>
        <v>8124</v>
      </c>
      <c r="L47" s="98">
        <f t="shared" si="13"/>
        <v>14022.6</v>
      </c>
      <c r="M47" s="98">
        <f t="shared" si="14"/>
        <v>16064.2</v>
      </c>
      <c r="N47" s="70">
        <f t="shared" si="15"/>
        <v>14.6</v>
      </c>
    </row>
    <row r="48" spans="1:14" x14ac:dyDescent="0.3">
      <c r="A48" s="25">
        <v>29</v>
      </c>
      <c r="E48" s="53">
        <v>3000</v>
      </c>
      <c r="F48" s="98">
        <f t="shared" si="8"/>
        <v>8822.9</v>
      </c>
      <c r="G48" s="98">
        <f t="shared" si="9"/>
        <v>11881.3</v>
      </c>
      <c r="H48" s="98">
        <f t="shared" si="10"/>
        <v>3058.3999999999996</v>
      </c>
      <c r="I48" s="70">
        <f t="shared" si="11"/>
        <v>34.699999999999996</v>
      </c>
      <c r="J48" s="39"/>
      <c r="K48" s="98">
        <f t="shared" si="12"/>
        <v>12186</v>
      </c>
      <c r="L48" s="98">
        <f t="shared" si="13"/>
        <v>21008.9</v>
      </c>
      <c r="M48" s="98">
        <f t="shared" si="14"/>
        <v>24067.3</v>
      </c>
      <c r="N48" s="70">
        <f t="shared" si="15"/>
        <v>14.6</v>
      </c>
    </row>
    <row r="49" spans="1:15" x14ac:dyDescent="0.3">
      <c r="C49" s="26"/>
      <c r="E49" s="53"/>
      <c r="F49" s="98"/>
      <c r="G49" s="98"/>
      <c r="H49" s="98"/>
      <c r="I49" s="39"/>
      <c r="J49" s="39"/>
      <c r="K49" s="98"/>
      <c r="L49" s="98"/>
      <c r="M49" s="46"/>
      <c r="N49" s="46"/>
      <c r="O49" s="39"/>
    </row>
    <row r="50" spans="1:15" x14ac:dyDescent="0.3">
      <c r="C50" s="26"/>
      <c r="E50" s="53"/>
      <c r="F50" s="98"/>
      <c r="G50" s="98"/>
      <c r="H50" s="98"/>
      <c r="I50" s="39"/>
      <c r="J50" s="39"/>
      <c r="K50" s="98"/>
      <c r="L50" s="98"/>
      <c r="M50" s="46"/>
      <c r="N50" s="46"/>
      <c r="O50" s="39"/>
    </row>
    <row r="51" spans="1:15" x14ac:dyDescent="0.3">
      <c r="C51" s="26" t="str">
        <f>"(1) REFLECTS AVERAGE EXPECTED GAS COST OF "&amp;TEXT(EGC,"$0.000")&amp;"/MCF."</f>
        <v>(1) REFLECTS AVERAGE EXPECTED GAS COST OF $4.062/MCF.</v>
      </c>
      <c r="E51" s="53"/>
      <c r="F51" s="98"/>
      <c r="G51" s="98"/>
      <c r="H51" s="98"/>
      <c r="I51" s="39"/>
      <c r="J51" s="39"/>
      <c r="K51" s="98"/>
      <c r="L51" s="98"/>
      <c r="M51" s="46"/>
      <c r="N51" s="46"/>
      <c r="O51" s="39"/>
    </row>
    <row r="52" spans="1:15" x14ac:dyDescent="0.3">
      <c r="C52" s="26"/>
      <c r="E52" s="53"/>
      <c r="F52" s="98"/>
      <c r="G52" s="98"/>
      <c r="H52" s="98"/>
      <c r="I52" s="39"/>
      <c r="J52" s="39"/>
      <c r="K52" s="98"/>
      <c r="L52" s="98"/>
      <c r="M52" s="46"/>
      <c r="N52" s="46"/>
      <c r="O52" s="39"/>
    </row>
    <row r="53" spans="1:15" x14ac:dyDescent="0.3">
      <c r="C53" s="26"/>
      <c r="E53" s="53"/>
      <c r="F53" s="98"/>
      <c r="G53" s="98"/>
      <c r="H53" s="98"/>
      <c r="I53" s="39"/>
      <c r="J53" s="39"/>
      <c r="K53" s="98"/>
      <c r="L53" s="98"/>
      <c r="M53" s="46"/>
      <c r="N53" s="46"/>
      <c r="O53" s="39"/>
    </row>
    <row r="54" spans="1:15" x14ac:dyDescent="0.3">
      <c r="A54" s="19" t="str">
        <f>COMPANY</f>
        <v>DUKE ENERGY KENTUCKY</v>
      </c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</row>
    <row r="55" spans="1:15" x14ac:dyDescent="0.3">
      <c r="A55" s="19" t="str">
        <f>CASE</f>
        <v>CASE NO. 2021-00190</v>
      </c>
      <c r="B55" s="19"/>
      <c r="C55" s="19"/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19"/>
      <c r="O55" s="19"/>
    </row>
    <row r="56" spans="1:15" x14ac:dyDescent="0.3">
      <c r="A56" s="20" t="s">
        <v>184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3">
      <c r="A57" s="20" t="s">
        <v>183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3">
      <c r="A58" s="20" t="str">
        <f>SERV_TYPE</f>
        <v>(GAS SERVICE)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3">
      <c r="A59" s="26"/>
    </row>
    <row r="60" spans="1:15" x14ac:dyDescent="0.3">
      <c r="A60" s="24" t="str">
        <f>DATA_TYPE</f>
        <v>DATA: ___ BASE PERIOD   _X_FORECASTED PERIOD</v>
      </c>
      <c r="N60" s="26" t="s">
        <v>100</v>
      </c>
    </row>
    <row r="61" spans="1:15" x14ac:dyDescent="0.3">
      <c r="A61" s="24" t="str">
        <f>FILING_TYPE</f>
        <v>TYPE OF FILING: _X_ ORIGINAL   ___UPDATED  ___ REVISED</v>
      </c>
      <c r="N61" s="27" t="s">
        <v>187</v>
      </c>
    </row>
    <row r="62" spans="1:15" x14ac:dyDescent="0.3">
      <c r="A62" s="27" t="s">
        <v>103</v>
      </c>
      <c r="N62" s="26" t="s">
        <v>1</v>
      </c>
    </row>
    <row r="63" spans="1:15" x14ac:dyDescent="0.3">
      <c r="A63" s="177" t="str">
        <f>TIME</f>
        <v>12 MONTHS FORECASTED</v>
      </c>
      <c r="N63" s="24" t="str">
        <f>WIT</f>
        <v>J.L. Kern</v>
      </c>
    </row>
    <row r="64" spans="1:15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6" spans="1:17" x14ac:dyDescent="0.3">
      <c r="F66" s="2" t="s">
        <v>307</v>
      </c>
      <c r="G66" s="120"/>
      <c r="H66" s="120"/>
      <c r="I66" s="120"/>
      <c r="J66" s="49"/>
      <c r="L66" s="297" t="s">
        <v>8</v>
      </c>
      <c r="M66" s="297" t="s">
        <v>8</v>
      </c>
    </row>
    <row r="67" spans="1:17" x14ac:dyDescent="0.3">
      <c r="D67" s="297" t="s">
        <v>56</v>
      </c>
      <c r="E67" s="297" t="s">
        <v>56</v>
      </c>
      <c r="H67" s="297" t="s">
        <v>57</v>
      </c>
      <c r="I67" s="297" t="s">
        <v>58</v>
      </c>
      <c r="J67" s="297"/>
      <c r="L67" s="297" t="s">
        <v>5</v>
      </c>
      <c r="M67" s="297" t="s">
        <v>3</v>
      </c>
      <c r="N67" s="297" t="s">
        <v>58</v>
      </c>
    </row>
    <row r="68" spans="1:17" x14ac:dyDescent="0.3">
      <c r="D68" s="297" t="s">
        <v>59</v>
      </c>
      <c r="E68" s="297" t="s">
        <v>59</v>
      </c>
      <c r="F68" s="297" t="s">
        <v>5</v>
      </c>
      <c r="G68" s="297" t="s">
        <v>3</v>
      </c>
      <c r="H68" s="297" t="s">
        <v>60</v>
      </c>
      <c r="I68" s="297" t="s">
        <v>60</v>
      </c>
      <c r="J68" s="297"/>
      <c r="K68" s="297" t="s">
        <v>161</v>
      </c>
      <c r="L68" s="297" t="s">
        <v>61</v>
      </c>
      <c r="M68" s="297" t="s">
        <v>61</v>
      </c>
      <c r="N68" s="297" t="s">
        <v>60</v>
      </c>
    </row>
    <row r="69" spans="1:17" x14ac:dyDescent="0.3">
      <c r="A69" s="297" t="s">
        <v>14</v>
      </c>
      <c r="C69" s="297" t="s">
        <v>15</v>
      </c>
      <c r="D69" s="297" t="s">
        <v>62</v>
      </c>
      <c r="E69" s="297" t="s">
        <v>63</v>
      </c>
      <c r="F69" s="31" t="s">
        <v>61</v>
      </c>
      <c r="G69" s="31" t="s">
        <v>61</v>
      </c>
      <c r="H69" s="188" t="s">
        <v>64</v>
      </c>
      <c r="I69" s="188" t="s">
        <v>65</v>
      </c>
      <c r="J69" s="297"/>
      <c r="K69" s="31" t="s">
        <v>308</v>
      </c>
      <c r="L69" s="189" t="s">
        <v>66</v>
      </c>
      <c r="M69" s="189" t="s">
        <v>67</v>
      </c>
      <c r="N69" s="189" t="s">
        <v>172</v>
      </c>
    </row>
    <row r="70" spans="1:17" x14ac:dyDescent="0.3">
      <c r="A70" s="94" t="s">
        <v>19</v>
      </c>
      <c r="B70" s="75"/>
      <c r="C70" s="94" t="s">
        <v>20</v>
      </c>
      <c r="D70" s="180" t="s">
        <v>30</v>
      </c>
      <c r="E70" s="180" t="s">
        <v>31</v>
      </c>
      <c r="F70" s="180" t="s">
        <v>32</v>
      </c>
      <c r="G70" s="180" t="s">
        <v>33</v>
      </c>
      <c r="H70" s="180" t="s">
        <v>34</v>
      </c>
      <c r="I70" s="180" t="s">
        <v>35</v>
      </c>
      <c r="J70" s="180"/>
      <c r="K70" s="180" t="s">
        <v>36</v>
      </c>
      <c r="L70" s="179" t="s">
        <v>37</v>
      </c>
      <c r="M70" s="179" t="s">
        <v>38</v>
      </c>
      <c r="N70" s="179" t="s">
        <v>41</v>
      </c>
    </row>
    <row r="71" spans="1:17" x14ac:dyDescent="0.3">
      <c r="D71" s="297"/>
      <c r="E71" s="189" t="s">
        <v>115</v>
      </c>
      <c r="F71" s="188" t="s">
        <v>46</v>
      </c>
      <c r="G71" s="188" t="s">
        <v>46</v>
      </c>
      <c r="H71" s="188" t="s">
        <v>46</v>
      </c>
      <c r="I71" s="188" t="s">
        <v>47</v>
      </c>
      <c r="J71" s="188"/>
      <c r="K71" s="188" t="s">
        <v>46</v>
      </c>
      <c r="L71" s="188" t="s">
        <v>46</v>
      </c>
      <c r="M71" s="188" t="s">
        <v>46</v>
      </c>
      <c r="N71" s="188" t="s">
        <v>47</v>
      </c>
    </row>
    <row r="72" spans="1:17" x14ac:dyDescent="0.3">
      <c r="D72" s="188"/>
      <c r="E72" s="189" t="s">
        <v>115</v>
      </c>
      <c r="F72" s="188" t="s">
        <v>46</v>
      </c>
      <c r="G72" s="188" t="s">
        <v>46</v>
      </c>
      <c r="H72" s="188" t="s">
        <v>46</v>
      </c>
      <c r="I72" s="188" t="s">
        <v>47</v>
      </c>
      <c r="J72" s="188"/>
      <c r="K72" s="188" t="s">
        <v>46</v>
      </c>
      <c r="L72" s="188" t="s">
        <v>46</v>
      </c>
      <c r="M72" s="188" t="s">
        <v>46</v>
      </c>
      <c r="N72" s="188" t="s">
        <v>47</v>
      </c>
    </row>
    <row r="73" spans="1:17" x14ac:dyDescent="0.3">
      <c r="C73" s="26"/>
      <c r="H73" s="98"/>
      <c r="I73" s="70"/>
      <c r="J73" s="70"/>
      <c r="K73" s="98"/>
      <c r="L73" s="98"/>
      <c r="M73" s="53"/>
      <c r="O73" s="98"/>
      <c r="P73" s="98"/>
      <c r="Q73" s="70"/>
    </row>
    <row r="74" spans="1:17" x14ac:dyDescent="0.3">
      <c r="A74" s="24">
        <v>1</v>
      </c>
      <c r="C74" s="31" t="s">
        <v>304</v>
      </c>
      <c r="D74" s="176" t="s">
        <v>159</v>
      </c>
      <c r="E74" s="37"/>
      <c r="F74" s="98"/>
      <c r="G74" s="98"/>
      <c r="H74" s="98"/>
      <c r="I74" s="70"/>
      <c r="J74" s="70"/>
      <c r="K74" s="98"/>
      <c r="L74" s="98"/>
      <c r="O74" s="98"/>
      <c r="P74" s="98"/>
      <c r="Q74" s="70"/>
    </row>
    <row r="75" spans="1:17" x14ac:dyDescent="0.3">
      <c r="A75" s="24">
        <v>2</v>
      </c>
      <c r="C75" s="93" t="s">
        <v>143</v>
      </c>
      <c r="D75" s="176" t="s">
        <v>160</v>
      </c>
      <c r="E75" s="37">
        <v>1000</v>
      </c>
      <c r="F75" s="98">
        <f t="shared" ref="F75:F88" si="16">ROUND(E75*(CUR_FTL_COM),2)+CUR_FTL_CUST</f>
        <v>2251</v>
      </c>
      <c r="G75" s="98">
        <f t="shared" ref="G75:G88" si="17">ROUND(E75*(PRO_FTL_COM),2)+PRO_FTL_CUST</f>
        <v>2563.9</v>
      </c>
      <c r="H75" s="98">
        <f>+G75-F75</f>
        <v>312.90000000000009</v>
      </c>
      <c r="I75" s="70">
        <f t="shared" ref="I75:I88" si="18">ROUND(H75/F75,3)*100</f>
        <v>13.900000000000002</v>
      </c>
      <c r="J75" s="70"/>
      <c r="K75" s="98">
        <f t="shared" ref="K75:K88" si="19">ROUND(E75*PRO_FTL_GCAT,2)</f>
        <v>-58</v>
      </c>
      <c r="L75" s="98">
        <f t="shared" ref="L75" si="20">F75+K75</f>
        <v>2193</v>
      </c>
      <c r="M75" s="98">
        <f t="shared" ref="M75" si="21">G75+K75</f>
        <v>2505.9</v>
      </c>
      <c r="N75" s="70">
        <f t="shared" ref="N75" si="22">ROUND((M75-L75)/L75,3)*100</f>
        <v>14.299999999999999</v>
      </c>
      <c r="O75" s="98"/>
      <c r="P75" s="98"/>
      <c r="Q75" s="70"/>
    </row>
    <row r="76" spans="1:17" x14ac:dyDescent="0.3">
      <c r="A76" s="24">
        <v>3</v>
      </c>
      <c r="C76" s="175" t="s">
        <v>137</v>
      </c>
      <c r="D76" s="176"/>
      <c r="E76" s="37">
        <v>1500</v>
      </c>
      <c r="F76" s="98">
        <f t="shared" si="16"/>
        <v>3161.5</v>
      </c>
      <c r="G76" s="98">
        <f t="shared" si="17"/>
        <v>3630.85</v>
      </c>
      <c r="H76" s="98">
        <f t="shared" ref="H76:H88" si="23">+G76-F76</f>
        <v>469.34999999999991</v>
      </c>
      <c r="I76" s="70">
        <f t="shared" si="18"/>
        <v>14.799999999999999</v>
      </c>
      <c r="J76" s="70"/>
      <c r="K76" s="98">
        <f t="shared" si="19"/>
        <v>-87</v>
      </c>
      <c r="L76" s="98">
        <f t="shared" ref="L76:L88" si="24">F76+K76</f>
        <v>3074.5</v>
      </c>
      <c r="M76" s="98">
        <f t="shared" ref="M76:M88" si="25">G76+K76</f>
        <v>3543.85</v>
      </c>
      <c r="N76" s="70">
        <f t="shared" ref="N76:N88" si="26">ROUND((M76-L76)/L76,3)*100</f>
        <v>15.299999999999999</v>
      </c>
      <c r="O76" s="98"/>
      <c r="P76" s="98"/>
      <c r="Q76" s="70"/>
    </row>
    <row r="77" spans="1:17" x14ac:dyDescent="0.3">
      <c r="A77" s="24">
        <v>4</v>
      </c>
      <c r="D77" s="24"/>
      <c r="E77" s="37">
        <v>2000</v>
      </c>
      <c r="F77" s="98">
        <f t="shared" si="16"/>
        <v>4072</v>
      </c>
      <c r="G77" s="98">
        <f t="shared" si="17"/>
        <v>4697.8</v>
      </c>
      <c r="H77" s="98">
        <f t="shared" si="23"/>
        <v>625.80000000000018</v>
      </c>
      <c r="I77" s="70">
        <f t="shared" si="18"/>
        <v>15.4</v>
      </c>
      <c r="J77" s="70"/>
      <c r="K77" s="98">
        <f t="shared" si="19"/>
        <v>-116</v>
      </c>
      <c r="L77" s="98">
        <f t="shared" si="24"/>
        <v>3956</v>
      </c>
      <c r="M77" s="98">
        <f t="shared" si="25"/>
        <v>4581.8</v>
      </c>
      <c r="N77" s="70">
        <f t="shared" si="26"/>
        <v>15.8</v>
      </c>
      <c r="O77" s="98"/>
      <c r="P77" s="98"/>
      <c r="Q77" s="70"/>
    </row>
    <row r="78" spans="1:17" x14ac:dyDescent="0.3">
      <c r="A78" s="24">
        <v>5</v>
      </c>
      <c r="C78" s="175"/>
      <c r="D78" s="24"/>
      <c r="E78" s="37">
        <v>3000</v>
      </c>
      <c r="F78" s="98">
        <f t="shared" si="16"/>
        <v>5893</v>
      </c>
      <c r="G78" s="98">
        <f t="shared" si="17"/>
        <v>6831.7</v>
      </c>
      <c r="H78" s="98">
        <f t="shared" si="23"/>
        <v>938.69999999999982</v>
      </c>
      <c r="I78" s="70">
        <f t="shared" si="18"/>
        <v>15.9</v>
      </c>
      <c r="J78" s="70"/>
      <c r="K78" s="98">
        <f t="shared" si="19"/>
        <v>-174</v>
      </c>
      <c r="L78" s="98">
        <f t="shared" si="24"/>
        <v>5719</v>
      </c>
      <c r="M78" s="98">
        <f t="shared" si="25"/>
        <v>6657.7</v>
      </c>
      <c r="N78" s="70">
        <f t="shared" si="26"/>
        <v>16.400000000000002</v>
      </c>
      <c r="O78" s="98"/>
      <c r="P78" s="98"/>
      <c r="Q78" s="70"/>
    </row>
    <row r="79" spans="1:17" x14ac:dyDescent="0.3">
      <c r="A79" s="24">
        <v>6</v>
      </c>
      <c r="D79" s="24"/>
      <c r="E79" s="37">
        <v>5000</v>
      </c>
      <c r="F79" s="98">
        <f t="shared" si="16"/>
        <v>9535</v>
      </c>
      <c r="G79" s="98">
        <f t="shared" si="17"/>
        <v>11099.5</v>
      </c>
      <c r="H79" s="98">
        <f t="shared" si="23"/>
        <v>1564.5</v>
      </c>
      <c r="I79" s="70">
        <f t="shared" si="18"/>
        <v>16.400000000000002</v>
      </c>
      <c r="J79" s="70"/>
      <c r="K79" s="98">
        <f t="shared" si="19"/>
        <v>-290</v>
      </c>
      <c r="L79" s="98">
        <f t="shared" si="24"/>
        <v>9245</v>
      </c>
      <c r="M79" s="98">
        <f t="shared" si="25"/>
        <v>10809.5</v>
      </c>
      <c r="N79" s="70">
        <f t="shared" si="26"/>
        <v>16.900000000000002</v>
      </c>
      <c r="O79" s="98"/>
      <c r="P79" s="98"/>
      <c r="Q79" s="70"/>
    </row>
    <row r="80" spans="1:17" x14ac:dyDescent="0.3">
      <c r="A80" s="24">
        <v>7</v>
      </c>
      <c r="D80" s="24"/>
      <c r="E80" s="37">
        <v>10000</v>
      </c>
      <c r="F80" s="98">
        <f t="shared" si="16"/>
        <v>18640</v>
      </c>
      <c r="G80" s="98">
        <f t="shared" si="17"/>
        <v>21769</v>
      </c>
      <c r="H80" s="98">
        <f t="shared" si="23"/>
        <v>3129</v>
      </c>
      <c r="I80" s="70">
        <f t="shared" si="18"/>
        <v>16.8</v>
      </c>
      <c r="J80" s="70"/>
      <c r="K80" s="98">
        <f t="shared" si="19"/>
        <v>-580</v>
      </c>
      <c r="L80" s="98">
        <f t="shared" si="24"/>
        <v>18060</v>
      </c>
      <c r="M80" s="98">
        <f t="shared" si="25"/>
        <v>21189</v>
      </c>
      <c r="N80" s="70">
        <f t="shared" si="26"/>
        <v>17.299999999999997</v>
      </c>
      <c r="O80" s="98"/>
      <c r="P80" s="98"/>
      <c r="Q80" s="70"/>
    </row>
    <row r="81" spans="1:20" x14ac:dyDescent="0.3">
      <c r="A81" s="24">
        <v>8</v>
      </c>
      <c r="D81" s="24"/>
      <c r="E81" s="37">
        <v>20000</v>
      </c>
      <c r="F81" s="98">
        <f t="shared" si="16"/>
        <v>36850</v>
      </c>
      <c r="G81" s="98">
        <f t="shared" si="17"/>
        <v>43108</v>
      </c>
      <c r="H81" s="98">
        <f t="shared" si="23"/>
        <v>6258</v>
      </c>
      <c r="I81" s="70">
        <f t="shared" si="18"/>
        <v>17</v>
      </c>
      <c r="J81" s="70"/>
      <c r="K81" s="98">
        <f t="shared" si="19"/>
        <v>-1160</v>
      </c>
      <c r="L81" s="98">
        <f t="shared" si="24"/>
        <v>35690</v>
      </c>
      <c r="M81" s="98">
        <f t="shared" si="25"/>
        <v>41948</v>
      </c>
      <c r="N81" s="70">
        <f t="shared" si="26"/>
        <v>17.5</v>
      </c>
      <c r="O81" s="98"/>
      <c r="P81" s="98"/>
      <c r="Q81" s="70"/>
    </row>
    <row r="82" spans="1:20" x14ac:dyDescent="0.3">
      <c r="A82" s="24">
        <v>9</v>
      </c>
      <c r="D82" s="24"/>
      <c r="E82" s="37">
        <v>30000</v>
      </c>
      <c r="F82" s="98">
        <f t="shared" si="16"/>
        <v>55060</v>
      </c>
      <c r="G82" s="98">
        <f t="shared" si="17"/>
        <v>64447</v>
      </c>
      <c r="H82" s="98">
        <f t="shared" si="23"/>
        <v>9387</v>
      </c>
      <c r="I82" s="70">
        <f t="shared" si="18"/>
        <v>17</v>
      </c>
      <c r="J82" s="70"/>
      <c r="K82" s="98">
        <f t="shared" si="19"/>
        <v>-1740</v>
      </c>
      <c r="L82" s="98">
        <f t="shared" si="24"/>
        <v>53320</v>
      </c>
      <c r="M82" s="98">
        <f t="shared" si="25"/>
        <v>62707</v>
      </c>
      <c r="N82" s="70">
        <f t="shared" si="26"/>
        <v>17.599999999999998</v>
      </c>
      <c r="O82" s="98"/>
      <c r="P82" s="98"/>
      <c r="Q82" s="70"/>
    </row>
    <row r="83" spans="1:20" x14ac:dyDescent="0.3">
      <c r="A83" s="24">
        <v>10</v>
      </c>
      <c r="D83" s="24"/>
      <c r="E83" s="37">
        <v>40000</v>
      </c>
      <c r="F83" s="98">
        <f t="shared" si="16"/>
        <v>73270</v>
      </c>
      <c r="G83" s="98">
        <f t="shared" si="17"/>
        <v>85786</v>
      </c>
      <c r="H83" s="98">
        <f t="shared" si="23"/>
        <v>12516</v>
      </c>
      <c r="I83" s="70">
        <f t="shared" si="18"/>
        <v>17.100000000000001</v>
      </c>
      <c r="J83" s="70"/>
      <c r="K83" s="98">
        <f t="shared" si="19"/>
        <v>-2320</v>
      </c>
      <c r="L83" s="98">
        <f t="shared" si="24"/>
        <v>70950</v>
      </c>
      <c r="M83" s="98">
        <f t="shared" si="25"/>
        <v>83466</v>
      </c>
      <c r="N83" s="70">
        <f t="shared" si="26"/>
        <v>17.599999999999998</v>
      </c>
      <c r="O83" s="98"/>
      <c r="P83" s="98"/>
      <c r="Q83" s="70"/>
    </row>
    <row r="84" spans="1:20" x14ac:dyDescent="0.3">
      <c r="A84" s="24">
        <v>11</v>
      </c>
      <c r="D84" s="24"/>
      <c r="E84" s="37">
        <v>50000</v>
      </c>
      <c r="F84" s="98">
        <f t="shared" si="16"/>
        <v>91480</v>
      </c>
      <c r="G84" s="98">
        <f t="shared" si="17"/>
        <v>107125</v>
      </c>
      <c r="H84" s="98">
        <f t="shared" si="23"/>
        <v>15645</v>
      </c>
      <c r="I84" s="70">
        <f t="shared" si="18"/>
        <v>17.100000000000001</v>
      </c>
      <c r="J84" s="70"/>
      <c r="K84" s="98">
        <f t="shared" si="19"/>
        <v>-2900</v>
      </c>
      <c r="L84" s="98">
        <f t="shared" si="24"/>
        <v>88580</v>
      </c>
      <c r="M84" s="98">
        <f t="shared" si="25"/>
        <v>104225</v>
      </c>
      <c r="N84" s="70">
        <f t="shared" si="26"/>
        <v>17.7</v>
      </c>
      <c r="O84" s="98"/>
      <c r="P84" s="98"/>
      <c r="Q84" s="70"/>
    </row>
    <row r="85" spans="1:20" x14ac:dyDescent="0.3">
      <c r="A85" s="24">
        <v>12</v>
      </c>
      <c r="D85" s="24"/>
      <c r="E85" s="37">
        <v>75000</v>
      </c>
      <c r="F85" s="98">
        <f t="shared" si="16"/>
        <v>137005</v>
      </c>
      <c r="G85" s="98">
        <f t="shared" si="17"/>
        <v>160472.5</v>
      </c>
      <c r="H85" s="98">
        <f t="shared" si="23"/>
        <v>23467.5</v>
      </c>
      <c r="I85" s="70">
        <f t="shared" si="18"/>
        <v>17.100000000000001</v>
      </c>
      <c r="J85" s="70"/>
      <c r="K85" s="98">
        <f t="shared" si="19"/>
        <v>-4350</v>
      </c>
      <c r="L85" s="98">
        <f t="shared" si="24"/>
        <v>132655</v>
      </c>
      <c r="M85" s="98">
        <f t="shared" si="25"/>
        <v>156122.5</v>
      </c>
      <c r="N85" s="70">
        <f t="shared" si="26"/>
        <v>17.7</v>
      </c>
      <c r="O85" s="98"/>
      <c r="P85" s="98"/>
      <c r="Q85" s="70"/>
    </row>
    <row r="86" spans="1:20" x14ac:dyDescent="0.3">
      <c r="A86" s="24">
        <v>13</v>
      </c>
      <c r="D86" s="24"/>
      <c r="E86" s="37">
        <v>100000</v>
      </c>
      <c r="F86" s="98">
        <f t="shared" si="16"/>
        <v>182530</v>
      </c>
      <c r="G86" s="98">
        <f t="shared" si="17"/>
        <v>213820</v>
      </c>
      <c r="H86" s="98">
        <f t="shared" si="23"/>
        <v>31290</v>
      </c>
      <c r="I86" s="70">
        <f t="shared" si="18"/>
        <v>17.100000000000001</v>
      </c>
      <c r="J86" s="70"/>
      <c r="K86" s="98">
        <f t="shared" si="19"/>
        <v>-5800</v>
      </c>
      <c r="L86" s="98">
        <f t="shared" si="24"/>
        <v>176730</v>
      </c>
      <c r="M86" s="98">
        <f t="shared" si="25"/>
        <v>208020</v>
      </c>
      <c r="N86" s="70">
        <f t="shared" si="26"/>
        <v>17.7</v>
      </c>
      <c r="O86" s="98"/>
      <c r="P86" s="98"/>
      <c r="Q86" s="70"/>
    </row>
    <row r="87" spans="1:20" x14ac:dyDescent="0.3">
      <c r="A87" s="24">
        <v>14</v>
      </c>
      <c r="D87" s="24"/>
      <c r="E87" s="37">
        <v>150000</v>
      </c>
      <c r="F87" s="98">
        <f t="shared" si="16"/>
        <v>273580</v>
      </c>
      <c r="G87" s="98">
        <f t="shared" si="17"/>
        <v>320515</v>
      </c>
      <c r="H87" s="98">
        <f t="shared" si="23"/>
        <v>46935</v>
      </c>
      <c r="I87" s="70">
        <f t="shared" si="18"/>
        <v>17.2</v>
      </c>
      <c r="J87" s="70"/>
      <c r="K87" s="98">
        <f t="shared" si="19"/>
        <v>-8700</v>
      </c>
      <c r="L87" s="98">
        <f t="shared" si="24"/>
        <v>264880</v>
      </c>
      <c r="M87" s="98">
        <f t="shared" si="25"/>
        <v>311815</v>
      </c>
      <c r="N87" s="70">
        <f t="shared" si="26"/>
        <v>17.7</v>
      </c>
      <c r="O87" s="98"/>
      <c r="P87" s="98"/>
      <c r="Q87" s="70"/>
    </row>
    <row r="88" spans="1:20" x14ac:dyDescent="0.3">
      <c r="A88" s="24">
        <v>15</v>
      </c>
      <c r="D88" s="24"/>
      <c r="E88" s="37">
        <v>200000</v>
      </c>
      <c r="F88" s="98">
        <f t="shared" si="16"/>
        <v>364630</v>
      </c>
      <c r="G88" s="98">
        <f t="shared" si="17"/>
        <v>427210</v>
      </c>
      <c r="H88" s="98">
        <f t="shared" si="23"/>
        <v>62580</v>
      </c>
      <c r="I88" s="70">
        <f t="shared" si="18"/>
        <v>17.2</v>
      </c>
      <c r="J88" s="70"/>
      <c r="K88" s="98">
        <f t="shared" si="19"/>
        <v>-11600</v>
      </c>
      <c r="L88" s="98">
        <f t="shared" si="24"/>
        <v>353030</v>
      </c>
      <c r="M88" s="98">
        <f t="shared" si="25"/>
        <v>415610</v>
      </c>
      <c r="N88" s="70">
        <f t="shared" si="26"/>
        <v>17.7</v>
      </c>
      <c r="O88" s="98"/>
      <c r="P88" s="98"/>
      <c r="Q88" s="70"/>
    </row>
    <row r="89" spans="1:20" x14ac:dyDescent="0.3">
      <c r="C89" s="26"/>
      <c r="H89" s="98"/>
      <c r="I89" s="70"/>
      <c r="J89" s="70"/>
      <c r="K89" s="98"/>
      <c r="L89" s="98"/>
      <c r="M89" s="53"/>
      <c r="O89" s="98"/>
      <c r="P89" s="98"/>
      <c r="Q89" s="70"/>
      <c r="S89" s="302"/>
      <c r="T89" s="302"/>
    </row>
    <row r="90" spans="1:20" x14ac:dyDescent="0.3">
      <c r="A90" s="24">
        <v>16</v>
      </c>
      <c r="C90" s="176" t="s">
        <v>163</v>
      </c>
      <c r="D90" s="176" t="s">
        <v>159</v>
      </c>
      <c r="E90" s="37"/>
      <c r="F90" s="98"/>
      <c r="G90" s="98"/>
      <c r="H90" s="98"/>
      <c r="I90" s="70"/>
      <c r="J90" s="70"/>
      <c r="K90" s="98"/>
      <c r="L90" s="98"/>
      <c r="O90" s="98"/>
      <c r="P90" s="98"/>
      <c r="Q90" s="70"/>
      <c r="S90" s="302"/>
      <c r="T90" s="302"/>
    </row>
    <row r="91" spans="1:20" x14ac:dyDescent="0.3">
      <c r="A91" s="24">
        <v>17</v>
      </c>
      <c r="C91" s="175" t="s">
        <v>142</v>
      </c>
      <c r="D91" s="176" t="s">
        <v>160</v>
      </c>
      <c r="E91" s="37">
        <v>2000</v>
      </c>
      <c r="F91" s="98">
        <f t="shared" ref="F91:F102" si="27">ROUND(E91*(CUR_IT_COM),2)+CUR_IT_CUST</f>
        <v>2426.4</v>
      </c>
      <c r="G91" s="98">
        <f t="shared" ref="G91:G102" si="28">ROUND(E91*(PRO_IT_COM),2)+PRO_IT_CUST</f>
        <v>2744.6</v>
      </c>
      <c r="H91" s="98">
        <f t="shared" ref="H91" si="29">+G91-F91</f>
        <v>318.19999999999982</v>
      </c>
      <c r="I91" s="70">
        <f t="shared" ref="I91" si="30">ROUND(H91/F91,3)*100</f>
        <v>13.100000000000001</v>
      </c>
      <c r="J91" s="70"/>
      <c r="K91" s="302">
        <v>0</v>
      </c>
      <c r="L91" s="98">
        <f t="shared" ref="L91" si="31">F91+K91</f>
        <v>2426.4</v>
      </c>
      <c r="M91" s="98">
        <f t="shared" ref="M91" si="32">G91+K91</f>
        <v>2744.6</v>
      </c>
      <c r="N91" s="70">
        <f t="shared" ref="N91" si="33">ROUND((M91-L91)/L91,3)*100</f>
        <v>13.100000000000001</v>
      </c>
      <c r="O91" s="98"/>
      <c r="P91" s="98"/>
      <c r="Q91" s="70"/>
      <c r="S91" s="302"/>
      <c r="T91" s="302"/>
    </row>
    <row r="92" spans="1:20" x14ac:dyDescent="0.3">
      <c r="A92" s="24">
        <v>18</v>
      </c>
      <c r="C92" s="175" t="s">
        <v>137</v>
      </c>
      <c r="D92" s="24"/>
      <c r="E92" s="37">
        <v>5000</v>
      </c>
      <c r="F92" s="98">
        <f t="shared" si="27"/>
        <v>5421</v>
      </c>
      <c r="G92" s="98">
        <f t="shared" si="28"/>
        <v>6216.5</v>
      </c>
      <c r="H92" s="98">
        <f t="shared" ref="H92:H102" si="34">+G92-F92</f>
        <v>795.5</v>
      </c>
      <c r="I92" s="70">
        <f t="shared" ref="I92:I102" si="35">ROUND(H92/F92,3)*100</f>
        <v>14.7</v>
      </c>
      <c r="J92" s="70"/>
      <c r="K92" s="302">
        <v>0</v>
      </c>
      <c r="L92" s="98">
        <f t="shared" ref="L92:L102" si="36">F92+K92</f>
        <v>5421</v>
      </c>
      <c r="M92" s="98">
        <f t="shared" ref="M92:M102" si="37">G92+K92</f>
        <v>6216.5</v>
      </c>
      <c r="N92" s="70">
        <f t="shared" ref="N92:N102" si="38">ROUND((M92-L92)/L92,3)*100</f>
        <v>14.7</v>
      </c>
      <c r="O92" s="98"/>
      <c r="P92" s="98"/>
      <c r="Q92" s="70"/>
      <c r="S92" s="302"/>
      <c r="T92" s="302"/>
    </row>
    <row r="93" spans="1:20" x14ac:dyDescent="0.3">
      <c r="A93" s="24">
        <v>19</v>
      </c>
      <c r="C93" s="175"/>
      <c r="D93" s="24"/>
      <c r="E93" s="37">
        <v>10000</v>
      </c>
      <c r="F93" s="98">
        <f t="shared" si="27"/>
        <v>10412</v>
      </c>
      <c r="G93" s="98">
        <f t="shared" si="28"/>
        <v>12003</v>
      </c>
      <c r="H93" s="98">
        <f t="shared" si="34"/>
        <v>1591</v>
      </c>
      <c r="I93" s="70">
        <f t="shared" si="35"/>
        <v>15.299999999999999</v>
      </c>
      <c r="J93" s="70"/>
      <c r="K93" s="302">
        <v>0</v>
      </c>
      <c r="L93" s="98">
        <f t="shared" si="36"/>
        <v>10412</v>
      </c>
      <c r="M93" s="98">
        <f t="shared" si="37"/>
        <v>12003</v>
      </c>
      <c r="N93" s="70">
        <f t="shared" si="38"/>
        <v>15.299999999999999</v>
      </c>
      <c r="O93" s="98"/>
      <c r="P93" s="98"/>
      <c r="Q93" s="70"/>
      <c r="S93" s="302"/>
      <c r="T93" s="302"/>
    </row>
    <row r="94" spans="1:20" x14ac:dyDescent="0.3">
      <c r="A94" s="24">
        <v>20</v>
      </c>
      <c r="C94" s="175"/>
      <c r="D94" s="24"/>
      <c r="E94" s="37">
        <v>15000</v>
      </c>
      <c r="F94" s="98">
        <f t="shared" si="27"/>
        <v>15403</v>
      </c>
      <c r="G94" s="98">
        <f t="shared" si="28"/>
        <v>17789.5</v>
      </c>
      <c r="H94" s="98">
        <f t="shared" si="34"/>
        <v>2386.5</v>
      </c>
      <c r="I94" s="70">
        <f t="shared" si="35"/>
        <v>15.5</v>
      </c>
      <c r="J94" s="70"/>
      <c r="K94" s="302">
        <v>0</v>
      </c>
      <c r="L94" s="98">
        <f t="shared" si="36"/>
        <v>15403</v>
      </c>
      <c r="M94" s="98">
        <f t="shared" si="37"/>
        <v>17789.5</v>
      </c>
      <c r="N94" s="70">
        <f t="shared" si="38"/>
        <v>15.5</v>
      </c>
      <c r="O94" s="98"/>
      <c r="P94" s="98"/>
      <c r="Q94" s="70"/>
      <c r="S94" s="302"/>
      <c r="T94" s="302"/>
    </row>
    <row r="95" spans="1:20" x14ac:dyDescent="0.3">
      <c r="A95" s="24">
        <v>21</v>
      </c>
      <c r="D95" s="24"/>
      <c r="E95" s="37">
        <v>20000</v>
      </c>
      <c r="F95" s="98">
        <f t="shared" si="27"/>
        <v>20394</v>
      </c>
      <c r="G95" s="98">
        <f t="shared" si="28"/>
        <v>23576</v>
      </c>
      <c r="H95" s="98">
        <f t="shared" si="34"/>
        <v>3182</v>
      </c>
      <c r="I95" s="70">
        <f t="shared" si="35"/>
        <v>15.6</v>
      </c>
      <c r="J95" s="70"/>
      <c r="K95" s="302">
        <v>0</v>
      </c>
      <c r="L95" s="98">
        <f t="shared" si="36"/>
        <v>20394</v>
      </c>
      <c r="M95" s="98">
        <f t="shared" si="37"/>
        <v>23576</v>
      </c>
      <c r="N95" s="70">
        <f t="shared" si="38"/>
        <v>15.6</v>
      </c>
      <c r="O95" s="98"/>
      <c r="P95" s="98"/>
      <c r="Q95" s="70"/>
      <c r="S95" s="302"/>
      <c r="T95" s="302"/>
    </row>
    <row r="96" spans="1:20" x14ac:dyDescent="0.3">
      <c r="A96" s="24">
        <v>22</v>
      </c>
      <c r="D96" s="24"/>
      <c r="E96" s="37">
        <v>25000</v>
      </c>
      <c r="F96" s="98">
        <f t="shared" si="27"/>
        <v>25385</v>
      </c>
      <c r="G96" s="98">
        <f t="shared" si="28"/>
        <v>29362.5</v>
      </c>
      <c r="H96" s="98">
        <f t="shared" si="34"/>
        <v>3977.5</v>
      </c>
      <c r="I96" s="70">
        <f t="shared" si="35"/>
        <v>15.7</v>
      </c>
      <c r="J96" s="70"/>
      <c r="K96" s="302">
        <v>0</v>
      </c>
      <c r="L96" s="98">
        <f t="shared" si="36"/>
        <v>25385</v>
      </c>
      <c r="M96" s="98">
        <f t="shared" si="37"/>
        <v>29362.5</v>
      </c>
      <c r="N96" s="70">
        <f t="shared" si="38"/>
        <v>15.7</v>
      </c>
      <c r="O96" s="98"/>
      <c r="P96" s="98"/>
      <c r="Q96" s="70"/>
      <c r="S96" s="302"/>
      <c r="T96" s="302"/>
    </row>
    <row r="97" spans="1:20" x14ac:dyDescent="0.3">
      <c r="A97" s="24">
        <v>23</v>
      </c>
      <c r="D97" s="24"/>
      <c r="E97" s="37">
        <v>30000</v>
      </c>
      <c r="F97" s="98">
        <f t="shared" si="27"/>
        <v>30376</v>
      </c>
      <c r="G97" s="98">
        <f t="shared" si="28"/>
        <v>35149</v>
      </c>
      <c r="H97" s="98">
        <f t="shared" si="34"/>
        <v>4773</v>
      </c>
      <c r="I97" s="70">
        <f t="shared" si="35"/>
        <v>15.7</v>
      </c>
      <c r="J97" s="70"/>
      <c r="K97" s="302">
        <v>0</v>
      </c>
      <c r="L97" s="98">
        <f t="shared" si="36"/>
        <v>30376</v>
      </c>
      <c r="M97" s="98">
        <f t="shared" si="37"/>
        <v>35149</v>
      </c>
      <c r="N97" s="70">
        <f t="shared" si="38"/>
        <v>15.7</v>
      </c>
      <c r="O97" s="98"/>
      <c r="P97" s="98"/>
      <c r="Q97" s="70"/>
      <c r="S97" s="302"/>
      <c r="T97" s="302"/>
    </row>
    <row r="98" spans="1:20" x14ac:dyDescent="0.3">
      <c r="A98" s="24">
        <v>24</v>
      </c>
      <c r="D98" s="24"/>
      <c r="E98" s="37">
        <v>40000</v>
      </c>
      <c r="F98" s="98">
        <f t="shared" si="27"/>
        <v>40358</v>
      </c>
      <c r="G98" s="98">
        <f t="shared" si="28"/>
        <v>46722</v>
      </c>
      <c r="H98" s="98">
        <f t="shared" si="34"/>
        <v>6364</v>
      </c>
      <c r="I98" s="70">
        <f t="shared" si="35"/>
        <v>15.8</v>
      </c>
      <c r="J98" s="70"/>
      <c r="K98" s="302">
        <v>0</v>
      </c>
      <c r="L98" s="98">
        <f t="shared" si="36"/>
        <v>40358</v>
      </c>
      <c r="M98" s="98">
        <f t="shared" si="37"/>
        <v>46722</v>
      </c>
      <c r="N98" s="70">
        <f t="shared" si="38"/>
        <v>15.8</v>
      </c>
      <c r="O98" s="98"/>
      <c r="P98" s="98"/>
      <c r="Q98" s="70"/>
      <c r="S98" s="302"/>
      <c r="T98" s="302"/>
    </row>
    <row r="99" spans="1:20" x14ac:dyDescent="0.3">
      <c r="A99" s="24">
        <v>25</v>
      </c>
      <c r="D99" s="24"/>
      <c r="E99" s="37">
        <v>50000</v>
      </c>
      <c r="F99" s="98">
        <f t="shared" si="27"/>
        <v>50340</v>
      </c>
      <c r="G99" s="98">
        <f t="shared" si="28"/>
        <v>58295</v>
      </c>
      <c r="H99" s="98">
        <f t="shared" si="34"/>
        <v>7955</v>
      </c>
      <c r="I99" s="70">
        <f t="shared" si="35"/>
        <v>15.8</v>
      </c>
      <c r="J99" s="70"/>
      <c r="K99" s="302">
        <v>0</v>
      </c>
      <c r="L99" s="98">
        <f t="shared" si="36"/>
        <v>50340</v>
      </c>
      <c r="M99" s="98">
        <f t="shared" si="37"/>
        <v>58295</v>
      </c>
      <c r="N99" s="70">
        <f t="shared" si="38"/>
        <v>15.8</v>
      </c>
      <c r="O99" s="98"/>
      <c r="P99" s="98"/>
      <c r="Q99" s="70"/>
      <c r="S99" s="302"/>
      <c r="T99" s="302"/>
    </row>
    <row r="100" spans="1:20" x14ac:dyDescent="0.3">
      <c r="A100" s="24">
        <v>26</v>
      </c>
      <c r="D100" s="24"/>
      <c r="E100" s="37">
        <v>100000</v>
      </c>
      <c r="F100" s="98">
        <f t="shared" si="27"/>
        <v>100250</v>
      </c>
      <c r="G100" s="98">
        <f t="shared" si="28"/>
        <v>116160</v>
      </c>
      <c r="H100" s="98">
        <f t="shared" si="34"/>
        <v>15910</v>
      </c>
      <c r="I100" s="70">
        <f t="shared" si="35"/>
        <v>15.9</v>
      </c>
      <c r="J100" s="70"/>
      <c r="K100" s="302">
        <v>0</v>
      </c>
      <c r="L100" s="98">
        <f t="shared" si="36"/>
        <v>100250</v>
      </c>
      <c r="M100" s="98">
        <f t="shared" si="37"/>
        <v>116160</v>
      </c>
      <c r="N100" s="70">
        <f t="shared" si="38"/>
        <v>15.9</v>
      </c>
      <c r="O100" s="98"/>
      <c r="P100" s="98"/>
      <c r="Q100" s="70"/>
      <c r="S100" s="302"/>
      <c r="T100" s="302"/>
    </row>
    <row r="101" spans="1:20" x14ac:dyDescent="0.3">
      <c r="A101" s="24">
        <v>27</v>
      </c>
      <c r="D101" s="24"/>
      <c r="E101" s="37">
        <v>200000</v>
      </c>
      <c r="F101" s="98">
        <f t="shared" si="27"/>
        <v>200070</v>
      </c>
      <c r="G101" s="98">
        <f t="shared" si="28"/>
        <v>231890</v>
      </c>
      <c r="H101" s="98">
        <f t="shared" si="34"/>
        <v>31820</v>
      </c>
      <c r="I101" s="70">
        <f t="shared" si="35"/>
        <v>15.9</v>
      </c>
      <c r="J101" s="70"/>
      <c r="K101" s="302">
        <v>0</v>
      </c>
      <c r="L101" s="98">
        <f t="shared" si="36"/>
        <v>200070</v>
      </c>
      <c r="M101" s="98">
        <f t="shared" si="37"/>
        <v>231890</v>
      </c>
      <c r="N101" s="70">
        <f t="shared" si="38"/>
        <v>15.9</v>
      </c>
      <c r="O101" s="98"/>
      <c r="P101" s="98"/>
      <c r="Q101" s="70"/>
      <c r="S101" s="302"/>
      <c r="T101" s="302"/>
    </row>
    <row r="102" spans="1:20" x14ac:dyDescent="0.3">
      <c r="A102" s="24">
        <v>28</v>
      </c>
      <c r="D102" s="24"/>
      <c r="E102" s="37">
        <v>300000</v>
      </c>
      <c r="F102" s="98">
        <f t="shared" si="27"/>
        <v>299890</v>
      </c>
      <c r="G102" s="98">
        <f t="shared" si="28"/>
        <v>347620</v>
      </c>
      <c r="H102" s="98">
        <f t="shared" si="34"/>
        <v>47730</v>
      </c>
      <c r="I102" s="70">
        <f t="shared" si="35"/>
        <v>15.9</v>
      </c>
      <c r="J102" s="70"/>
      <c r="K102" s="302">
        <v>0</v>
      </c>
      <c r="L102" s="98">
        <f t="shared" si="36"/>
        <v>299890</v>
      </c>
      <c r="M102" s="98">
        <f t="shared" si="37"/>
        <v>347620</v>
      </c>
      <c r="N102" s="70">
        <f t="shared" si="38"/>
        <v>15.9</v>
      </c>
      <c r="O102" s="98"/>
      <c r="P102" s="98"/>
      <c r="Q102" s="70"/>
      <c r="S102" s="302"/>
      <c r="T102" s="302"/>
    </row>
    <row r="103" spans="1:20" x14ac:dyDescent="0.3">
      <c r="A103" s="24"/>
      <c r="D103" s="24"/>
      <c r="E103" s="37"/>
      <c r="F103" s="98"/>
      <c r="G103" s="98"/>
      <c r="H103" s="98"/>
      <c r="I103" s="70"/>
      <c r="J103" s="70"/>
      <c r="K103" s="98"/>
      <c r="L103" s="98"/>
      <c r="M103" s="98"/>
      <c r="N103" s="70"/>
      <c r="O103" s="98"/>
      <c r="P103" s="98"/>
      <c r="Q103" s="70"/>
      <c r="S103" s="302"/>
      <c r="T103" s="302"/>
    </row>
    <row r="104" spans="1:20" x14ac:dyDescent="0.3">
      <c r="A104" s="24"/>
      <c r="C104" s="26" t="str">
        <f>"(1) INCLUDES CURRENT RIDER GCAT OF "&amp;TEXT(CUR_FTL_GCAT,"$0.000_);($0.000)")&amp;"/MCF"</f>
        <v>(1) INCLUDES CURRENT RIDER GCAT OF ($0.058)/MCF</v>
      </c>
      <c r="D104" s="24"/>
      <c r="E104" s="37"/>
      <c r="F104" s="98"/>
      <c r="G104" s="98"/>
      <c r="H104" s="98"/>
      <c r="I104" s="70"/>
      <c r="J104" s="70"/>
      <c r="K104" s="98"/>
      <c r="L104" s="98"/>
      <c r="M104" s="98"/>
      <c r="N104" s="70"/>
      <c r="O104" s="98"/>
      <c r="P104" s="98"/>
      <c r="Q104" s="70"/>
      <c r="S104" s="302"/>
      <c r="T104" s="302"/>
    </row>
    <row r="105" spans="1:20" x14ac:dyDescent="0.3">
      <c r="A105" s="24"/>
      <c r="C105" s="26"/>
      <c r="D105" s="24"/>
      <c r="E105" s="37"/>
      <c r="F105" s="98"/>
      <c r="G105" s="98"/>
      <c r="H105" s="98"/>
      <c r="I105" s="70"/>
      <c r="J105" s="70"/>
      <c r="K105" s="98"/>
      <c r="L105" s="98"/>
      <c r="M105" s="98"/>
      <c r="N105" s="70"/>
      <c r="O105" s="98"/>
      <c r="P105" s="98"/>
      <c r="Q105" s="70"/>
    </row>
    <row r="106" spans="1:20" x14ac:dyDescent="0.3">
      <c r="C106" s="26"/>
      <c r="F106" s="121"/>
      <c r="G106" s="121"/>
      <c r="H106" s="121"/>
      <c r="K106" s="121"/>
      <c r="L106" s="121"/>
      <c r="M106" s="121"/>
      <c r="O106" s="121"/>
      <c r="P106" s="121"/>
    </row>
    <row r="107" spans="1:20" x14ac:dyDescent="0.3">
      <c r="F107" s="121"/>
      <c r="G107" s="121"/>
      <c r="H107" s="121"/>
      <c r="K107" s="121"/>
      <c r="L107" s="121"/>
      <c r="M107" s="121"/>
      <c r="O107" s="121"/>
      <c r="P107" s="121"/>
    </row>
    <row r="108" spans="1:20" x14ac:dyDescent="0.3">
      <c r="F108" s="121"/>
      <c r="G108" s="121"/>
      <c r="H108" s="121"/>
      <c r="K108" s="121"/>
      <c r="L108" s="121"/>
      <c r="M108" s="121"/>
      <c r="O108" s="121"/>
      <c r="P108" s="121"/>
    </row>
    <row r="109" spans="1:20" x14ac:dyDescent="0.3">
      <c r="F109" s="121"/>
      <c r="G109" s="121"/>
      <c r="H109" s="121"/>
      <c r="O109" s="121"/>
      <c r="P109" s="121"/>
    </row>
    <row r="110" spans="1:20" x14ac:dyDescent="0.3">
      <c r="F110" s="121"/>
      <c r="G110" s="121"/>
      <c r="H110" s="121"/>
      <c r="O110" s="121"/>
      <c r="P110" s="121"/>
    </row>
    <row r="111" spans="1:20" x14ac:dyDescent="0.3">
      <c r="F111" s="121"/>
      <c r="G111" s="121"/>
      <c r="H111" s="121"/>
      <c r="O111" s="121"/>
      <c r="P111" s="121"/>
    </row>
    <row r="112" spans="1:20" x14ac:dyDescent="0.3">
      <c r="F112" s="121"/>
      <c r="G112" s="121"/>
      <c r="H112" s="121"/>
    </row>
    <row r="113" spans="6:8" x14ac:dyDescent="0.3">
      <c r="F113" s="121"/>
      <c r="G113" s="121"/>
      <c r="H113" s="121"/>
    </row>
  </sheetData>
  <customSheetViews>
    <customSheetView guid="{B7519FF1-05A6-4A79-8E47-A233872313D4}" scale="75" fitToPage="1" topLeftCell="A23">
      <selection activeCell="C50" sqref="C50"/>
      <pageMargins left="0.5" right="0.5" top="1" bottom="1" header="0.5" footer="0.5"/>
      <pageSetup scale="55" orientation="landscape" horizontalDpi="300" verticalDpi="300" r:id="rId1"/>
      <headerFooter alignWithMargins="0"/>
    </customSheetView>
  </customSheetViews>
  <mergeCells count="3">
    <mergeCell ref="A1:N1"/>
    <mergeCell ref="A4:N4"/>
    <mergeCell ref="A5:N5"/>
  </mergeCells>
  <phoneticPr fontId="0" type="noConversion"/>
  <pageMargins left="1" right="0.75" top="1" bottom="1" header="0.5" footer="0.5"/>
  <pageSetup scale="52" orientation="landscape" horizontalDpi="300" verticalDpi="300" r:id="rId2"/>
  <headerFooter alignWithMargins="0">
    <oddHeader>&amp;R&amp;"Times New Roman,Bold"&amp;10KyPSC Case No. 2021-00190
STAFF-DR-01-049 Attachment 2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">
    <pageSetUpPr fitToPage="1"/>
  </sheetPr>
  <dimension ref="A1:N46"/>
  <sheetViews>
    <sheetView topLeftCell="C4" workbookViewId="0">
      <selection activeCell="C17" sqref="C17"/>
    </sheetView>
  </sheetViews>
  <sheetFormatPr defaultColWidth="8.9140625" defaultRowHeight="15.6" x14ac:dyDescent="0.3"/>
  <cols>
    <col min="1" max="1" width="8.9140625" style="233"/>
    <col min="2" max="2" width="22.58203125" style="233" customWidth="1"/>
    <col min="3" max="3" width="15.08203125" style="233" bestFit="1" customWidth="1"/>
    <col min="4" max="4" width="17.25" style="233" customWidth="1"/>
    <col min="5" max="6" width="8.9140625" style="233"/>
    <col min="7" max="7" width="24.4140625" style="233" customWidth="1"/>
    <col min="8" max="8" width="14.75" style="233" customWidth="1"/>
    <col min="9" max="9" width="16.58203125" style="233" customWidth="1"/>
    <col min="10" max="10" width="11" style="233" bestFit="1" customWidth="1"/>
    <col min="11" max="11" width="16.08203125" style="233" bestFit="1" customWidth="1"/>
    <col min="12" max="12" width="26.4140625" style="233" bestFit="1" customWidth="1"/>
    <col min="13" max="13" width="22.75" style="233" customWidth="1"/>
    <col min="14" max="14" width="33.6640625" style="233" bestFit="1" customWidth="1"/>
    <col min="15" max="16384" width="8.9140625" style="233"/>
  </cols>
  <sheetData>
    <row r="1" spans="1:14" ht="19.8" x14ac:dyDescent="0.4">
      <c r="A1" s="236" t="s">
        <v>250</v>
      </c>
      <c r="B1" s="237"/>
      <c r="C1" s="237"/>
      <c r="D1" s="237"/>
      <c r="E1" s="237"/>
      <c r="F1" s="237"/>
      <c r="G1" s="237"/>
      <c r="H1" s="237"/>
    </row>
    <row r="3" spans="1:14" x14ac:dyDescent="0.3">
      <c r="B3" s="233" t="str">
        <f>COMPANY</f>
        <v>DUKE ENERGY KENTUCKY</v>
      </c>
      <c r="G3" s="233" t="str">
        <f>B3</f>
        <v>DUKE ENERGY KENTUCKY</v>
      </c>
    </row>
    <row r="4" spans="1:14" x14ac:dyDescent="0.3">
      <c r="B4" s="233" t="str">
        <f>CASE</f>
        <v>CASE NO. 2021-00190</v>
      </c>
      <c r="G4" s="233" t="str">
        <f>B4</f>
        <v>CASE NO. 2021-00190</v>
      </c>
      <c r="M4" s="233" t="s">
        <v>288</v>
      </c>
    </row>
    <row r="5" spans="1:14" x14ac:dyDescent="0.3">
      <c r="B5" s="233" t="s">
        <v>276</v>
      </c>
      <c r="G5" s="233" t="s">
        <v>279</v>
      </c>
      <c r="M5" s="233" t="s">
        <v>287</v>
      </c>
    </row>
    <row r="6" spans="1:14" x14ac:dyDescent="0.3">
      <c r="B6" s="233" t="s">
        <v>277</v>
      </c>
      <c r="G6" s="233" t="s">
        <v>251</v>
      </c>
      <c r="M6" s="233" t="str">
        <f>B4</f>
        <v>CASE NO. 2021-00190</v>
      </c>
    </row>
    <row r="7" spans="1:14" x14ac:dyDescent="0.3">
      <c r="G7" s="233" t="str">
        <f>B4</f>
        <v>CASE NO. 2021-00190</v>
      </c>
    </row>
    <row r="9" spans="1:14" ht="46.8" x14ac:dyDescent="0.3">
      <c r="C9" s="233" t="s">
        <v>254</v>
      </c>
      <c r="D9" s="254" t="s">
        <v>255</v>
      </c>
      <c r="G9" s="233" t="s">
        <v>252</v>
      </c>
      <c r="H9" s="254" t="s">
        <v>256</v>
      </c>
      <c r="I9" s="254" t="s">
        <v>257</v>
      </c>
      <c r="J9" s="254" t="s">
        <v>258</v>
      </c>
      <c r="K9" s="254" t="s">
        <v>259</v>
      </c>
      <c r="M9" s="265" t="s">
        <v>252</v>
      </c>
      <c r="N9" s="266" t="s">
        <v>253</v>
      </c>
    </row>
    <row r="10" spans="1:14" x14ac:dyDescent="0.3">
      <c r="B10" s="233" t="s">
        <v>48</v>
      </c>
      <c r="C10" s="267">
        <f>'Rate RS'!X65</f>
        <v>1130041</v>
      </c>
      <c r="D10" s="267">
        <f>'Rate RS'!AN79-'Rate RS'!AN73-'Rate RS'!AN74</f>
        <v>75384544</v>
      </c>
      <c r="G10" s="233" t="str">
        <f>B10</f>
        <v>RS</v>
      </c>
      <c r="H10" s="268">
        <v>35525915</v>
      </c>
      <c r="I10" s="268">
        <v>85341156</v>
      </c>
      <c r="J10" s="249">
        <f>(I10-D10)/D10</f>
        <v>0.13207763119187932</v>
      </c>
      <c r="K10" s="234">
        <f>I10-D10</f>
        <v>9956612</v>
      </c>
      <c r="L10" s="269"/>
      <c r="M10" s="233" t="str">
        <f>G10</f>
        <v>RS</v>
      </c>
      <c r="N10" s="270">
        <f>'Proposed Rates'!C21</f>
        <v>62</v>
      </c>
    </row>
    <row r="11" spans="1:14" x14ac:dyDescent="0.3">
      <c r="B11" s="233" t="s">
        <v>119</v>
      </c>
      <c r="C11" s="267">
        <f>'Rate GS COM'!F24+'Rate GS IND'!F24+'Rate GS OPA'!F24</f>
        <v>84020</v>
      </c>
      <c r="D11" s="267">
        <f>'Rate GS COM'!AN77+'Rate GS IND'!AN82+'Rate GS OPA'!AN79</f>
        <v>28495663</v>
      </c>
      <c r="G11" s="233" t="str">
        <f t="shared" ref="G11:G15" si="0">B11</f>
        <v>GS</v>
      </c>
      <c r="H11" s="268">
        <v>5082039</v>
      </c>
      <c r="I11" s="268">
        <v>32736079</v>
      </c>
      <c r="J11" s="249">
        <f t="shared" ref="J11:J15" si="1">(I11-D11)/D11</f>
        <v>0.14880917141671698</v>
      </c>
      <c r="K11" s="234">
        <f t="shared" ref="K11:K15" si="2">I11-D11</f>
        <v>4240416</v>
      </c>
      <c r="L11" s="269"/>
      <c r="M11" s="233" t="str">
        <f t="shared" ref="M11:M15" si="3">G11</f>
        <v>GS</v>
      </c>
      <c r="N11" s="270">
        <f>'Rate GS COM'!R29+'Rate GS IND'!R29+'Rate GS OPA'!R29-'Revenue Requirements'!I11</f>
        <v>-32364</v>
      </c>
    </row>
    <row r="12" spans="1:14" x14ac:dyDescent="0.3">
      <c r="C12" s="267"/>
      <c r="D12" s="267"/>
      <c r="H12" s="268"/>
      <c r="I12" s="268"/>
      <c r="J12" s="249"/>
      <c r="K12" s="234"/>
      <c r="N12" s="234"/>
    </row>
    <row r="13" spans="1:14" x14ac:dyDescent="0.3">
      <c r="C13" s="267"/>
      <c r="D13" s="267"/>
      <c r="H13" s="268"/>
      <c r="I13" s="268"/>
      <c r="J13" s="249"/>
      <c r="K13" s="234"/>
      <c r="N13" s="234"/>
    </row>
    <row r="14" spans="1:14" x14ac:dyDescent="0.3">
      <c r="B14" s="233" t="s">
        <v>278</v>
      </c>
      <c r="C14" s="267">
        <f>'Rate FT-LG'!F22</f>
        <v>1092</v>
      </c>
      <c r="D14" s="267">
        <f>'Rate FT-LG'!AN71</f>
        <v>5444212</v>
      </c>
      <c r="G14" s="233" t="str">
        <f t="shared" si="0"/>
        <v>FT-Large</v>
      </c>
      <c r="H14" s="268">
        <v>353802</v>
      </c>
      <c r="I14" s="268">
        <v>6241087</v>
      </c>
      <c r="J14" s="249">
        <f t="shared" si="1"/>
        <v>0.14637104506584239</v>
      </c>
      <c r="K14" s="234">
        <f t="shared" si="2"/>
        <v>796875</v>
      </c>
      <c r="M14" s="233" t="str">
        <f t="shared" si="3"/>
        <v>FT-Large</v>
      </c>
      <c r="N14" s="233">
        <f>'Proposed Rates'!K23</f>
        <v>-355.03659999987576</v>
      </c>
    </row>
    <row r="15" spans="1:14" x14ac:dyDescent="0.3">
      <c r="B15" s="233" t="s">
        <v>156</v>
      </c>
      <c r="C15" s="267">
        <f>'Rate IT'!F22</f>
        <v>264</v>
      </c>
      <c r="D15" s="267">
        <f>'Rate IT'!AN74</f>
        <v>1782710</v>
      </c>
      <c r="G15" s="233" t="str">
        <f t="shared" si="0"/>
        <v>IT</v>
      </c>
      <c r="H15" s="268">
        <v>155286</v>
      </c>
      <c r="I15" s="268">
        <v>2048709</v>
      </c>
      <c r="J15" s="249">
        <f t="shared" si="1"/>
        <v>0.149210471697584</v>
      </c>
      <c r="K15" s="234">
        <f t="shared" si="2"/>
        <v>265999</v>
      </c>
      <c r="M15" s="233" t="str">
        <f t="shared" si="3"/>
        <v>IT</v>
      </c>
      <c r="N15" s="270">
        <f>'Proposed Rates'!O21</f>
        <v>48</v>
      </c>
    </row>
    <row r="16" spans="1:14" x14ac:dyDescent="0.3">
      <c r="C16" s="267"/>
      <c r="D16" s="267"/>
      <c r="G16" s="233" t="s">
        <v>320</v>
      </c>
      <c r="H16" s="271"/>
      <c r="I16" s="271">
        <f>-'Proposed Rates'!K33</f>
        <v>67567.036599999876</v>
      </c>
      <c r="J16" s="249"/>
    </row>
    <row r="17" spans="2:14" x14ac:dyDescent="0.3">
      <c r="C17" s="267"/>
      <c r="D17" s="267"/>
      <c r="H17" s="271"/>
      <c r="I17" s="271"/>
      <c r="J17" s="249"/>
      <c r="M17" s="233" t="s">
        <v>297</v>
      </c>
      <c r="N17" s="270">
        <f>SUM(N10:N15)</f>
        <v>-32609.036599999876</v>
      </c>
    </row>
    <row r="18" spans="2:14" x14ac:dyDescent="0.3">
      <c r="C18" s="267"/>
      <c r="D18" s="267"/>
      <c r="H18" s="271"/>
      <c r="I18" s="271"/>
      <c r="J18" s="249"/>
      <c r="K18" s="259"/>
      <c r="N18" s="270"/>
    </row>
    <row r="19" spans="2:14" x14ac:dyDescent="0.3">
      <c r="C19" s="267"/>
      <c r="D19" s="267"/>
      <c r="H19" s="271"/>
      <c r="I19" s="271"/>
      <c r="J19" s="249"/>
      <c r="N19" s="270"/>
    </row>
    <row r="20" spans="2:14" x14ac:dyDescent="0.3">
      <c r="C20" s="267"/>
      <c r="D20" s="267"/>
      <c r="H20" s="271"/>
      <c r="I20" s="271"/>
      <c r="J20" s="249"/>
      <c r="K20" s="259"/>
      <c r="N20" s="270"/>
    </row>
    <row r="21" spans="2:14" x14ac:dyDescent="0.3">
      <c r="C21" s="267"/>
      <c r="D21" s="267"/>
      <c r="H21" s="271"/>
      <c r="I21" s="271"/>
      <c r="J21" s="249"/>
      <c r="K21" s="259"/>
      <c r="N21" s="270"/>
    </row>
    <row r="22" spans="2:14" x14ac:dyDescent="0.3">
      <c r="C22" s="267"/>
      <c r="D22" s="267"/>
      <c r="H22" s="271"/>
      <c r="I22" s="271"/>
      <c r="J22" s="249"/>
    </row>
    <row r="23" spans="2:14" x14ac:dyDescent="0.3">
      <c r="C23" s="267"/>
      <c r="D23" s="267"/>
      <c r="H23" s="271"/>
      <c r="I23" s="271"/>
      <c r="J23" s="249"/>
      <c r="N23" s="234"/>
    </row>
    <row r="24" spans="2:14" x14ac:dyDescent="0.3">
      <c r="C24" s="267"/>
      <c r="D24" s="267"/>
      <c r="H24" s="271"/>
      <c r="I24" s="271"/>
      <c r="J24" s="249"/>
      <c r="K24" s="259"/>
    </row>
    <row r="25" spans="2:14" x14ac:dyDescent="0.3">
      <c r="C25" s="267"/>
      <c r="D25" s="267"/>
      <c r="H25" s="271"/>
      <c r="I25" s="272"/>
      <c r="J25" s="249"/>
      <c r="N25" s="262"/>
    </row>
    <row r="26" spans="2:14" x14ac:dyDescent="0.3">
      <c r="C26" s="267"/>
      <c r="D26" s="267"/>
      <c r="H26" s="271"/>
      <c r="I26" s="271"/>
      <c r="J26" s="249"/>
    </row>
    <row r="27" spans="2:14" x14ac:dyDescent="0.3">
      <c r="C27" s="267"/>
      <c r="D27" s="267"/>
      <c r="H27" s="271"/>
      <c r="I27" s="271"/>
      <c r="J27" s="249"/>
    </row>
    <row r="28" spans="2:14" x14ac:dyDescent="0.3">
      <c r="B28" s="233" t="s">
        <v>260</v>
      </c>
      <c r="C28" s="267"/>
      <c r="D28" s="267">
        <f>'SCH M-2.2'!V46</f>
        <v>337989</v>
      </c>
      <c r="G28" s="233" t="s">
        <v>260</v>
      </c>
      <c r="H28" s="271"/>
      <c r="I28" s="271">
        <f>+'SCH M-2.3'!R46</f>
        <v>279226.65004438529</v>
      </c>
      <c r="J28" s="249">
        <f>(I28-D28)/D28</f>
        <v>-0.17385876450303031</v>
      </c>
    </row>
    <row r="29" spans="2:14" x14ac:dyDescent="0.3">
      <c r="B29" s="233" t="s">
        <v>8</v>
      </c>
      <c r="C29" s="259">
        <f>SUM(C10:C28)</f>
        <v>1215417</v>
      </c>
      <c r="D29" s="259">
        <f>SUM(D10:D28)</f>
        <v>111445118</v>
      </c>
      <c r="G29" s="233" t="s">
        <v>8</v>
      </c>
      <c r="H29" s="259">
        <f>SUM(H10:H28)</f>
        <v>41117042</v>
      </c>
      <c r="I29" s="259">
        <f>SUM(I10:I28)</f>
        <v>126713824.68664438</v>
      </c>
      <c r="J29" s="249">
        <f>(I29-D29)/D29</f>
        <v>0.13700651011598711</v>
      </c>
      <c r="K29" s="234">
        <f t="shared" ref="K29" si="4">I29-D29</f>
        <v>15268706.686644375</v>
      </c>
    </row>
    <row r="31" spans="2:14" x14ac:dyDescent="0.3">
      <c r="C31" s="259"/>
      <c r="D31" s="259"/>
      <c r="H31" s="259"/>
      <c r="I31" s="259"/>
      <c r="J31" s="249"/>
    </row>
    <row r="34" spans="6:11" x14ac:dyDescent="0.3">
      <c r="I34" s="259"/>
      <c r="J34" s="249"/>
      <c r="K34" s="259"/>
    </row>
    <row r="35" spans="6:11" x14ac:dyDescent="0.3">
      <c r="I35" s="267"/>
      <c r="J35" s="249"/>
      <c r="K35" s="259"/>
    </row>
    <row r="36" spans="6:11" x14ac:dyDescent="0.3">
      <c r="I36" s="267"/>
      <c r="J36" s="249"/>
      <c r="K36" s="259"/>
    </row>
    <row r="37" spans="6:11" x14ac:dyDescent="0.3">
      <c r="I37" s="259"/>
    </row>
    <row r="38" spans="6:11" x14ac:dyDescent="0.3">
      <c r="I38" s="259"/>
      <c r="J38" s="259"/>
    </row>
    <row r="40" spans="6:11" x14ac:dyDescent="0.3">
      <c r="J40" s="249"/>
      <c r="K40" s="267"/>
    </row>
    <row r="43" spans="6:11" x14ac:dyDescent="0.3">
      <c r="F43" s="234"/>
      <c r="I43" s="234"/>
      <c r="J43" s="249"/>
      <c r="K43" s="234"/>
    </row>
    <row r="44" spans="6:11" x14ac:dyDescent="0.3">
      <c r="F44" s="234"/>
      <c r="I44" s="234"/>
      <c r="J44" s="249"/>
      <c r="K44" s="234"/>
    </row>
    <row r="45" spans="6:11" x14ac:dyDescent="0.3">
      <c r="F45" s="234"/>
      <c r="I45" s="234"/>
      <c r="J45" s="249"/>
      <c r="K45" s="234"/>
    </row>
    <row r="46" spans="6:11" x14ac:dyDescent="0.3">
      <c r="F46" s="234"/>
      <c r="I46" s="234"/>
      <c r="J46" s="249"/>
      <c r="K46" s="234"/>
    </row>
  </sheetData>
  <pageMargins left="0.7" right="0.7" top="0.75" bottom="0.75" header="0.3" footer="0.3"/>
  <pageSetup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/>
  <dimension ref="A1:O181"/>
  <sheetViews>
    <sheetView topLeftCell="A8" workbookViewId="0">
      <selection activeCell="J19" sqref="J19"/>
    </sheetView>
  </sheetViews>
  <sheetFormatPr defaultColWidth="8.9140625" defaultRowHeight="15.6" x14ac:dyDescent="0.3"/>
  <cols>
    <col min="1" max="1" width="8.9140625" style="233"/>
    <col min="2" max="2" width="29.58203125" style="233" bestFit="1" customWidth="1"/>
    <col min="3" max="3" width="20.25" style="233" bestFit="1" customWidth="1"/>
    <col min="4" max="5" width="8.9140625" style="233"/>
    <col min="6" max="6" width="29.58203125" style="233" bestFit="1" customWidth="1"/>
    <col min="7" max="7" width="16.4140625" style="233" customWidth="1"/>
    <col min="8" max="8" width="8" style="233" bestFit="1" customWidth="1"/>
    <col min="9" max="9" width="8.9140625" style="233"/>
    <col min="10" max="10" width="34.08203125" style="233" customWidth="1"/>
    <col min="11" max="11" width="16.4140625" style="233" customWidth="1"/>
    <col min="12" max="13" width="8.9140625" style="233"/>
    <col min="14" max="14" width="29.58203125" style="233" bestFit="1" customWidth="1"/>
    <col min="15" max="15" width="15.4140625" style="233" customWidth="1"/>
    <col min="16" max="16" width="8.9140625" style="233"/>
    <col min="17" max="17" width="11.33203125" style="233" customWidth="1"/>
    <col min="18" max="16384" width="8.9140625" style="233"/>
  </cols>
  <sheetData>
    <row r="1" spans="1:15" ht="19.8" x14ac:dyDescent="0.4">
      <c r="A1" s="236" t="s">
        <v>261</v>
      </c>
      <c r="B1" s="237"/>
      <c r="C1" s="238"/>
      <c r="D1" s="238"/>
    </row>
    <row r="2" spans="1:15" x14ac:dyDescent="0.3">
      <c r="B2" s="233" t="str">
        <f>COMPANY</f>
        <v>DUKE ENERGY KENTUCKY</v>
      </c>
      <c r="F2" s="233" t="str">
        <f>COMPANY</f>
        <v>DUKE ENERGY KENTUCKY</v>
      </c>
      <c r="J2" s="233" t="str">
        <f>COMPANY</f>
        <v>DUKE ENERGY KENTUCKY</v>
      </c>
      <c r="N2" s="233" t="str">
        <f>COMPANY</f>
        <v>DUKE ENERGY KENTUCKY</v>
      </c>
    </row>
    <row r="3" spans="1:15" x14ac:dyDescent="0.3">
      <c r="B3" s="233" t="str">
        <f>CASE</f>
        <v>CASE NO. 2021-00190</v>
      </c>
      <c r="F3" s="233" t="str">
        <f>CASE</f>
        <v>CASE NO. 2021-00190</v>
      </c>
      <c r="J3" s="233" t="str">
        <f>CASE</f>
        <v>CASE NO. 2021-00190</v>
      </c>
      <c r="N3" s="233" t="str">
        <f>CASE</f>
        <v>CASE NO. 2021-00190</v>
      </c>
    </row>
    <row r="4" spans="1:15" x14ac:dyDescent="0.3">
      <c r="B4" s="233" t="s">
        <v>262</v>
      </c>
      <c r="F4" s="233" t="s">
        <v>262</v>
      </c>
      <c r="J4" s="233" t="s">
        <v>262</v>
      </c>
      <c r="N4" s="233" t="s">
        <v>262</v>
      </c>
    </row>
    <row r="5" spans="1:15" x14ac:dyDescent="0.3">
      <c r="B5" s="239" t="s">
        <v>263</v>
      </c>
      <c r="F5" s="239" t="s">
        <v>280</v>
      </c>
      <c r="J5" s="239" t="s">
        <v>281</v>
      </c>
      <c r="N5" s="239" t="s">
        <v>282</v>
      </c>
    </row>
    <row r="6" spans="1:15" ht="16.2" thickBot="1" x14ac:dyDescent="0.35">
      <c r="C6" s="233" t="s">
        <v>264</v>
      </c>
      <c r="G6" s="233" t="s">
        <v>264</v>
      </c>
      <c r="K6" s="233" t="s">
        <v>264</v>
      </c>
    </row>
    <row r="7" spans="1:15" x14ac:dyDescent="0.3">
      <c r="B7" s="240" t="s">
        <v>254</v>
      </c>
      <c r="C7" s="241">
        <f>'Rate RS'!F24</f>
        <v>1130041</v>
      </c>
      <c r="F7" s="240" t="s">
        <v>254</v>
      </c>
      <c r="G7" s="241">
        <f>'Rate GS COM'!F24+'Rate GS IND'!F24+'Rate GS OPA'!F24</f>
        <v>84020</v>
      </c>
      <c r="J7" s="240" t="s">
        <v>254</v>
      </c>
      <c r="K7" s="241">
        <f>'Rate FT-LG'!F22</f>
        <v>1092</v>
      </c>
      <c r="N7" s="240" t="s">
        <v>254</v>
      </c>
      <c r="O7" s="241">
        <f>'Rate IT'!F22</f>
        <v>264</v>
      </c>
    </row>
    <row r="8" spans="1:15" x14ac:dyDescent="0.3">
      <c r="B8" s="242" t="s">
        <v>265</v>
      </c>
      <c r="C8" s="243">
        <f>'Revenue Requirements'!H10</f>
        <v>35525915</v>
      </c>
      <c r="F8" s="242" t="s">
        <v>289</v>
      </c>
      <c r="G8" s="243">
        <f>'Revenue Requirements'!H11+'Revenue Requirements'!H12+'Revenue Requirements'!H13</f>
        <v>5082039</v>
      </c>
      <c r="J8" s="242" t="s">
        <v>291</v>
      </c>
      <c r="K8" s="243">
        <f>'Revenue Requirements'!H14</f>
        <v>353802</v>
      </c>
      <c r="N8" s="242" t="s">
        <v>293</v>
      </c>
      <c r="O8" s="243">
        <f>'Revenue Requirements'!H15</f>
        <v>155286</v>
      </c>
    </row>
    <row r="9" spans="1:15" x14ac:dyDescent="0.3">
      <c r="B9" s="244" t="s">
        <v>266</v>
      </c>
      <c r="C9" s="245">
        <f>ROUND(C8/C7,2)</f>
        <v>31.44</v>
      </c>
      <c r="F9" s="244" t="s">
        <v>266</v>
      </c>
      <c r="G9" s="245">
        <f>ROUND(G8/G7,2)</f>
        <v>60.49</v>
      </c>
      <c r="J9" s="244" t="s">
        <v>266</v>
      </c>
      <c r="K9" s="245">
        <f>ROUND(K8/K7,2)</f>
        <v>323.99</v>
      </c>
      <c r="N9" s="244" t="s">
        <v>266</v>
      </c>
      <c r="O9" s="245">
        <f>ROUND(O8/O7,2)</f>
        <v>588.20000000000005</v>
      </c>
    </row>
    <row r="10" spans="1:15" x14ac:dyDescent="0.3">
      <c r="B10" s="244" t="s">
        <v>268</v>
      </c>
      <c r="C10" s="246">
        <f>CUR_RS_CUST</f>
        <v>16.5</v>
      </c>
      <c r="F10" s="244" t="s">
        <v>268</v>
      </c>
      <c r="G10" s="246">
        <f>CUR_GS_CUST</f>
        <v>50</v>
      </c>
      <c r="J10" s="244" t="s">
        <v>268</v>
      </c>
      <c r="K10" s="246">
        <f>CUR_FTL_CUST</f>
        <v>430</v>
      </c>
      <c r="N10" s="244" t="s">
        <v>268</v>
      </c>
      <c r="O10" s="246">
        <f>CUR_IT_CUST</f>
        <v>430</v>
      </c>
    </row>
    <row r="11" spans="1:15" x14ac:dyDescent="0.3">
      <c r="B11" s="244" t="s">
        <v>269</v>
      </c>
      <c r="C11" s="245">
        <f>C9-C10</f>
        <v>14.940000000000001</v>
      </c>
      <c r="F11" s="244" t="s">
        <v>269</v>
      </c>
      <c r="G11" s="245">
        <f>G9-G10</f>
        <v>10.490000000000002</v>
      </c>
      <c r="J11" s="244" t="s">
        <v>269</v>
      </c>
      <c r="K11" s="245">
        <f>K9-K10</f>
        <v>-106.00999999999999</v>
      </c>
      <c r="N11" s="244" t="s">
        <v>269</v>
      </c>
      <c r="O11" s="245">
        <f>O9-O10</f>
        <v>158.20000000000005</v>
      </c>
    </row>
    <row r="12" spans="1:15" x14ac:dyDescent="0.3">
      <c r="B12" s="244" t="s">
        <v>270</v>
      </c>
      <c r="C12" s="246">
        <f>ROUND(C11*$C$29,2)</f>
        <v>5.98</v>
      </c>
      <c r="F12" s="244" t="s">
        <v>270</v>
      </c>
      <c r="G12" s="246">
        <f>ROUND(G11*$C$29,2)</f>
        <v>4.2</v>
      </c>
      <c r="J12" s="244" t="s">
        <v>270</v>
      </c>
      <c r="K12" s="246">
        <f>ROUND(K11*$C$29,2)</f>
        <v>-42.4</v>
      </c>
      <c r="N12" s="244" t="s">
        <v>270</v>
      </c>
      <c r="O12" s="246">
        <f>ROUND(O11*$C$29,2)</f>
        <v>63.28</v>
      </c>
    </row>
    <row r="13" spans="1:15" ht="31.8" thickBot="1" x14ac:dyDescent="0.35">
      <c r="B13" s="244" t="s">
        <v>271</v>
      </c>
      <c r="C13" s="245">
        <f>C10+C12</f>
        <v>22.48</v>
      </c>
      <c r="F13" s="244" t="s">
        <v>271</v>
      </c>
      <c r="G13" s="245">
        <f>G10+G12</f>
        <v>54.2</v>
      </c>
      <c r="J13" s="244" t="s">
        <v>271</v>
      </c>
      <c r="K13" s="245">
        <f>K10+K12</f>
        <v>387.6</v>
      </c>
      <c r="N13" s="244" t="s">
        <v>271</v>
      </c>
      <c r="O13" s="245">
        <f>O10+O12</f>
        <v>493.28</v>
      </c>
    </row>
    <row r="14" spans="1:15" ht="16.2" thickBot="1" x14ac:dyDescent="0.35">
      <c r="B14" s="247" t="s">
        <v>272</v>
      </c>
      <c r="C14" s="248">
        <v>19</v>
      </c>
      <c r="D14" s="249"/>
      <c r="F14" s="247" t="s">
        <v>272</v>
      </c>
      <c r="G14" s="248">
        <v>58</v>
      </c>
      <c r="H14" s="249"/>
      <c r="J14" s="247" t="s">
        <v>272</v>
      </c>
      <c r="K14" s="248">
        <v>430</v>
      </c>
      <c r="N14" s="247" t="s">
        <v>272</v>
      </c>
      <c r="O14" s="248">
        <v>430</v>
      </c>
    </row>
    <row r="15" spans="1:15" x14ac:dyDescent="0.3">
      <c r="B15" s="240" t="s">
        <v>273</v>
      </c>
      <c r="C15" s="250">
        <f>'Rate RS'!R24</f>
        <v>21470779</v>
      </c>
      <c r="F15" s="240" t="s">
        <v>273</v>
      </c>
      <c r="G15" s="250">
        <f>'Rate GS COM'!R24+'Rate GS IND'!R24+'Rate GS OPA'!R24</f>
        <v>4873160</v>
      </c>
      <c r="J15" s="240" t="s">
        <v>273</v>
      </c>
      <c r="K15" s="250">
        <f>'Rate FT-LG'!R22</f>
        <v>469560</v>
      </c>
      <c r="N15" s="240" t="s">
        <v>273</v>
      </c>
      <c r="O15" s="250">
        <f>'Rate IT'!R22</f>
        <v>113520</v>
      </c>
    </row>
    <row r="16" spans="1:15" x14ac:dyDescent="0.3">
      <c r="B16" s="244"/>
      <c r="C16" s="245"/>
      <c r="F16" s="244"/>
      <c r="G16" s="245"/>
      <c r="J16" s="244"/>
      <c r="K16" s="245"/>
      <c r="N16" s="244"/>
      <c r="O16" s="245"/>
    </row>
    <row r="17" spans="2:15" x14ac:dyDescent="0.3">
      <c r="B17" s="244" t="s">
        <v>274</v>
      </c>
      <c r="C17" s="243">
        <f>'Revenue Requirements'!I10</f>
        <v>85341156</v>
      </c>
      <c r="F17" s="244" t="s">
        <v>290</v>
      </c>
      <c r="G17" s="243">
        <f>SUM('Revenue Requirements'!I11:I13)</f>
        <v>32736079</v>
      </c>
      <c r="J17" s="244" t="s">
        <v>292</v>
      </c>
      <c r="K17" s="243">
        <f>'Revenue Requirements'!I14</f>
        <v>6241087</v>
      </c>
      <c r="N17" s="244" t="s">
        <v>294</v>
      </c>
      <c r="O17" s="243">
        <f>'Revenue Requirements'!I15</f>
        <v>2048709</v>
      </c>
    </row>
    <row r="18" spans="2:15" ht="31.2" x14ac:dyDescent="0.3">
      <c r="B18" s="244" t="s">
        <v>283</v>
      </c>
      <c r="C18" s="251">
        <f>C17-C15-'Rate RS'!P29</f>
        <v>37542609</v>
      </c>
      <c r="F18" s="244" t="s">
        <v>283</v>
      </c>
      <c r="G18" s="251">
        <f>G17-G15-'Rate GS COM'!P27-'Rate GS IND'!P27-'Rate GS OPA'!P27</f>
        <v>13737428</v>
      </c>
      <c r="J18" s="244" t="s">
        <v>296</v>
      </c>
      <c r="K18" s="251">
        <f>K17-K15-'Rate FT-LG'!P25</f>
        <v>5771527</v>
      </c>
      <c r="L18" s="251"/>
      <c r="N18" s="244" t="s">
        <v>283</v>
      </c>
      <c r="O18" s="251">
        <f>O17-O15-'Rate IT'!P25</f>
        <v>1935189</v>
      </c>
    </row>
    <row r="19" spans="2:15" ht="16.2" thickBot="1" x14ac:dyDescent="0.35">
      <c r="B19" s="244" t="s">
        <v>284</v>
      </c>
      <c r="C19" s="252">
        <f>'Rate RS'!H27</f>
        <v>6481479</v>
      </c>
      <c r="F19" s="244" t="s">
        <v>328</v>
      </c>
      <c r="G19" s="245">
        <f>+G30</f>
        <v>31896.686644385147</v>
      </c>
      <c r="J19" s="305" t="s">
        <v>345</v>
      </c>
      <c r="K19" s="251">
        <f>+K33</f>
        <v>-67567.036599999876</v>
      </c>
      <c r="N19" s="244" t="s">
        <v>284</v>
      </c>
      <c r="O19" s="252">
        <f>'Rate IT'!H25</f>
        <v>1672200</v>
      </c>
    </row>
    <row r="20" spans="2:15" ht="16.2" thickBot="1" x14ac:dyDescent="0.35">
      <c r="B20" s="247" t="s">
        <v>285</v>
      </c>
      <c r="C20" s="253">
        <f>ROUND(C18/C19,4)</f>
        <v>5.7923</v>
      </c>
      <c r="F20" s="244" t="s">
        <v>321</v>
      </c>
      <c r="G20" s="251">
        <f>+G18-G19</f>
        <v>13705531.313355615</v>
      </c>
      <c r="J20" s="244" t="s">
        <v>318</v>
      </c>
      <c r="K20" s="251">
        <f>+K18-K19</f>
        <v>5839094.0366000002</v>
      </c>
      <c r="N20" s="247" t="s">
        <v>275</v>
      </c>
      <c r="O20" s="253">
        <f>ROUND(O18/O19,4)</f>
        <v>1.1573</v>
      </c>
    </row>
    <row r="21" spans="2:15" ht="16.2" thickBot="1" x14ac:dyDescent="0.35">
      <c r="B21" s="254" t="s">
        <v>267</v>
      </c>
      <c r="C21" s="255">
        <f>'Rate RS'!R29-C17</f>
        <v>62</v>
      </c>
      <c r="F21" s="244" t="s">
        <v>284</v>
      </c>
      <c r="G21" s="252">
        <f>'Rate GS COM'!H27+'Rate GS IND'!H27+'Rate GS OPA'!H27</f>
        <v>3477472</v>
      </c>
      <c r="J21" s="244" t="s">
        <v>284</v>
      </c>
      <c r="K21" s="252">
        <f>'Rate FT-LG'!H25</f>
        <v>2736182</v>
      </c>
      <c r="N21" s="254" t="s">
        <v>267</v>
      </c>
      <c r="O21" s="255">
        <f>'Rate IT'!R27-O17</f>
        <v>48</v>
      </c>
    </row>
    <row r="22" spans="2:15" ht="16.2" thickBot="1" x14ac:dyDescent="0.35">
      <c r="F22" s="247" t="s">
        <v>275</v>
      </c>
      <c r="G22" s="253">
        <f>ROUND(G20/G21,4)-0.0001</f>
        <v>3.9410999999999996</v>
      </c>
      <c r="J22" s="247" t="s">
        <v>275</v>
      </c>
      <c r="K22" s="253">
        <f>ROUND(K20/K21,4)-0.0001</f>
        <v>2.1338999999999997</v>
      </c>
    </row>
    <row r="23" spans="2:15" x14ac:dyDescent="0.3">
      <c r="F23" s="254" t="s">
        <v>267</v>
      </c>
      <c r="G23" s="255">
        <f>'Rate GS COM'!R29+'Rate GS IND'!R29+'Rate GS OPA'!R29-G17+G30</f>
        <v>-467.31335561485321</v>
      </c>
      <c r="J23" s="254" t="s">
        <v>267</v>
      </c>
      <c r="K23" s="255">
        <f>'Rate FT-LG'!R27-K17+K33</f>
        <v>-355.03659999987576</v>
      </c>
    </row>
    <row r="27" spans="2:15" x14ac:dyDescent="0.3">
      <c r="F27" s="233" t="s">
        <v>322</v>
      </c>
      <c r="G27" s="256">
        <f>+'SCH M-2.2'!V41</f>
        <v>27765</v>
      </c>
      <c r="I27" s="257" t="s">
        <v>344</v>
      </c>
      <c r="K27" s="258">
        <v>655877</v>
      </c>
    </row>
    <row r="28" spans="2:15" x14ac:dyDescent="0.3">
      <c r="F28" s="233" t="s">
        <v>323</v>
      </c>
      <c r="G28" s="235">
        <f>+'Revenue Requirements'!J11</f>
        <v>0.14880917141671698</v>
      </c>
      <c r="I28" s="233" t="s">
        <v>313</v>
      </c>
      <c r="K28" s="259">
        <f>+(K27-(12*K14))/K35</f>
        <v>304942.5933736352</v>
      </c>
    </row>
    <row r="29" spans="2:15" x14ac:dyDescent="0.3">
      <c r="B29" s="233" t="s">
        <v>286</v>
      </c>
      <c r="C29" s="260">
        <v>0.4</v>
      </c>
      <c r="F29" s="233" t="s">
        <v>324</v>
      </c>
      <c r="G29" s="256">
        <f>+G27*G28</f>
        <v>4131.6866443851468</v>
      </c>
      <c r="I29" s="233" t="s">
        <v>314</v>
      </c>
      <c r="K29" s="261">
        <v>215594</v>
      </c>
    </row>
    <row r="30" spans="2:15" x14ac:dyDescent="0.3">
      <c r="F30" s="233" t="s">
        <v>325</v>
      </c>
      <c r="G30" s="262">
        <f>+G27+G29</f>
        <v>31896.686644385147</v>
      </c>
      <c r="I30" s="233" t="s">
        <v>315</v>
      </c>
      <c r="K30" s="259">
        <f>+K28-K29</f>
        <v>89348.593373635202</v>
      </c>
    </row>
    <row r="31" spans="2:15" x14ac:dyDescent="0.3">
      <c r="I31" s="257" t="s">
        <v>316</v>
      </c>
      <c r="K31" s="263">
        <f>+K30*K35</f>
        <v>190660.96340000012</v>
      </c>
    </row>
    <row r="32" spans="2:15" x14ac:dyDescent="0.3">
      <c r="I32" s="257" t="s">
        <v>319</v>
      </c>
      <c r="K32" s="263">
        <f>+'SCH M-2.2'!L42</f>
        <v>258228</v>
      </c>
    </row>
    <row r="33" spans="9:11" x14ac:dyDescent="0.3">
      <c r="I33" s="233" t="s">
        <v>317</v>
      </c>
      <c r="K33" s="263">
        <f>+K31-K32</f>
        <v>-67567.036599999876</v>
      </c>
    </row>
    <row r="35" spans="9:11" x14ac:dyDescent="0.3">
      <c r="K35" s="264">
        <f>ROUND((K18-K27+12*K14+K32)/(K21-K29),4)-0.0001</f>
        <v>2.1338999999999997</v>
      </c>
    </row>
    <row r="70" spans="2:2" x14ac:dyDescent="0.3">
      <c r="B70" s="254"/>
    </row>
    <row r="71" spans="2:2" x14ac:dyDescent="0.3">
      <c r="B71" s="254"/>
    </row>
    <row r="72" spans="2:2" x14ac:dyDescent="0.3">
      <c r="B72" s="254"/>
    </row>
    <row r="73" spans="2:2" x14ac:dyDescent="0.3">
      <c r="B73" s="254"/>
    </row>
    <row r="74" spans="2:2" x14ac:dyDescent="0.3">
      <c r="B74" s="254"/>
    </row>
    <row r="75" spans="2:2" x14ac:dyDescent="0.3">
      <c r="B75" s="254"/>
    </row>
    <row r="76" spans="2:2" x14ac:dyDescent="0.3">
      <c r="B76" s="254"/>
    </row>
    <row r="77" spans="2:2" x14ac:dyDescent="0.3">
      <c r="B77" s="254"/>
    </row>
    <row r="78" spans="2:2" x14ac:dyDescent="0.3">
      <c r="B78" s="254"/>
    </row>
    <row r="79" spans="2:2" x14ac:dyDescent="0.3">
      <c r="B79" s="254"/>
    </row>
    <row r="80" spans="2:2" x14ac:dyDescent="0.3">
      <c r="B80" s="254"/>
    </row>
    <row r="81" spans="2:2" x14ac:dyDescent="0.3">
      <c r="B81" s="254"/>
    </row>
    <row r="82" spans="2:2" x14ac:dyDescent="0.3">
      <c r="B82" s="254"/>
    </row>
    <row r="83" spans="2:2" x14ac:dyDescent="0.3">
      <c r="B83" s="254"/>
    </row>
    <row r="84" spans="2:2" x14ac:dyDescent="0.3">
      <c r="B84" s="254"/>
    </row>
    <row r="85" spans="2:2" x14ac:dyDescent="0.3">
      <c r="B85" s="254"/>
    </row>
    <row r="86" spans="2:2" x14ac:dyDescent="0.3">
      <c r="B86" s="254"/>
    </row>
    <row r="87" spans="2:2" x14ac:dyDescent="0.3">
      <c r="B87" s="254"/>
    </row>
    <row r="88" spans="2:2" x14ac:dyDescent="0.3">
      <c r="B88" s="254"/>
    </row>
    <row r="89" spans="2:2" x14ac:dyDescent="0.3">
      <c r="B89" s="254"/>
    </row>
    <row r="90" spans="2:2" x14ac:dyDescent="0.3">
      <c r="B90" s="254"/>
    </row>
    <row r="91" spans="2:2" x14ac:dyDescent="0.3">
      <c r="B91" s="254"/>
    </row>
    <row r="92" spans="2:2" x14ac:dyDescent="0.3">
      <c r="B92" s="254"/>
    </row>
    <row r="93" spans="2:2" x14ac:dyDescent="0.3">
      <c r="B93" s="254"/>
    </row>
    <row r="94" spans="2:2" x14ac:dyDescent="0.3">
      <c r="B94" s="254"/>
    </row>
    <row r="95" spans="2:2" x14ac:dyDescent="0.3">
      <c r="B95" s="254"/>
    </row>
    <row r="96" spans="2:2" x14ac:dyDescent="0.3">
      <c r="B96" s="254"/>
    </row>
    <row r="97" spans="2:2" x14ac:dyDescent="0.3">
      <c r="B97" s="254"/>
    </row>
    <row r="98" spans="2:2" x14ac:dyDescent="0.3">
      <c r="B98" s="254"/>
    </row>
    <row r="99" spans="2:2" x14ac:dyDescent="0.3">
      <c r="B99" s="254"/>
    </row>
    <row r="100" spans="2:2" x14ac:dyDescent="0.3">
      <c r="B100" s="254"/>
    </row>
    <row r="101" spans="2:2" x14ac:dyDescent="0.3">
      <c r="B101" s="254"/>
    </row>
    <row r="102" spans="2:2" x14ac:dyDescent="0.3">
      <c r="B102" s="254"/>
    </row>
    <row r="103" spans="2:2" x14ac:dyDescent="0.3">
      <c r="B103" s="254"/>
    </row>
    <row r="104" spans="2:2" x14ac:dyDescent="0.3">
      <c r="B104" s="254"/>
    </row>
    <row r="105" spans="2:2" x14ac:dyDescent="0.3">
      <c r="B105" s="254"/>
    </row>
    <row r="106" spans="2:2" x14ac:dyDescent="0.3">
      <c r="B106" s="254"/>
    </row>
    <row r="107" spans="2:2" x14ac:dyDescent="0.3">
      <c r="B107" s="254"/>
    </row>
    <row r="108" spans="2:2" x14ac:dyDescent="0.3">
      <c r="B108" s="254"/>
    </row>
    <row r="109" spans="2:2" x14ac:dyDescent="0.3">
      <c r="B109" s="254"/>
    </row>
    <row r="110" spans="2:2" x14ac:dyDescent="0.3">
      <c r="B110" s="254"/>
    </row>
    <row r="111" spans="2:2" x14ac:dyDescent="0.3">
      <c r="B111" s="254"/>
    </row>
    <row r="112" spans="2:2" x14ac:dyDescent="0.3">
      <c r="B112" s="254"/>
    </row>
    <row r="113" spans="2:2" x14ac:dyDescent="0.3">
      <c r="B113" s="254"/>
    </row>
    <row r="114" spans="2:2" x14ac:dyDescent="0.3">
      <c r="B114" s="254"/>
    </row>
    <row r="115" spans="2:2" x14ac:dyDescent="0.3">
      <c r="B115" s="254"/>
    </row>
    <row r="116" spans="2:2" x14ac:dyDescent="0.3">
      <c r="B116" s="254"/>
    </row>
    <row r="117" spans="2:2" x14ac:dyDescent="0.3">
      <c r="B117" s="254"/>
    </row>
    <row r="118" spans="2:2" x14ac:dyDescent="0.3">
      <c r="B118" s="254"/>
    </row>
    <row r="119" spans="2:2" x14ac:dyDescent="0.3">
      <c r="B119" s="254"/>
    </row>
    <row r="120" spans="2:2" x14ac:dyDescent="0.3">
      <c r="B120" s="254"/>
    </row>
    <row r="121" spans="2:2" x14ac:dyDescent="0.3">
      <c r="B121" s="254"/>
    </row>
    <row r="122" spans="2:2" x14ac:dyDescent="0.3">
      <c r="B122" s="254"/>
    </row>
    <row r="123" spans="2:2" x14ac:dyDescent="0.3">
      <c r="B123" s="254"/>
    </row>
    <row r="124" spans="2:2" x14ac:dyDescent="0.3">
      <c r="B124" s="254"/>
    </row>
    <row r="125" spans="2:2" x14ac:dyDescent="0.3">
      <c r="B125" s="254"/>
    </row>
    <row r="126" spans="2:2" x14ac:dyDescent="0.3">
      <c r="B126" s="254"/>
    </row>
    <row r="127" spans="2:2" x14ac:dyDescent="0.3">
      <c r="B127" s="254"/>
    </row>
    <row r="128" spans="2:2" x14ac:dyDescent="0.3">
      <c r="B128" s="254"/>
    </row>
    <row r="129" spans="2:2" x14ac:dyDescent="0.3">
      <c r="B129" s="254"/>
    </row>
    <row r="130" spans="2:2" x14ac:dyDescent="0.3">
      <c r="B130" s="254"/>
    </row>
    <row r="131" spans="2:2" x14ac:dyDescent="0.3">
      <c r="B131" s="254"/>
    </row>
    <row r="132" spans="2:2" x14ac:dyDescent="0.3">
      <c r="B132" s="254"/>
    </row>
    <row r="133" spans="2:2" x14ac:dyDescent="0.3">
      <c r="B133" s="254"/>
    </row>
    <row r="134" spans="2:2" x14ac:dyDescent="0.3">
      <c r="B134" s="254"/>
    </row>
    <row r="135" spans="2:2" x14ac:dyDescent="0.3">
      <c r="B135" s="254"/>
    </row>
    <row r="136" spans="2:2" x14ac:dyDescent="0.3">
      <c r="B136" s="254"/>
    </row>
    <row r="137" spans="2:2" x14ac:dyDescent="0.3">
      <c r="B137" s="254"/>
    </row>
    <row r="138" spans="2:2" x14ac:dyDescent="0.3">
      <c r="B138" s="254"/>
    </row>
    <row r="139" spans="2:2" x14ac:dyDescent="0.3">
      <c r="B139" s="254"/>
    </row>
    <row r="140" spans="2:2" x14ac:dyDescent="0.3">
      <c r="B140" s="254"/>
    </row>
    <row r="141" spans="2:2" x14ac:dyDescent="0.3">
      <c r="B141" s="254"/>
    </row>
    <row r="142" spans="2:2" x14ac:dyDescent="0.3">
      <c r="B142" s="254"/>
    </row>
    <row r="143" spans="2:2" x14ac:dyDescent="0.3">
      <c r="B143" s="254"/>
    </row>
    <row r="144" spans="2:2" x14ac:dyDescent="0.3">
      <c r="B144" s="254"/>
    </row>
    <row r="145" spans="2:2" x14ac:dyDescent="0.3">
      <c r="B145" s="254"/>
    </row>
    <row r="146" spans="2:2" x14ac:dyDescent="0.3">
      <c r="B146" s="254"/>
    </row>
    <row r="147" spans="2:2" x14ac:dyDescent="0.3">
      <c r="B147" s="254"/>
    </row>
    <row r="148" spans="2:2" x14ac:dyDescent="0.3">
      <c r="B148" s="254"/>
    </row>
    <row r="149" spans="2:2" x14ac:dyDescent="0.3">
      <c r="B149" s="254"/>
    </row>
    <row r="150" spans="2:2" x14ac:dyDescent="0.3">
      <c r="B150" s="254"/>
    </row>
    <row r="151" spans="2:2" x14ac:dyDescent="0.3">
      <c r="B151" s="254"/>
    </row>
    <row r="152" spans="2:2" x14ac:dyDescent="0.3">
      <c r="B152" s="254"/>
    </row>
    <row r="153" spans="2:2" x14ac:dyDescent="0.3">
      <c r="B153" s="254"/>
    </row>
    <row r="154" spans="2:2" x14ac:dyDescent="0.3">
      <c r="B154" s="254"/>
    </row>
    <row r="155" spans="2:2" x14ac:dyDescent="0.3">
      <c r="B155" s="254"/>
    </row>
    <row r="156" spans="2:2" x14ac:dyDescent="0.3">
      <c r="B156" s="254"/>
    </row>
    <row r="157" spans="2:2" x14ac:dyDescent="0.3">
      <c r="B157" s="254"/>
    </row>
    <row r="158" spans="2:2" x14ac:dyDescent="0.3">
      <c r="B158" s="254"/>
    </row>
    <row r="159" spans="2:2" x14ac:dyDescent="0.3">
      <c r="B159" s="254"/>
    </row>
    <row r="160" spans="2:2" x14ac:dyDescent="0.3">
      <c r="B160" s="254"/>
    </row>
    <row r="161" spans="2:2" x14ac:dyDescent="0.3">
      <c r="B161" s="254"/>
    </row>
    <row r="162" spans="2:2" x14ac:dyDescent="0.3">
      <c r="B162" s="254"/>
    </row>
    <row r="163" spans="2:2" x14ac:dyDescent="0.3">
      <c r="B163" s="254"/>
    </row>
    <row r="164" spans="2:2" x14ac:dyDescent="0.3">
      <c r="B164" s="254"/>
    </row>
    <row r="165" spans="2:2" x14ac:dyDescent="0.3">
      <c r="B165" s="254"/>
    </row>
    <row r="166" spans="2:2" x14ac:dyDescent="0.3">
      <c r="B166" s="254"/>
    </row>
    <row r="167" spans="2:2" x14ac:dyDescent="0.3">
      <c r="B167" s="254"/>
    </row>
    <row r="168" spans="2:2" x14ac:dyDescent="0.3">
      <c r="B168" s="254"/>
    </row>
    <row r="169" spans="2:2" x14ac:dyDescent="0.3">
      <c r="B169" s="254"/>
    </row>
    <row r="170" spans="2:2" x14ac:dyDescent="0.3">
      <c r="B170" s="254"/>
    </row>
    <row r="171" spans="2:2" x14ac:dyDescent="0.3">
      <c r="B171" s="254"/>
    </row>
    <row r="172" spans="2:2" x14ac:dyDescent="0.3">
      <c r="B172" s="254"/>
    </row>
    <row r="173" spans="2:2" x14ac:dyDescent="0.3">
      <c r="B173" s="254"/>
    </row>
    <row r="174" spans="2:2" x14ac:dyDescent="0.3">
      <c r="B174" s="254"/>
    </row>
    <row r="175" spans="2:2" x14ac:dyDescent="0.3">
      <c r="B175" s="254"/>
    </row>
    <row r="176" spans="2:2" x14ac:dyDescent="0.3">
      <c r="B176" s="254"/>
    </row>
    <row r="177" spans="2:2" x14ac:dyDescent="0.3">
      <c r="B177" s="254"/>
    </row>
    <row r="178" spans="2:2" x14ac:dyDescent="0.3">
      <c r="B178" s="254"/>
    </row>
    <row r="179" spans="2:2" x14ac:dyDescent="0.3">
      <c r="B179" s="254"/>
    </row>
    <row r="180" spans="2:2" x14ac:dyDescent="0.3">
      <c r="B180" s="254"/>
    </row>
    <row r="181" spans="2:2" x14ac:dyDescent="0.3">
      <c r="B181" s="25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E3E0-55D2-4C95-BF71-7AF69B2E5C86}">
  <sheetPr codeName="Sheet20">
    <pageSetUpPr fitToPage="1"/>
  </sheetPr>
  <dimension ref="A2:M24"/>
  <sheetViews>
    <sheetView zoomScale="75" workbookViewId="0">
      <selection activeCell="D13" sqref="D13"/>
    </sheetView>
  </sheetViews>
  <sheetFormatPr defaultColWidth="8.9140625" defaultRowHeight="15" x14ac:dyDescent="0.25"/>
  <cols>
    <col min="1" max="1" width="18" style="1" customWidth="1"/>
    <col min="2" max="2" width="13.58203125" style="1" customWidth="1"/>
    <col min="3" max="3" width="11.9140625" style="1" customWidth="1"/>
    <col min="4" max="4" width="14.4140625" style="1" customWidth="1"/>
    <col min="5" max="5" width="12.9140625" style="1" customWidth="1"/>
    <col min="6" max="6" width="11.4140625" style="1" customWidth="1"/>
    <col min="7" max="7" width="11.58203125" style="1" customWidth="1"/>
    <col min="8" max="8" width="14" style="1" customWidth="1"/>
    <col min="9" max="9" width="12.58203125" style="1" customWidth="1"/>
    <col min="10" max="10" width="12.6640625" style="1" customWidth="1"/>
    <col min="11" max="11" width="13.08203125" style="1" customWidth="1"/>
    <col min="12" max="12" width="12.9140625" style="1" customWidth="1"/>
    <col min="13" max="13" width="11.9140625" style="1" customWidth="1"/>
    <col min="14" max="14" width="13.58203125" style="1" customWidth="1"/>
    <col min="15" max="16384" width="8.9140625" style="1"/>
  </cols>
  <sheetData>
    <row r="2" spans="1:11" x14ac:dyDescent="0.25">
      <c r="D2" s="285" t="s">
        <v>307</v>
      </c>
      <c r="E2" s="286"/>
      <c r="F2" s="286"/>
      <c r="G2" s="286"/>
      <c r="I2" s="287" t="s">
        <v>8</v>
      </c>
      <c r="J2" s="287" t="s">
        <v>8</v>
      </c>
    </row>
    <row r="3" spans="1:11" x14ac:dyDescent="0.25">
      <c r="C3" s="287"/>
      <c r="F3" s="287" t="s">
        <v>57</v>
      </c>
      <c r="G3" s="287" t="s">
        <v>58</v>
      </c>
      <c r="I3" s="287" t="s">
        <v>5</v>
      </c>
      <c r="J3" s="287" t="s">
        <v>3</v>
      </c>
      <c r="K3" s="287" t="s">
        <v>58</v>
      </c>
    </row>
    <row r="4" spans="1:11" x14ac:dyDescent="0.25">
      <c r="B4" s="287" t="s">
        <v>332</v>
      </c>
      <c r="C4" s="287" t="s">
        <v>332</v>
      </c>
      <c r="D4" s="287" t="s">
        <v>5</v>
      </c>
      <c r="E4" s="287" t="s">
        <v>3</v>
      </c>
      <c r="F4" s="287" t="s">
        <v>60</v>
      </c>
      <c r="G4" s="287" t="s">
        <v>60</v>
      </c>
      <c r="H4" s="287" t="s">
        <v>161</v>
      </c>
      <c r="I4" s="287" t="s">
        <v>61</v>
      </c>
      <c r="J4" s="287" t="s">
        <v>61</v>
      </c>
      <c r="K4" s="287" t="s">
        <v>60</v>
      </c>
    </row>
    <row r="5" spans="1:11" ht="15.6" x14ac:dyDescent="0.3">
      <c r="A5" s="287" t="s">
        <v>15</v>
      </c>
      <c r="B5" s="287" t="s">
        <v>63</v>
      </c>
      <c r="C5" s="287" t="s">
        <v>63</v>
      </c>
      <c r="D5" s="274" t="s">
        <v>61</v>
      </c>
      <c r="E5" s="274" t="s">
        <v>61</v>
      </c>
      <c r="F5" s="288" t="s">
        <v>64</v>
      </c>
      <c r="G5" s="288" t="s">
        <v>65</v>
      </c>
      <c r="H5" s="274" t="s">
        <v>308</v>
      </c>
      <c r="I5" s="289" t="s">
        <v>66</v>
      </c>
      <c r="J5" s="289" t="s">
        <v>67</v>
      </c>
      <c r="K5" s="289" t="s">
        <v>172</v>
      </c>
    </row>
    <row r="6" spans="1:11" ht="15.6" x14ac:dyDescent="0.3">
      <c r="A6" s="290" t="s">
        <v>20</v>
      </c>
      <c r="B6" s="291" t="s">
        <v>31</v>
      </c>
      <c r="C6" s="291" t="s">
        <v>31</v>
      </c>
      <c r="D6" s="291" t="s">
        <v>32</v>
      </c>
      <c r="E6" s="291" t="s">
        <v>33</v>
      </c>
      <c r="F6" s="291" t="s">
        <v>34</v>
      </c>
      <c r="G6" s="291" t="s">
        <v>35</v>
      </c>
      <c r="H6" s="291" t="s">
        <v>36</v>
      </c>
      <c r="I6" s="292" t="s">
        <v>37</v>
      </c>
      <c r="J6" s="292" t="s">
        <v>38</v>
      </c>
      <c r="K6" s="292" t="s">
        <v>41</v>
      </c>
    </row>
    <row r="7" spans="1:11" ht="15.6" x14ac:dyDescent="0.3">
      <c r="B7" s="289" t="s">
        <v>333</v>
      </c>
      <c r="C7" s="289" t="s">
        <v>115</v>
      </c>
      <c r="D7" s="288" t="s">
        <v>46</v>
      </c>
      <c r="E7" s="288" t="s">
        <v>46</v>
      </c>
      <c r="F7" s="288" t="s">
        <v>46</v>
      </c>
      <c r="G7" s="288" t="s">
        <v>47</v>
      </c>
      <c r="H7" s="288" t="s">
        <v>46</v>
      </c>
      <c r="I7" s="288" t="s">
        <v>46</v>
      </c>
      <c r="J7" s="288" t="s">
        <v>46</v>
      </c>
      <c r="K7" s="288" t="s">
        <v>47</v>
      </c>
    </row>
    <row r="8" spans="1:11" x14ac:dyDescent="0.25">
      <c r="E8" s="293"/>
    </row>
    <row r="9" spans="1:11" ht="15.6" x14ac:dyDescent="0.3">
      <c r="A9" s="273" t="s">
        <v>48</v>
      </c>
      <c r="B9" s="280">
        <f>+C9*10</f>
        <v>57</v>
      </c>
      <c r="C9" s="277">
        <f>ROUND(+'Rate RS'!H27/'Rate RS'!F24,1)</f>
        <v>5.7</v>
      </c>
      <c r="D9" s="276">
        <f t="shared" ref="D9" si="0">ROUND(C9*(CUR_RS+CUR_RS_DSM)+CUR_RS_CUST+CUR_RS_HEA,2)</f>
        <v>46.16</v>
      </c>
      <c r="E9" s="276">
        <f t="shared" ref="E9" si="1">ROUND(C9*(PRO_RS_COM+PRO_RS_DSM)+PRO_RS_CUST+PRO_RS_HEA,2)</f>
        <v>54.93</v>
      </c>
      <c r="F9" s="98">
        <f t="shared" ref="F9" si="2">E9-D9</f>
        <v>8.7700000000000031</v>
      </c>
      <c r="G9" s="277">
        <f t="shared" ref="G9" si="3">ROUND(F9/D9,3)*100</f>
        <v>19</v>
      </c>
      <c r="H9" s="276">
        <f>ROUND(C9*EGC,2)</f>
        <v>23.15</v>
      </c>
      <c r="I9" s="276">
        <f>D9+H9</f>
        <v>69.31</v>
      </c>
      <c r="J9" s="276">
        <f>E9+H9</f>
        <v>78.08</v>
      </c>
      <c r="K9" s="281">
        <f>ROUND((J9-I9)/I9,3)</f>
        <v>0.127</v>
      </c>
    </row>
    <row r="10" spans="1:11" ht="15.6" x14ac:dyDescent="0.3">
      <c r="A10" s="278" t="s">
        <v>329</v>
      </c>
      <c r="B10" s="280">
        <f t="shared" ref="B10:B14" si="4">+C10*10</f>
        <v>363</v>
      </c>
      <c r="C10" s="279">
        <f>ROUND('Rate GS COM'!H27/'Rate GS COM'!F24,1)</f>
        <v>36.299999999999997</v>
      </c>
      <c r="D10" s="276">
        <f t="shared" ref="D10" si="5">ROUND(C10*(CUR_GS)+CUR_GS_CUST,2)</f>
        <v>156.15</v>
      </c>
      <c r="E10" s="276">
        <f t="shared" ref="E10" si="6">ROUND(C10*(+PRO_GS)+PRO_GS_CUST,2)</f>
        <v>201.06</v>
      </c>
      <c r="F10" s="98">
        <f t="shared" ref="F10" si="7">E10-D10</f>
        <v>44.91</v>
      </c>
      <c r="G10" s="277">
        <f t="shared" ref="G10" si="8">ROUND(F10/D10,3)*100</f>
        <v>28.799999999999997</v>
      </c>
      <c r="H10" s="276">
        <f>ROUND(C10*EGC,2)</f>
        <v>147.44999999999999</v>
      </c>
      <c r="I10" s="276">
        <f>D10+H10</f>
        <v>303.60000000000002</v>
      </c>
      <c r="J10" s="276">
        <f>E10+H10</f>
        <v>348.51</v>
      </c>
      <c r="K10" s="281">
        <f t="shared" ref="K10:K14" si="9">ROUND((J10-I10)/I10,3)</f>
        <v>0.14799999999999999</v>
      </c>
    </row>
    <row r="11" spans="1:11" ht="15.6" x14ac:dyDescent="0.3">
      <c r="A11" s="1" t="s">
        <v>330</v>
      </c>
      <c r="B11" s="280">
        <f t="shared" si="4"/>
        <v>1139</v>
      </c>
      <c r="C11" s="279">
        <f>ROUND('Rate GS IND'!H27/'Rate GS IND'!F24,1)</f>
        <v>113.9</v>
      </c>
      <c r="D11" s="276">
        <f t="shared" ref="D11:D12" si="10">ROUND(C11*(CUR_GS)+CUR_GS_CUST,2)</f>
        <v>383.08</v>
      </c>
      <c r="E11" s="276">
        <f t="shared" ref="E11:E12" si="11">ROUND(C11*(+PRO_GS)+PRO_GS_CUST,2)</f>
        <v>506.89</v>
      </c>
      <c r="F11" s="98">
        <f t="shared" ref="F11:F12" si="12">E11-D11</f>
        <v>123.81</v>
      </c>
      <c r="G11" s="277">
        <f t="shared" ref="G11:G12" si="13">ROUND(F11/D11,3)*100</f>
        <v>32.300000000000004</v>
      </c>
      <c r="H11" s="276">
        <f>ROUND(C11*EGC,2)</f>
        <v>462.66</v>
      </c>
      <c r="I11" s="276">
        <f>D11+H11</f>
        <v>845.74</v>
      </c>
      <c r="J11" s="276">
        <f>E11+H11</f>
        <v>969.55</v>
      </c>
      <c r="K11" s="281">
        <f t="shared" si="9"/>
        <v>0.14599999999999999</v>
      </c>
    </row>
    <row r="12" spans="1:11" ht="15.6" x14ac:dyDescent="0.3">
      <c r="A12" s="1" t="s">
        <v>331</v>
      </c>
      <c r="B12" s="280">
        <f t="shared" si="4"/>
        <v>1155</v>
      </c>
      <c r="C12" s="279">
        <f>ROUND('Rate GS OPA'!H27/'Rate GS OPA'!F24,1)</f>
        <v>115.5</v>
      </c>
      <c r="D12" s="276">
        <f t="shared" si="10"/>
        <v>387.76</v>
      </c>
      <c r="E12" s="276">
        <f t="shared" si="11"/>
        <v>513.20000000000005</v>
      </c>
      <c r="F12" s="98">
        <f t="shared" si="12"/>
        <v>125.44000000000005</v>
      </c>
      <c r="G12" s="277">
        <f t="shared" si="13"/>
        <v>32.300000000000004</v>
      </c>
      <c r="H12" s="276">
        <f>ROUND(C12*EGC,2)</f>
        <v>469.16</v>
      </c>
      <c r="I12" s="276">
        <f>D12+H12</f>
        <v>856.92000000000007</v>
      </c>
      <c r="J12" s="276">
        <f>E12+H12</f>
        <v>982.36000000000013</v>
      </c>
      <c r="K12" s="281">
        <f t="shared" si="9"/>
        <v>0.14599999999999999</v>
      </c>
    </row>
    <row r="13" spans="1:11" ht="15.6" x14ac:dyDescent="0.3">
      <c r="A13" s="273" t="s">
        <v>299</v>
      </c>
      <c r="B13" s="280">
        <f t="shared" si="4"/>
        <v>25057</v>
      </c>
      <c r="C13" s="277">
        <f>ROUND('Rate FT-LG'!H25/'Rate FT-LG'!F22,1)</f>
        <v>2505.6999999999998</v>
      </c>
      <c r="D13" s="276">
        <f>ROUND(C13*(CUR_FTL_COM+CUR_FTL_GCAT),2)+CUR_FTL_CUST</f>
        <v>4847.55</v>
      </c>
      <c r="E13" s="276">
        <f>ROUND(C13*(PRO_FTL_COM+PRO_FTL_GCAT),2)+PRO_FTL_CUST</f>
        <v>5631.58</v>
      </c>
      <c r="F13" s="98">
        <f t="shared" ref="F13" si="14">E13-D13</f>
        <v>784.02999999999975</v>
      </c>
      <c r="G13" s="277">
        <f t="shared" ref="G13" si="15">ROUND(F13/D13,3)*100</f>
        <v>16.2</v>
      </c>
      <c r="H13" s="276">
        <v>0</v>
      </c>
      <c r="I13" s="276">
        <f t="shared" ref="I13:I14" si="16">D13+H13</f>
        <v>4847.55</v>
      </c>
      <c r="J13" s="276">
        <f t="shared" ref="J13:J14" si="17">E13+H13</f>
        <v>5631.58</v>
      </c>
      <c r="K13" s="281">
        <f t="shared" si="9"/>
        <v>0.16200000000000001</v>
      </c>
    </row>
    <row r="14" spans="1:11" ht="15.6" x14ac:dyDescent="0.3">
      <c r="A14" s="273" t="s">
        <v>156</v>
      </c>
      <c r="B14" s="280">
        <f t="shared" si="4"/>
        <v>63341</v>
      </c>
      <c r="C14" s="277">
        <f>ROUND('Rate IT'!H25/'Rate IT'!F22,1)</f>
        <v>6334.1</v>
      </c>
      <c r="D14" s="276">
        <f>ROUND(C14*(CUR_IT_COM),2)+CUR_IT_CUST</f>
        <v>6752.7</v>
      </c>
      <c r="E14" s="276">
        <f>ROUND(C14*(PRO_IT_COM),2)+PRO_IT_CUST</f>
        <v>7760.45</v>
      </c>
      <c r="F14" s="98">
        <f t="shared" ref="F14" si="18">E14-D14</f>
        <v>1007.75</v>
      </c>
      <c r="G14" s="277">
        <f t="shared" ref="G14" si="19">ROUND(F14/D14,3)*100</f>
        <v>14.899999999999999</v>
      </c>
      <c r="H14" s="276">
        <v>0</v>
      </c>
      <c r="I14" s="276">
        <f t="shared" si="16"/>
        <v>6752.7</v>
      </c>
      <c r="J14" s="276">
        <f t="shared" si="17"/>
        <v>7760.45</v>
      </c>
      <c r="K14" s="281">
        <f t="shared" si="9"/>
        <v>0.14899999999999999</v>
      </c>
    </row>
    <row r="15" spans="1:11" ht="15.6" x14ac:dyDescent="0.3">
      <c r="A15" s="282"/>
      <c r="B15" s="26"/>
      <c r="C15" s="275"/>
      <c r="F15" s="25"/>
      <c r="I15" s="276"/>
      <c r="J15" s="276"/>
      <c r="K15" s="70"/>
    </row>
    <row r="16" spans="1:11" ht="15.6" x14ac:dyDescent="0.3">
      <c r="A16" s="282" t="s">
        <v>334</v>
      </c>
      <c r="B16" s="283">
        <f>+B13+B14</f>
        <v>88398</v>
      </c>
      <c r="C16" s="284">
        <f>+C13+C14</f>
        <v>8839.7999999999993</v>
      </c>
      <c r="D16" s="1">
        <f>ROUND(C16*B23,2)</f>
        <v>969.73</v>
      </c>
      <c r="E16" s="296">
        <f>ROUND(C16*B24,2)</f>
        <v>1207.52</v>
      </c>
      <c r="F16" s="98">
        <f t="shared" ref="F16" si="20">E16-D16</f>
        <v>237.78999999999996</v>
      </c>
      <c r="G16" s="277">
        <f t="shared" ref="G16" si="21">ROUND(F16/D16,3)*100</f>
        <v>24.5</v>
      </c>
      <c r="H16" s="276">
        <v>0</v>
      </c>
      <c r="I16" s="276">
        <f t="shared" ref="I16" si="22">D16+H16</f>
        <v>969.73</v>
      </c>
      <c r="J16" s="276">
        <f t="shared" ref="J16" si="23">E16+H16</f>
        <v>1207.52</v>
      </c>
      <c r="K16" s="281">
        <f t="shared" ref="K16" si="24">ROUND((J16-I16)/I16,3)</f>
        <v>0.245</v>
      </c>
    </row>
    <row r="17" spans="1:13" x14ac:dyDescent="0.25">
      <c r="D17" s="294"/>
      <c r="E17" s="294"/>
      <c r="F17" s="294"/>
      <c r="H17" s="294"/>
      <c r="I17" s="294"/>
      <c r="J17" s="294"/>
      <c r="L17" s="294"/>
      <c r="M17" s="294"/>
    </row>
    <row r="18" spans="1:13" x14ac:dyDescent="0.25">
      <c r="D18" s="294"/>
      <c r="E18" s="294"/>
      <c r="F18" s="294"/>
      <c r="H18" s="294"/>
      <c r="I18" s="294"/>
      <c r="J18" s="294"/>
      <c r="L18" s="294"/>
      <c r="M18" s="294"/>
    </row>
    <row r="19" spans="1:13" x14ac:dyDescent="0.25">
      <c r="D19" s="294"/>
      <c r="E19" s="294"/>
      <c r="F19" s="294"/>
      <c r="L19" s="294"/>
      <c r="M19" s="294"/>
    </row>
    <row r="20" spans="1:13" x14ac:dyDescent="0.25">
      <c r="D20" s="294"/>
      <c r="E20" s="294"/>
      <c r="F20" s="294"/>
      <c r="L20" s="294"/>
      <c r="M20" s="294"/>
    </row>
    <row r="21" spans="1:13" x14ac:dyDescent="0.25">
      <c r="D21" s="294"/>
      <c r="E21" s="294"/>
      <c r="F21" s="294"/>
      <c r="L21" s="294"/>
      <c r="M21" s="294"/>
    </row>
    <row r="22" spans="1:13" x14ac:dyDescent="0.25">
      <c r="A22" s="1" t="s">
        <v>334</v>
      </c>
      <c r="D22" s="294"/>
      <c r="E22" s="294"/>
      <c r="F22" s="294"/>
    </row>
    <row r="23" spans="1:13" x14ac:dyDescent="0.25">
      <c r="A23" s="1" t="s">
        <v>335</v>
      </c>
      <c r="B23" s="295">
        <v>0.10970000000000001</v>
      </c>
      <c r="C23" s="1" t="s">
        <v>337</v>
      </c>
      <c r="D23" s="294"/>
      <c r="E23" s="294"/>
      <c r="F23" s="294"/>
    </row>
    <row r="24" spans="1:13" x14ac:dyDescent="0.25">
      <c r="A24" s="1" t="s">
        <v>336</v>
      </c>
      <c r="B24" s="295">
        <v>0.1366</v>
      </c>
      <c r="C24" s="1" t="s">
        <v>337</v>
      </c>
    </row>
  </sheetData>
  <pageMargins left="1" right="0.5" top="1" bottom="1" header="0.5" footer="0.5"/>
  <pageSetup scale="5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R12"/>
  <sheetViews>
    <sheetView workbookViewId="0"/>
  </sheetViews>
  <sheetFormatPr defaultColWidth="8.9140625" defaultRowHeight="15" x14ac:dyDescent="0.25"/>
  <cols>
    <col min="1" max="1" width="3.33203125" style="3" customWidth="1"/>
    <col min="2" max="2" width="10.75" style="3" customWidth="1"/>
    <col min="3" max="3" width="2.75" style="3" customWidth="1"/>
    <col min="4" max="4" width="10.75" style="3" customWidth="1"/>
    <col min="5" max="5" width="2.75" style="3" customWidth="1"/>
    <col min="6" max="6" width="10.75" style="3" customWidth="1"/>
    <col min="7" max="7" width="2.75" style="3" customWidth="1"/>
    <col min="8" max="8" width="11.33203125" style="3" customWidth="1"/>
    <col min="9" max="9" width="2.75" style="3" customWidth="1"/>
    <col min="10" max="10" width="9.33203125" style="3" customWidth="1"/>
    <col min="11" max="11" width="2.75" style="3" customWidth="1"/>
    <col min="12" max="12" width="10.75" style="3" customWidth="1"/>
    <col min="13" max="13" width="2.75" style="3" customWidth="1"/>
    <col min="14" max="14" width="10.75" style="3" customWidth="1"/>
    <col min="15" max="15" width="2.75" style="3" customWidth="1"/>
    <col min="16" max="16" width="10.75" style="3" customWidth="1"/>
    <col min="17" max="17" width="2.75" style="3" customWidth="1"/>
    <col min="18" max="18" width="10.75" style="3" customWidth="1"/>
    <col min="19" max="19" width="2.75" style="3" customWidth="1"/>
    <col min="20" max="16384" width="8.9140625" style="3"/>
  </cols>
  <sheetData>
    <row r="1" spans="2:18" ht="17.25" customHeight="1" x14ac:dyDescent="0.3">
      <c r="B1" s="137" t="s">
        <v>193</v>
      </c>
      <c r="C1" s="137"/>
      <c r="D1" s="138"/>
      <c r="E1" s="138"/>
      <c r="F1" s="138"/>
      <c r="G1" s="138"/>
      <c r="H1" s="137"/>
      <c r="I1" s="137"/>
      <c r="J1" s="137"/>
      <c r="K1" s="138"/>
      <c r="L1" s="138"/>
      <c r="M1" s="138"/>
      <c r="N1" s="138"/>
      <c r="O1" s="138"/>
      <c r="P1" s="138"/>
    </row>
    <row r="3" spans="2:18" ht="34.5" customHeight="1" x14ac:dyDescent="0.25"/>
    <row r="4" spans="2:18" ht="21" customHeight="1" x14ac:dyDescent="0.25"/>
    <row r="5" spans="2:18" ht="14.25" customHeight="1" thickBot="1" x14ac:dyDescent="0.3"/>
    <row r="6" spans="2:18" ht="21.75" customHeight="1" thickBot="1" x14ac:dyDescent="0.3">
      <c r="B6" s="142" t="s">
        <v>235</v>
      </c>
      <c r="C6" s="143"/>
      <c r="D6" s="144"/>
      <c r="E6" s="144"/>
      <c r="F6" s="144"/>
      <c r="G6" s="144"/>
      <c r="H6" s="145"/>
      <c r="L6" s="307" t="s">
        <v>236</v>
      </c>
      <c r="M6" s="308"/>
      <c r="N6" s="308"/>
      <c r="O6" s="308"/>
      <c r="P6" s="308"/>
      <c r="Q6" s="308"/>
      <c r="R6" s="309"/>
    </row>
    <row r="7" spans="2:18" x14ac:dyDescent="0.25">
      <c r="B7" s="140"/>
      <c r="C7" s="140"/>
      <c r="D7" s="139"/>
      <c r="E7" s="139"/>
      <c r="F7" s="139"/>
      <c r="G7" s="139"/>
      <c r="H7" s="139"/>
      <c r="I7" s="139"/>
      <c r="J7" s="139"/>
      <c r="L7" s="140"/>
      <c r="M7" s="140"/>
      <c r="N7" s="139"/>
      <c r="O7" s="139"/>
      <c r="P7" s="139"/>
    </row>
    <row r="8" spans="2:18" ht="40.049999999999997" customHeight="1" x14ac:dyDescent="0.25"/>
    <row r="10" spans="2:18" ht="40.049999999999997" customHeight="1" x14ac:dyDescent="0.25"/>
    <row r="11" spans="2:18" x14ac:dyDescent="0.25">
      <c r="H11" s="141"/>
      <c r="I11" s="141"/>
      <c r="J11" s="141"/>
    </row>
    <row r="12" spans="2:18" ht="40.049999999999997" customHeight="1" x14ac:dyDescent="0.25"/>
  </sheetData>
  <sheetProtection sheet="1" objects="1" scenarios="1"/>
  <customSheetViews>
    <customSheetView guid="{B7519FF1-05A6-4A79-8E47-A233872313D4}"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1">
    <mergeCell ref="L6:R6"/>
  </mergeCells>
  <phoneticPr fontId="0" type="noConversion"/>
  <pageMargins left="0.75" right="0.75" top="1" bottom="1" header="0.5" footer="0.5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odule1.PRINT_SCH_M">
                <anchor moveWithCells="1" sizeWithCells="1">
                  <from>
                    <xdr:col>1</xdr:col>
                    <xdr:colOff>30480</xdr:colOff>
                    <xdr:row>1</xdr:row>
                    <xdr:rowOff>182880</xdr:rowOff>
                  </from>
                  <to>
                    <xdr:col>5</xdr:col>
                    <xdr:colOff>914400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Module1.PRINT_SCH_N">
                <anchor moveWithCells="1" sizeWithCells="1">
                  <from>
                    <xdr:col>13</xdr:col>
                    <xdr:colOff>0</xdr:colOff>
                    <xdr:row>2</xdr:row>
                    <xdr:rowOff>15240</xdr:rowOff>
                  </from>
                  <to>
                    <xdr:col>18</xdr:col>
                    <xdr:colOff>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PRINT_SCH_M_2_2">
                <anchor moveWithCells="1" sizeWithCells="1">
                  <from>
                    <xdr:col>1</xdr:col>
                    <xdr:colOff>22860</xdr:colOff>
                    <xdr:row>6</xdr:row>
                    <xdr:rowOff>175260</xdr:rowOff>
                  </from>
                  <to>
                    <xdr:col>2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PRINT_SCH_M_2_2_SUMMARY">
                <anchor moveWithCells="1" sizeWithCells="1">
                  <from>
                    <xdr:col>1</xdr:col>
                    <xdr:colOff>0</xdr:colOff>
                    <xdr:row>8</xdr:row>
                    <xdr:rowOff>182880</xdr:rowOff>
                  </from>
                  <to>
                    <xdr:col>2</xdr:col>
                    <xdr:colOff>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0]!PRINT_SCH_M_2_2_DETAIL">
                <anchor moveWithCells="1" sizeWithCells="1">
                  <from>
                    <xdr:col>1</xdr:col>
                    <xdr:colOff>0</xdr:colOff>
                    <xdr:row>11</xdr:row>
                    <xdr:rowOff>15240</xdr:rowOff>
                  </from>
                  <to>
                    <xdr:col>2</xdr:col>
                    <xdr:colOff>15240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PRINT_SCH_M_2_3">
                <anchor moveWithCells="1" sizeWithCells="1">
                  <from>
                    <xdr:col>10</xdr:col>
                    <xdr:colOff>754380</xdr:colOff>
                    <xdr:row>7</xdr:row>
                    <xdr:rowOff>15240</xdr:rowOff>
                  </from>
                  <to>
                    <xdr:col>12</xdr:col>
                    <xdr:colOff>15240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PRINT_SCH_M_2_3_SUMMARY">
                <anchor moveWithCells="1" sizeWithCells="1">
                  <from>
                    <xdr:col>10</xdr:col>
                    <xdr:colOff>754380</xdr:colOff>
                    <xdr:row>9</xdr:row>
                    <xdr:rowOff>15240</xdr:rowOff>
                  </from>
                  <to>
                    <xdr:col>12</xdr:col>
                    <xdr:colOff>15240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Button 21">
              <controlPr defaultSize="0" print="0" autoFill="0" autoPict="0" macro="[0]!PRINT_SCH_M_2_3_DETAIL">
                <anchor moveWithCells="1" sizeWithCells="1">
                  <from>
                    <xdr:col>11</xdr:col>
                    <xdr:colOff>0</xdr:colOff>
                    <xdr:row>11</xdr:row>
                    <xdr:rowOff>15240</xdr:rowOff>
                  </from>
                  <to>
                    <xdr:col>11</xdr:col>
                    <xdr:colOff>906780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Button 35">
              <controlPr defaultSize="0" print="0" autoFill="0" autoPict="0" macro="[0]!PRINT_SCH_M_2_1">
                <anchor moveWithCells="1" sizeWithCells="1">
                  <from>
                    <xdr:col>7</xdr:col>
                    <xdr:colOff>22860</xdr:colOff>
                    <xdr:row>2</xdr:row>
                    <xdr:rowOff>0</xdr:rowOff>
                  </from>
                  <to>
                    <xdr:col>12</xdr:col>
                    <xdr:colOff>15240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Button 39">
              <controlPr defaultSize="0" print="0" autoFill="0" autoPict="0" macro="[0]!PRINT_SCH_M_2_2_FT_LGCURR">
                <anchor moveWithCells="1" sizeWithCells="1">
                  <from>
                    <xdr:col>7</xdr:col>
                    <xdr:colOff>0</xdr:colOff>
                    <xdr:row>7</xdr:row>
                    <xdr:rowOff>15240</xdr:rowOff>
                  </from>
                  <to>
                    <xdr:col>7</xdr:col>
                    <xdr:colOff>914400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Button 40">
              <controlPr defaultSize="0" print="0" autoFill="0" autoPict="0" macro="[0]!PRINT_SCH_M_2_2_ITCURR">
                <anchor moveWithCells="1" sizeWithCells="1">
                  <from>
                    <xdr:col>7</xdr:col>
                    <xdr:colOff>0</xdr:colOff>
                    <xdr:row>9</xdr:row>
                    <xdr:rowOff>22860</xdr:rowOff>
                  </from>
                  <to>
                    <xdr:col>7</xdr:col>
                    <xdr:colOff>937260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Button 41">
              <controlPr defaultSize="0" print="0" autoFill="0" autoPict="0" macro="[0]!PRINT_SCH_M_2_2_GS_INDCURR">
                <anchor moveWithCells="1" sizeWithCells="1">
                  <from>
                    <xdr:col>4</xdr:col>
                    <xdr:colOff>403860</xdr:colOff>
                    <xdr:row>9</xdr:row>
                    <xdr:rowOff>0</xdr:rowOff>
                  </from>
                  <to>
                    <xdr:col>5</xdr:col>
                    <xdr:colOff>914400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Button 42">
              <controlPr defaultSize="0" print="0" autoFill="0" autoPict="0" macro="[0]!PRINT_SCH_M_2_2_GS_OPACURR">
                <anchor moveWithCells="1" sizeWithCells="1">
                  <from>
                    <xdr:col>5</xdr:col>
                    <xdr:colOff>0</xdr:colOff>
                    <xdr:row>11</xdr:row>
                    <xdr:rowOff>15240</xdr:rowOff>
                  </from>
                  <to>
                    <xdr:col>6</xdr:col>
                    <xdr:colOff>15240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Button 43">
              <controlPr defaultSize="0" print="0" autoFill="0" autoPict="0" macro="[0]!PRINT_SCH_M_2_2_GS_COMCURR">
                <anchor moveWithCells="1" sizeWithCells="1">
                  <from>
                    <xdr:col>5</xdr:col>
                    <xdr:colOff>15240</xdr:colOff>
                    <xdr:row>7</xdr:row>
                    <xdr:rowOff>15240</xdr:rowOff>
                  </from>
                  <to>
                    <xdr:col>6</xdr:col>
                    <xdr:colOff>15240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Button 44">
              <controlPr defaultSize="0" print="0" autoFill="0" autoPict="0" macro="[0]!PRINT_SCH_M_2_2_RESCURR">
                <anchor moveWithCells="1" sizeWithCells="1">
                  <from>
                    <xdr:col>2</xdr:col>
                    <xdr:colOff>403860</xdr:colOff>
                    <xdr:row>6</xdr:row>
                    <xdr:rowOff>190500</xdr:rowOff>
                  </from>
                  <to>
                    <xdr:col>4</xdr:col>
                    <xdr:colOff>15240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Button 45">
              <controlPr defaultSize="0" print="0" autoFill="0" autoPict="0" macro="[0]!PRINT_SCH_M_2_3_FT_LGPROP">
                <anchor moveWithCells="1" sizeWithCells="1">
                  <from>
                    <xdr:col>17</xdr:col>
                    <xdr:colOff>15240</xdr:colOff>
                    <xdr:row>7</xdr:row>
                    <xdr:rowOff>15240</xdr:rowOff>
                  </from>
                  <to>
                    <xdr:col>18</xdr:col>
                    <xdr:colOff>15240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Button 46">
              <controlPr defaultSize="0" print="0" autoFill="0" autoPict="0" macro="[0]!PRINT_SCH_M_2_3_ITPROP">
                <anchor moveWithCells="1" sizeWithCells="1">
                  <from>
                    <xdr:col>17</xdr:col>
                    <xdr:colOff>15240</xdr:colOff>
                    <xdr:row>9</xdr:row>
                    <xdr:rowOff>15240</xdr:rowOff>
                  </from>
                  <to>
                    <xdr:col>18</xdr:col>
                    <xdr:colOff>15240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Button 47">
              <controlPr defaultSize="0" print="0" autoFill="0" autoPict="0" macro="[0]!PRINT_SCH_M_2_3_GS_COMPROP">
                <anchor moveWithCells="1" sizeWithCells="1">
                  <from>
                    <xdr:col>14</xdr:col>
                    <xdr:colOff>754380</xdr:colOff>
                    <xdr:row>6</xdr:row>
                    <xdr:rowOff>190500</xdr:rowOff>
                  </from>
                  <to>
                    <xdr:col>16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Button 48">
              <controlPr defaultSize="0" print="0" autoFill="0" autoPict="0" macro="[0]!PRINT_SCH_M_2_3_GS_INDPROP">
                <anchor moveWithCells="1" sizeWithCells="1">
                  <from>
                    <xdr:col>14</xdr:col>
                    <xdr:colOff>396240</xdr:colOff>
                    <xdr:row>9</xdr:row>
                    <xdr:rowOff>15240</xdr:rowOff>
                  </from>
                  <to>
                    <xdr:col>15</xdr:col>
                    <xdr:colOff>899160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Button 49">
              <controlPr defaultSize="0" print="0" autoFill="0" autoPict="0" macro="[0]!PRINT_SCH_M_2_3_GS_OPAPROP">
                <anchor moveWithCells="1" sizeWithCells="1">
                  <from>
                    <xdr:col>15</xdr:col>
                    <xdr:colOff>0</xdr:colOff>
                    <xdr:row>11</xdr:row>
                    <xdr:rowOff>15240</xdr:rowOff>
                  </from>
                  <to>
                    <xdr:col>16</xdr:col>
                    <xdr:colOff>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Button 50">
              <controlPr defaultSize="0" print="0" autoFill="0" autoPict="0" macro="[0]!PRINT_SCH_M_2_3_RESPROP">
                <anchor moveWithCells="1" sizeWithCells="1">
                  <from>
                    <xdr:col>13</xdr:col>
                    <xdr:colOff>15240</xdr:colOff>
                    <xdr:row>6</xdr:row>
                    <xdr:rowOff>190500</xdr:rowOff>
                  </from>
                  <to>
                    <xdr:col>13</xdr:col>
                    <xdr:colOff>906780</xdr:colOff>
                    <xdr:row>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B1" transitionEvaluation="1" transitionEntry="1" codeName="Sheet3">
    <pageSetUpPr fitToPage="1"/>
  </sheetPr>
  <dimension ref="A1:R1032"/>
  <sheetViews>
    <sheetView tabSelected="1" view="pageBreakPreview" topLeftCell="B1" zoomScale="60" zoomScaleNormal="75" workbookViewId="0">
      <selection activeCell="P13" sqref="P13"/>
    </sheetView>
  </sheetViews>
  <sheetFormatPr defaultColWidth="8.9140625" defaultRowHeight="15.6" x14ac:dyDescent="0.3"/>
  <cols>
    <col min="1" max="1" width="5" style="25" customWidth="1"/>
    <col min="2" max="2" width="0.33203125" style="25" customWidth="1"/>
    <col min="3" max="3" width="35.25" style="25" customWidth="1"/>
    <col min="4" max="4" width="0.58203125" style="25" customWidth="1"/>
    <col min="5" max="5" width="14.75" style="25" customWidth="1"/>
    <col min="6" max="6" width="0.58203125" style="25" customWidth="1"/>
    <col min="7" max="7" width="14.75" style="25" customWidth="1"/>
    <col min="8" max="8" width="0.75" style="25" customWidth="1"/>
    <col min="9" max="9" width="12.4140625" style="25" customWidth="1"/>
    <col min="10" max="10" width="0.75" style="25" customWidth="1"/>
    <col min="11" max="11" width="15.08203125" style="25" customWidth="1"/>
    <col min="12" max="16384" width="8.9140625" style="25"/>
  </cols>
  <sheetData>
    <row r="1" spans="1:11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20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">
      <c r="A4" s="20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20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">
      <c r="A7" s="24" t="str">
        <f>DATA_TYPE</f>
        <v>DATA: ___ BASE PERIOD   _X_FORECASTED PERIOD</v>
      </c>
      <c r="K7" s="26" t="s">
        <v>95</v>
      </c>
    </row>
    <row r="8" spans="1:11" x14ac:dyDescent="0.3">
      <c r="A8" s="24" t="str">
        <f>FILING_TYPE</f>
        <v>TYPE OF FILING: _X_ ORIGINAL   ___UPDATED  ___ REVISED</v>
      </c>
      <c r="K8" s="26" t="s">
        <v>89</v>
      </c>
    </row>
    <row r="9" spans="1:11" x14ac:dyDescent="0.3">
      <c r="A9" s="26" t="s">
        <v>98</v>
      </c>
      <c r="K9" s="26" t="s">
        <v>1</v>
      </c>
    </row>
    <row r="10" spans="1:11" x14ac:dyDescent="0.3">
      <c r="A10" s="177" t="str">
        <f>TIME</f>
        <v>12 MONTHS FORECASTED</v>
      </c>
      <c r="K10" s="24" t="str">
        <f>WIT</f>
        <v>J.L. Kern</v>
      </c>
    </row>
    <row r="11" spans="1:11" x14ac:dyDescent="0.3">
      <c r="A11" s="178" t="str">
        <f>INPUT!D4</f>
        <v>INCLUDES ALL RIDERS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3">
      <c r="A12" s="28"/>
      <c r="B12" s="28"/>
      <c r="C12" s="75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K13" s="176"/>
    </row>
    <row r="14" spans="1:11" x14ac:dyDescent="0.3">
      <c r="E14" s="176" t="s">
        <v>91</v>
      </c>
      <c r="G14" s="176" t="s">
        <v>91</v>
      </c>
      <c r="I14" s="176" t="s">
        <v>6</v>
      </c>
      <c r="K14" s="176" t="s">
        <v>102</v>
      </c>
    </row>
    <row r="15" spans="1:11" x14ac:dyDescent="0.3">
      <c r="A15" s="176" t="s">
        <v>14</v>
      </c>
      <c r="C15" s="176" t="s">
        <v>15</v>
      </c>
      <c r="D15" s="176"/>
      <c r="E15" s="176" t="s">
        <v>101</v>
      </c>
      <c r="G15" s="176" t="s">
        <v>3</v>
      </c>
      <c r="I15" s="176" t="s">
        <v>92</v>
      </c>
      <c r="J15" s="176"/>
      <c r="K15" s="176" t="s">
        <v>6</v>
      </c>
    </row>
    <row r="16" spans="1:11" x14ac:dyDescent="0.3">
      <c r="A16" s="176" t="s">
        <v>19</v>
      </c>
      <c r="C16" s="176" t="s">
        <v>90</v>
      </c>
      <c r="D16" s="176"/>
      <c r="E16" s="176" t="s">
        <v>24</v>
      </c>
      <c r="G16" s="176" t="s">
        <v>24</v>
      </c>
      <c r="H16" s="176"/>
      <c r="I16" s="93" t="s">
        <v>94</v>
      </c>
      <c r="J16" s="176"/>
      <c r="K16" s="176" t="s">
        <v>92</v>
      </c>
    </row>
    <row r="17" spans="1:11" x14ac:dyDescent="0.3">
      <c r="A17" s="75"/>
      <c r="B17" s="75"/>
      <c r="C17" s="179" t="s">
        <v>30</v>
      </c>
      <c r="D17" s="180"/>
      <c r="E17" s="179" t="s">
        <v>31</v>
      </c>
      <c r="F17" s="181"/>
      <c r="G17" s="180" t="s">
        <v>32</v>
      </c>
      <c r="H17" s="180"/>
      <c r="I17" s="179" t="s">
        <v>93</v>
      </c>
      <c r="J17" s="180"/>
      <c r="K17" s="179" t="s">
        <v>96</v>
      </c>
    </row>
    <row r="18" spans="1:11" x14ac:dyDescent="0.3">
      <c r="A18" s="21"/>
      <c r="B18" s="21"/>
      <c r="C18" s="95"/>
      <c r="D18" s="30"/>
      <c r="E18" s="182" t="s">
        <v>46</v>
      </c>
      <c r="F18" s="21"/>
      <c r="G18" s="182" t="s">
        <v>46</v>
      </c>
      <c r="H18" s="30"/>
      <c r="I18" s="182" t="s">
        <v>46</v>
      </c>
      <c r="J18" s="30"/>
      <c r="K18" s="95"/>
    </row>
    <row r="19" spans="1:11" x14ac:dyDescent="0.3">
      <c r="A19" s="175">
        <v>1</v>
      </c>
      <c r="C19" s="183" t="s">
        <v>145</v>
      </c>
      <c r="G19" s="176"/>
      <c r="H19" s="176"/>
      <c r="I19" s="176"/>
      <c r="J19" s="176"/>
      <c r="K19" s="176"/>
    </row>
    <row r="20" spans="1:11" x14ac:dyDescent="0.3">
      <c r="A20" s="175"/>
      <c r="C20" s="79"/>
      <c r="G20" s="176"/>
      <c r="H20" s="176"/>
      <c r="I20" s="176"/>
      <c r="J20" s="176"/>
      <c r="K20" s="176"/>
    </row>
    <row r="21" spans="1:11" x14ac:dyDescent="0.3">
      <c r="A21" s="176">
        <v>2</v>
      </c>
      <c r="C21" s="27" t="s">
        <v>136</v>
      </c>
      <c r="D21" s="26"/>
      <c r="E21" s="37">
        <f>'Rate RS'!AN79</f>
        <v>78693175</v>
      </c>
      <c r="F21" s="53"/>
      <c r="G21" s="37">
        <f>'Rate RS'!R38</f>
        <v>88649849</v>
      </c>
      <c r="H21" s="37"/>
      <c r="I21" s="37">
        <f>G21-E21</f>
        <v>9956674</v>
      </c>
      <c r="J21" s="37"/>
      <c r="K21" s="97">
        <f>IF(E21=0,"0.00%",ROUND(I21/E21,4))</f>
        <v>0.1265</v>
      </c>
    </row>
    <row r="22" spans="1:11" ht="22.5" customHeight="1" x14ac:dyDescent="0.3">
      <c r="A22" s="176">
        <v>3</v>
      </c>
      <c r="C22" s="184" t="s">
        <v>131</v>
      </c>
      <c r="E22" s="116">
        <f>E21</f>
        <v>78693175</v>
      </c>
      <c r="F22" s="53"/>
      <c r="G22" s="116">
        <f>G21</f>
        <v>88649849</v>
      </c>
      <c r="H22" s="37"/>
      <c r="I22" s="116">
        <f>I21</f>
        <v>9956674</v>
      </c>
      <c r="J22" s="37"/>
      <c r="K22" s="97">
        <f>IF(E22=0,"0.00%",ROUND(I22/E22,4))</f>
        <v>0.1265</v>
      </c>
    </row>
    <row r="23" spans="1:11" x14ac:dyDescent="0.3">
      <c r="A23" s="175"/>
      <c r="E23" s="37"/>
      <c r="F23" s="53"/>
      <c r="G23" s="37"/>
      <c r="H23" s="37"/>
      <c r="I23" s="37"/>
      <c r="J23" s="37"/>
      <c r="K23" s="46"/>
    </row>
    <row r="24" spans="1:11" x14ac:dyDescent="0.3">
      <c r="A24" s="176">
        <v>4</v>
      </c>
      <c r="C24" s="26" t="s">
        <v>132</v>
      </c>
      <c r="D24" s="26"/>
      <c r="E24" s="37">
        <f>'Rate GS COM'!AN77</f>
        <v>23890508</v>
      </c>
      <c r="F24" s="53"/>
      <c r="G24" s="37">
        <f>'Rate GS COM'!R37</f>
        <v>27424408</v>
      </c>
      <c r="H24" s="37"/>
      <c r="I24" s="37">
        <f>G24-E24</f>
        <v>3533900</v>
      </c>
      <c r="J24" s="37"/>
      <c r="K24" s="97">
        <f>IF(E24=0,"0.00%",ROUND(I24/E24,4))</f>
        <v>0.1479</v>
      </c>
    </row>
    <row r="25" spans="1:11" x14ac:dyDescent="0.3">
      <c r="A25" s="176">
        <v>5</v>
      </c>
      <c r="C25" s="26" t="s">
        <v>133</v>
      </c>
      <c r="D25" s="26"/>
      <c r="E25" s="37">
        <f>'Rate GS IND'!AN82</f>
        <v>2153950</v>
      </c>
      <c r="F25" s="53"/>
      <c r="G25" s="37">
        <f>'Rate GS IND'!R37</f>
        <v>2469281</v>
      </c>
      <c r="H25" s="37"/>
      <c r="I25" s="37">
        <f>G25-E25</f>
        <v>315331</v>
      </c>
      <c r="J25" s="37"/>
      <c r="K25" s="97">
        <f>IF(E25=0,"0.00%",ROUND(I25/E25,4))</f>
        <v>0.1464</v>
      </c>
    </row>
    <row r="26" spans="1:11" x14ac:dyDescent="0.3">
      <c r="A26" s="176">
        <v>6</v>
      </c>
      <c r="C26" s="26" t="s">
        <v>134</v>
      </c>
      <c r="D26" s="26"/>
      <c r="E26" s="37">
        <f>'Rate GS OPA'!AN79</f>
        <v>2451205</v>
      </c>
      <c r="F26" s="53"/>
      <c r="G26" s="37">
        <f>'Rate GS OPA'!R37</f>
        <v>2810026</v>
      </c>
      <c r="H26" s="37"/>
      <c r="I26" s="37">
        <f>G26-E26</f>
        <v>358821</v>
      </c>
      <c r="J26" s="37"/>
      <c r="K26" s="97">
        <f>IF(E26=0,"0.00%",ROUND(I26/E26,4))</f>
        <v>0.1464</v>
      </c>
    </row>
    <row r="27" spans="1:11" ht="22.5" customHeight="1" x14ac:dyDescent="0.3">
      <c r="A27" s="176">
        <v>7</v>
      </c>
      <c r="C27" s="184" t="s">
        <v>135</v>
      </c>
      <c r="E27" s="116">
        <f>SUM(E24:E26)</f>
        <v>28495663</v>
      </c>
      <c r="F27" s="53"/>
      <c r="G27" s="116">
        <f>SUM(G24:G26)</f>
        <v>32703715</v>
      </c>
      <c r="H27" s="37"/>
      <c r="I27" s="116">
        <f>SUM(I24:I26)</f>
        <v>4208052</v>
      </c>
      <c r="J27" s="37"/>
      <c r="K27" s="97">
        <f>IF(E27=0,"0.00%",ROUND(I27/E27,4))</f>
        <v>0.1477</v>
      </c>
    </row>
    <row r="28" spans="1:11" x14ac:dyDescent="0.3">
      <c r="A28" s="176"/>
      <c r="E28" s="32"/>
      <c r="F28" s="53"/>
      <c r="G28" s="32"/>
      <c r="H28" s="37"/>
      <c r="I28" s="32"/>
      <c r="J28" s="37"/>
      <c r="K28" s="96"/>
    </row>
    <row r="29" spans="1:11" ht="16.2" thickBot="1" x14ac:dyDescent="0.35">
      <c r="A29" s="176">
        <v>8</v>
      </c>
      <c r="C29" s="185" t="s">
        <v>146</v>
      </c>
      <c r="E29" s="40">
        <f>E22+E27</f>
        <v>107188838</v>
      </c>
      <c r="F29" s="53"/>
      <c r="G29" s="40">
        <f>G22+G27</f>
        <v>121353564</v>
      </c>
      <c r="H29" s="37"/>
      <c r="I29" s="40">
        <f>I22+I27</f>
        <v>14164726</v>
      </c>
      <c r="J29" s="37"/>
      <c r="K29" s="97">
        <f>IF(E29=0,"0.00%",ROUND(I29/E29,4))</f>
        <v>0.1321</v>
      </c>
    </row>
    <row r="30" spans="1:11" ht="16.2" thickTop="1" x14ac:dyDescent="0.3">
      <c r="A30" s="176"/>
      <c r="E30" s="32"/>
      <c r="F30" s="53"/>
      <c r="G30" s="32"/>
      <c r="H30" s="37"/>
      <c r="I30" s="32"/>
      <c r="J30" s="37"/>
      <c r="K30" s="96"/>
    </row>
    <row r="31" spans="1:11" x14ac:dyDescent="0.3">
      <c r="A31" s="175">
        <v>9</v>
      </c>
      <c r="C31" s="186" t="s">
        <v>144</v>
      </c>
      <c r="E31" s="37"/>
      <c r="F31" s="53"/>
      <c r="G31" s="37"/>
      <c r="H31" s="37"/>
      <c r="I31" s="37"/>
      <c r="J31" s="37"/>
      <c r="K31" s="46"/>
    </row>
    <row r="32" spans="1:11" x14ac:dyDescent="0.3">
      <c r="A32" s="175"/>
      <c r="C32" s="21"/>
      <c r="E32" s="37"/>
      <c r="F32" s="53"/>
      <c r="G32" s="37"/>
      <c r="H32" s="37"/>
      <c r="I32" s="37"/>
      <c r="J32" s="37"/>
      <c r="K32" s="46"/>
    </row>
    <row r="33" spans="1:18" x14ac:dyDescent="0.3">
      <c r="A33" s="176">
        <v>10</v>
      </c>
      <c r="C33" s="26" t="s">
        <v>169</v>
      </c>
      <c r="D33" s="26"/>
      <c r="E33" s="37">
        <f>'Rate FT-LG'!AN71</f>
        <v>5444212</v>
      </c>
      <c r="F33" s="53"/>
      <c r="G33" s="37">
        <f>'Rate FT-LG'!R34</f>
        <v>6300364</v>
      </c>
      <c r="H33" s="37"/>
      <c r="I33" s="37">
        <f>G33-E33</f>
        <v>856152</v>
      </c>
      <c r="J33" s="37"/>
      <c r="K33" s="97">
        <f>IF(E33=0,"0.00%",ROUND(I33/E33,4))</f>
        <v>0.1573</v>
      </c>
    </row>
    <row r="34" spans="1:18" x14ac:dyDescent="0.3">
      <c r="A34" s="176">
        <v>11</v>
      </c>
      <c r="C34" s="26" t="s">
        <v>156</v>
      </c>
      <c r="D34" s="26"/>
      <c r="E34" s="36">
        <f>'Rate IT'!AN74</f>
        <v>1782710</v>
      </c>
      <c r="F34" s="37"/>
      <c r="G34" s="36">
        <f>'Rate IT'!R34</f>
        <v>2048757</v>
      </c>
      <c r="H34" s="37"/>
      <c r="I34" s="36">
        <f>G34-E34</f>
        <v>266047</v>
      </c>
      <c r="J34" s="37"/>
      <c r="K34" s="97">
        <f>IF(E34=0,"0.00%",ROUND(I34/E34,4))</f>
        <v>0.1492</v>
      </c>
    </row>
    <row r="35" spans="1:18" ht="22.5" customHeight="1" thickBot="1" x14ac:dyDescent="0.35">
      <c r="A35" s="176">
        <v>12</v>
      </c>
      <c r="C35" s="185" t="s">
        <v>147</v>
      </c>
      <c r="E35" s="40">
        <f>SUM(E33:E34)</f>
        <v>7226922</v>
      </c>
      <c r="F35" s="73"/>
      <c r="G35" s="40">
        <f>SUM(G33:G34)</f>
        <v>8349121</v>
      </c>
      <c r="H35" s="40"/>
      <c r="I35" s="40">
        <f>SUM(I33:I34)</f>
        <v>1122199</v>
      </c>
      <c r="J35" s="37"/>
      <c r="K35" s="97">
        <f>IF(E35=0,"0.00%",ROUND(I35/E35,4))</f>
        <v>0.15529999999999999</v>
      </c>
    </row>
    <row r="36" spans="1:18" ht="30.75" customHeight="1" thickTop="1" thickBot="1" x14ac:dyDescent="0.35">
      <c r="A36" s="175">
        <v>13</v>
      </c>
      <c r="C36" s="187" t="s">
        <v>200</v>
      </c>
      <c r="E36" s="134">
        <f>E35+E29</f>
        <v>114415760</v>
      </c>
      <c r="F36" s="53"/>
      <c r="G36" s="134">
        <f>G35+G29</f>
        <v>129702685</v>
      </c>
      <c r="H36" s="37"/>
      <c r="I36" s="134">
        <f>I35+I29</f>
        <v>15286925</v>
      </c>
      <c r="J36" s="37"/>
      <c r="K36" s="97">
        <f>IF(E36=0,"0.00%",ROUND(I36/E36,4))</f>
        <v>0.1336</v>
      </c>
    </row>
    <row r="37" spans="1:18" ht="21.75" customHeight="1" thickTop="1" x14ac:dyDescent="0.3">
      <c r="A37" s="176">
        <v>14</v>
      </c>
      <c r="C37" s="183" t="s">
        <v>138</v>
      </c>
      <c r="E37" s="37"/>
      <c r="F37" s="53"/>
      <c r="G37" s="37"/>
      <c r="H37" s="37"/>
      <c r="I37" s="37"/>
      <c r="J37" s="37"/>
      <c r="K37" s="46"/>
    </row>
    <row r="38" spans="1:18" x14ac:dyDescent="0.3">
      <c r="A38" s="175"/>
      <c r="C38" s="79"/>
      <c r="E38" s="37"/>
      <c r="F38" s="53"/>
      <c r="G38" s="37"/>
      <c r="H38" s="37"/>
      <c r="I38" s="37"/>
      <c r="J38" s="37"/>
      <c r="K38" s="46"/>
    </row>
    <row r="39" spans="1:18" x14ac:dyDescent="0.3">
      <c r="A39" s="176">
        <v>15</v>
      </c>
      <c r="C39" s="27" t="s">
        <v>139</v>
      </c>
      <c r="D39" s="26"/>
      <c r="E39" s="37">
        <f>'SCH M-2.2'!V37</f>
        <v>0</v>
      </c>
      <c r="F39" s="53"/>
      <c r="G39" s="37">
        <f>'SCH M-2.3'!R37</f>
        <v>0</v>
      </c>
      <c r="H39" s="37"/>
      <c r="I39" s="37">
        <f t="shared" ref="I39:I47" si="0">G39-E39</f>
        <v>0</v>
      </c>
      <c r="J39" s="37"/>
      <c r="K39" s="97" t="str">
        <f t="shared" ref="K39:K48" si="1">IF(I39=0,"0.00%",ROUND(I39/E39,4))</f>
        <v>0.00%</v>
      </c>
      <c r="N39" s="160"/>
      <c r="O39" s="160"/>
      <c r="P39" s="160"/>
      <c r="Q39" s="160"/>
      <c r="R39" s="160"/>
    </row>
    <row r="40" spans="1:18" x14ac:dyDescent="0.3">
      <c r="A40" s="176">
        <v>16</v>
      </c>
      <c r="C40" s="27" t="s">
        <v>140</v>
      </c>
      <c r="D40" s="26"/>
      <c r="E40" s="37">
        <f>'SCH M-2.2'!V38</f>
        <v>27420</v>
      </c>
      <c r="F40" s="53"/>
      <c r="G40" s="37">
        <f>'SCH M-2.3'!R38</f>
        <v>27420</v>
      </c>
      <c r="H40" s="37"/>
      <c r="I40" s="37">
        <f t="shared" si="0"/>
        <v>0</v>
      </c>
      <c r="J40" s="37"/>
      <c r="K40" s="97" t="str">
        <f t="shared" si="1"/>
        <v>0.00%</v>
      </c>
    </row>
    <row r="41" spans="1:18" x14ac:dyDescent="0.3">
      <c r="A41" s="176">
        <v>17</v>
      </c>
      <c r="C41" s="27" t="s">
        <v>180</v>
      </c>
      <c r="D41" s="26"/>
      <c r="E41" s="37">
        <f>'SCH M-2.2'!V39</f>
        <v>23364</v>
      </c>
      <c r="F41" s="53"/>
      <c r="G41" s="37">
        <f>'SCH M-2.3'!R39</f>
        <v>28037</v>
      </c>
      <c r="H41" s="37"/>
      <c r="I41" s="37">
        <f t="shared" si="0"/>
        <v>4673</v>
      </c>
      <c r="J41" s="37"/>
      <c r="K41" s="97">
        <f t="shared" si="1"/>
        <v>0.2</v>
      </c>
    </row>
    <row r="42" spans="1:18" x14ac:dyDescent="0.3">
      <c r="A42" s="176">
        <v>18</v>
      </c>
      <c r="C42" s="27" t="s">
        <v>311</v>
      </c>
      <c r="D42" s="26"/>
      <c r="E42" s="37">
        <f>'SCH M-2.2'!V40</f>
        <v>684</v>
      </c>
      <c r="F42" s="53"/>
      <c r="G42" s="37">
        <f>'SCH M-2.3'!R40</f>
        <v>684</v>
      </c>
      <c r="H42" s="37"/>
      <c r="I42" s="37">
        <f t="shared" si="0"/>
        <v>0</v>
      </c>
      <c r="J42" s="37"/>
      <c r="K42" s="97" t="str">
        <f t="shared" si="1"/>
        <v>0.00%</v>
      </c>
    </row>
    <row r="43" spans="1:18" x14ac:dyDescent="0.3">
      <c r="A43" s="176">
        <v>19</v>
      </c>
      <c r="C43" s="26" t="s">
        <v>128</v>
      </c>
      <c r="D43" s="26"/>
      <c r="E43" s="37">
        <f>'SCH M-2.2'!V41</f>
        <v>27765</v>
      </c>
      <c r="F43" s="53"/>
      <c r="G43" s="37">
        <f>'SCH M-2.3'!R41</f>
        <v>31896.686644385147</v>
      </c>
      <c r="H43" s="37"/>
      <c r="I43" s="37">
        <f t="shared" si="0"/>
        <v>4131.6866443851468</v>
      </c>
      <c r="J43" s="37"/>
      <c r="K43" s="97">
        <f t="shared" si="1"/>
        <v>0.14879999999999999</v>
      </c>
    </row>
    <row r="44" spans="1:18" x14ac:dyDescent="0.3">
      <c r="A44" s="176">
        <v>20</v>
      </c>
      <c r="C44" s="26" t="s">
        <v>312</v>
      </c>
      <c r="D44" s="26"/>
      <c r="E44" s="37">
        <f>'SCH M-2.2'!V42</f>
        <v>258228</v>
      </c>
      <c r="F44" s="53"/>
      <c r="G44" s="37">
        <f>'SCH M-2.3'!R42</f>
        <v>190660.96340000012</v>
      </c>
      <c r="H44" s="37"/>
      <c r="I44" s="37">
        <f t="shared" si="0"/>
        <v>-67567.036599999876</v>
      </c>
      <c r="J44" s="37"/>
      <c r="K44" s="97">
        <f t="shared" si="1"/>
        <v>-0.26169999999999999</v>
      </c>
    </row>
    <row r="45" spans="1:18" x14ac:dyDescent="0.3">
      <c r="A45" s="176">
        <v>21</v>
      </c>
      <c r="C45" s="26" t="s">
        <v>233</v>
      </c>
      <c r="D45" s="26"/>
      <c r="E45" s="37">
        <f>'SCH M-2.2'!V43</f>
        <v>0</v>
      </c>
      <c r="F45" s="53"/>
      <c r="G45" s="37">
        <f>'SCH M-2.3'!R43</f>
        <v>0</v>
      </c>
      <c r="H45" s="37"/>
      <c r="I45" s="37">
        <f t="shared" si="0"/>
        <v>0</v>
      </c>
      <c r="J45" s="37"/>
      <c r="K45" s="97" t="str">
        <f t="shared" si="1"/>
        <v>0.00%</v>
      </c>
    </row>
    <row r="46" spans="1:18" x14ac:dyDescent="0.3">
      <c r="A46" s="176">
        <v>22</v>
      </c>
      <c r="C46" s="26" t="s">
        <v>234</v>
      </c>
      <c r="D46" s="26"/>
      <c r="E46" s="37">
        <f>'SCH M-2.2'!V44</f>
        <v>0</v>
      </c>
      <c r="F46" s="53"/>
      <c r="G46" s="37">
        <f>'SCH M-2.3'!R44</f>
        <v>0</v>
      </c>
      <c r="H46" s="37"/>
      <c r="I46" s="37">
        <f t="shared" ref="I46" si="2">G46-E46</f>
        <v>0</v>
      </c>
      <c r="J46" s="37"/>
      <c r="K46" s="97" t="str">
        <f t="shared" ref="K46" si="3">IF(I46=0,"0.00%",ROUND(I46/E46,4))</f>
        <v>0.00%</v>
      </c>
    </row>
    <row r="47" spans="1:18" x14ac:dyDescent="0.3">
      <c r="A47" s="176">
        <v>23</v>
      </c>
      <c r="C47" s="26" t="s">
        <v>53</v>
      </c>
      <c r="D47" s="26"/>
      <c r="E47" s="36">
        <f>'SCH M-2.2'!V45</f>
        <v>528</v>
      </c>
      <c r="F47" s="53"/>
      <c r="G47" s="36">
        <f>'SCH M-2.3'!R45</f>
        <v>528</v>
      </c>
      <c r="H47" s="37"/>
      <c r="I47" s="36">
        <f t="shared" si="0"/>
        <v>0</v>
      </c>
      <c r="J47" s="37"/>
      <c r="K47" s="97" t="str">
        <f t="shared" si="1"/>
        <v>0.00%</v>
      </c>
    </row>
    <row r="48" spans="1:18" ht="22.5" customHeight="1" thickBot="1" x14ac:dyDescent="0.35">
      <c r="A48" s="175">
        <v>24</v>
      </c>
      <c r="C48" s="185" t="s">
        <v>157</v>
      </c>
      <c r="E48" s="40">
        <f>SUM(E39:E47)</f>
        <v>337989</v>
      </c>
      <c r="F48" s="53"/>
      <c r="G48" s="40">
        <f>SUM(G39:G47)</f>
        <v>279226.65004438529</v>
      </c>
      <c r="H48" s="37"/>
      <c r="I48" s="40">
        <f>SUM(I39:I47)</f>
        <v>-58762.349955614729</v>
      </c>
      <c r="J48" s="37"/>
      <c r="K48" s="97">
        <f t="shared" si="1"/>
        <v>-0.1739</v>
      </c>
    </row>
    <row r="49" spans="1:11" ht="16.2" thickTop="1" x14ac:dyDescent="0.3">
      <c r="A49" s="175"/>
      <c r="E49" s="37"/>
      <c r="F49" s="53"/>
      <c r="G49" s="37"/>
      <c r="H49" s="37"/>
      <c r="I49" s="37"/>
      <c r="J49" s="37"/>
      <c r="K49" s="46"/>
    </row>
    <row r="50" spans="1:11" ht="16.2" thickBot="1" x14ac:dyDescent="0.35">
      <c r="A50" s="176">
        <v>25</v>
      </c>
      <c r="C50" s="185" t="s">
        <v>141</v>
      </c>
      <c r="E50" s="40">
        <f>E29++E35+E48</f>
        <v>114753749</v>
      </c>
      <c r="F50" s="53"/>
      <c r="G50" s="40">
        <f>G29++G35+G48</f>
        <v>129981911.65004438</v>
      </c>
      <c r="H50" s="37"/>
      <c r="I50" s="40">
        <f>I29++I35+I48</f>
        <v>15228162.650044385</v>
      </c>
      <c r="J50" s="37"/>
      <c r="K50" s="97">
        <f>IF(I50=0,"0.00%",ROUND(I50/E50,4))</f>
        <v>0.13270000000000001</v>
      </c>
    </row>
    <row r="51" spans="1:11" ht="28.5" customHeight="1" thickTop="1" x14ac:dyDescent="0.3">
      <c r="A51" s="175"/>
      <c r="C51" s="29"/>
      <c r="E51" s="53"/>
      <c r="F51" s="53"/>
      <c r="G51" s="53"/>
      <c r="H51" s="53"/>
      <c r="I51" s="53"/>
    </row>
    <row r="52" spans="1:11" x14ac:dyDescent="0.3">
      <c r="A52" s="175"/>
    </row>
    <row r="53" spans="1:11" x14ac:dyDescent="0.3">
      <c r="A53" s="176"/>
      <c r="E53" s="53"/>
      <c r="F53" s="53"/>
      <c r="G53" s="53"/>
      <c r="H53" s="53"/>
      <c r="J53" s="37"/>
    </row>
    <row r="54" spans="1:11" x14ac:dyDescent="0.3">
      <c r="A54" s="175"/>
      <c r="E54" s="53"/>
      <c r="F54" s="53"/>
      <c r="G54" s="53"/>
      <c r="H54" s="53"/>
      <c r="I54" s="53"/>
      <c r="J54" s="37"/>
    </row>
    <row r="55" spans="1:11" x14ac:dyDescent="0.3">
      <c r="A55" s="175"/>
      <c r="E55" s="53"/>
      <c r="F55" s="53"/>
      <c r="G55" s="53"/>
      <c r="H55" s="53"/>
      <c r="I55" s="53"/>
      <c r="J55" s="37"/>
    </row>
    <row r="56" spans="1:11" x14ac:dyDescent="0.3">
      <c r="A56" s="175"/>
      <c r="E56" s="53"/>
      <c r="F56" s="53"/>
      <c r="G56" s="53"/>
      <c r="H56" s="53"/>
      <c r="I56" s="53"/>
      <c r="J56" s="37"/>
    </row>
    <row r="57" spans="1:11" x14ac:dyDescent="0.3">
      <c r="A57" s="175"/>
      <c r="E57" s="53"/>
      <c r="F57" s="53"/>
      <c r="G57" s="53"/>
      <c r="H57" s="53"/>
      <c r="I57" s="53"/>
      <c r="J57" s="37"/>
    </row>
    <row r="58" spans="1:11" x14ac:dyDescent="0.3">
      <c r="A58" s="175"/>
      <c r="E58" s="53"/>
      <c r="F58" s="53"/>
      <c r="G58" s="53"/>
      <c r="H58" s="53"/>
      <c r="I58" s="53"/>
      <c r="J58" s="37"/>
    </row>
    <row r="59" spans="1:11" x14ac:dyDescent="0.3">
      <c r="A59" s="175"/>
      <c r="E59" s="53"/>
      <c r="F59" s="53"/>
      <c r="G59" s="53"/>
      <c r="H59" s="53"/>
      <c r="I59" s="53"/>
    </row>
    <row r="60" spans="1:11" x14ac:dyDescent="0.3">
      <c r="A60" s="175"/>
      <c r="E60" s="53"/>
      <c r="F60" s="53"/>
      <c r="G60" s="53"/>
      <c r="H60" s="53"/>
      <c r="I60" s="53"/>
    </row>
    <row r="61" spans="1:11" x14ac:dyDescent="0.3">
      <c r="A61" s="175"/>
      <c r="E61" s="53"/>
      <c r="F61" s="53"/>
      <c r="G61" s="53"/>
      <c r="H61" s="53"/>
      <c r="I61" s="53"/>
    </row>
    <row r="62" spans="1:11" x14ac:dyDescent="0.3">
      <c r="A62" s="175"/>
      <c r="E62" s="53"/>
      <c r="F62" s="53"/>
      <c r="G62" s="53"/>
      <c r="H62" s="53"/>
      <c r="I62" s="53"/>
    </row>
    <row r="63" spans="1:11" x14ac:dyDescent="0.3">
      <c r="A63" s="175"/>
      <c r="E63" s="53"/>
      <c r="F63" s="53"/>
      <c r="G63" s="53"/>
      <c r="H63" s="53"/>
      <c r="I63" s="53"/>
    </row>
    <row r="64" spans="1:11" x14ac:dyDescent="0.3">
      <c r="A64" s="175"/>
      <c r="E64" s="53"/>
      <c r="F64" s="53"/>
      <c r="G64" s="53"/>
      <c r="H64" s="53"/>
      <c r="I64" s="53"/>
    </row>
    <row r="65" spans="5:9" x14ac:dyDescent="0.3">
      <c r="E65" s="53"/>
      <c r="F65" s="53"/>
      <c r="G65" s="53"/>
      <c r="H65" s="53"/>
      <c r="I65" s="53"/>
    </row>
    <row r="66" spans="5:9" x14ac:dyDescent="0.3">
      <c r="E66" s="53"/>
      <c r="F66" s="53"/>
      <c r="G66" s="53"/>
      <c r="H66" s="53"/>
      <c r="I66" s="53"/>
    </row>
    <row r="67" spans="5:9" x14ac:dyDescent="0.3">
      <c r="E67" s="53"/>
      <c r="F67" s="53"/>
      <c r="G67" s="53"/>
      <c r="H67" s="53"/>
      <c r="I67" s="53"/>
    </row>
    <row r="68" spans="5:9" x14ac:dyDescent="0.3">
      <c r="E68" s="53"/>
      <c r="F68" s="53"/>
      <c r="G68" s="53"/>
      <c r="H68" s="53"/>
      <c r="I68" s="53"/>
    </row>
    <row r="69" spans="5:9" x14ac:dyDescent="0.3">
      <c r="E69" s="53"/>
      <c r="F69" s="53"/>
      <c r="G69" s="53"/>
      <c r="H69" s="53"/>
      <c r="I69" s="53"/>
    </row>
    <row r="70" spans="5:9" x14ac:dyDescent="0.3">
      <c r="E70" s="53"/>
      <c r="F70" s="53"/>
      <c r="G70" s="53"/>
      <c r="H70" s="53"/>
      <c r="I70" s="53"/>
    </row>
    <row r="71" spans="5:9" x14ac:dyDescent="0.3">
      <c r="E71" s="53"/>
      <c r="F71" s="53"/>
      <c r="G71" s="53"/>
      <c r="H71" s="53"/>
      <c r="I71" s="53"/>
    </row>
    <row r="72" spans="5:9" x14ac:dyDescent="0.3">
      <c r="E72" s="53"/>
      <c r="F72" s="53"/>
      <c r="G72" s="53"/>
      <c r="H72" s="53"/>
      <c r="I72" s="53"/>
    </row>
    <row r="73" spans="5:9" x14ac:dyDescent="0.3">
      <c r="E73" s="53"/>
      <c r="F73" s="53"/>
      <c r="G73" s="53"/>
      <c r="H73" s="53"/>
      <c r="I73" s="53"/>
    </row>
    <row r="74" spans="5:9" x14ac:dyDescent="0.3">
      <c r="E74" s="53"/>
      <c r="F74" s="53"/>
      <c r="G74" s="53"/>
      <c r="H74" s="53"/>
      <c r="I74" s="53"/>
    </row>
    <row r="75" spans="5:9" x14ac:dyDescent="0.3">
      <c r="E75" s="53"/>
      <c r="F75" s="53"/>
      <c r="G75" s="53"/>
      <c r="H75" s="53"/>
      <c r="I75" s="53"/>
    </row>
    <row r="76" spans="5:9" x14ac:dyDescent="0.3">
      <c r="E76" s="53"/>
      <c r="F76" s="53"/>
      <c r="G76" s="53"/>
      <c r="H76" s="53"/>
      <c r="I76" s="53"/>
    </row>
    <row r="77" spans="5:9" x14ac:dyDescent="0.3">
      <c r="E77" s="53"/>
      <c r="F77" s="53"/>
      <c r="G77" s="53"/>
      <c r="H77" s="53"/>
      <c r="I77" s="53"/>
    </row>
    <row r="78" spans="5:9" x14ac:dyDescent="0.3">
      <c r="E78" s="53"/>
      <c r="F78" s="53"/>
      <c r="G78" s="53"/>
      <c r="H78" s="53"/>
      <c r="I78" s="53"/>
    </row>
    <row r="79" spans="5:9" x14ac:dyDescent="0.3">
      <c r="E79" s="53"/>
      <c r="F79" s="53"/>
      <c r="G79" s="53"/>
      <c r="H79" s="53"/>
      <c r="I79" s="53"/>
    </row>
    <row r="80" spans="5:9" x14ac:dyDescent="0.3">
      <c r="E80" s="53"/>
      <c r="F80" s="53"/>
      <c r="G80" s="53"/>
      <c r="H80" s="53"/>
      <c r="I80" s="53"/>
    </row>
    <row r="81" spans="5:9" x14ac:dyDescent="0.3">
      <c r="E81" s="53"/>
      <c r="F81" s="53"/>
      <c r="G81" s="53"/>
      <c r="H81" s="53"/>
      <c r="I81" s="53"/>
    </row>
    <row r="82" spans="5:9" x14ac:dyDescent="0.3">
      <c r="E82" s="53"/>
      <c r="F82" s="53"/>
      <c r="G82" s="53"/>
      <c r="H82" s="53"/>
      <c r="I82" s="53"/>
    </row>
    <row r="83" spans="5:9" x14ac:dyDescent="0.3">
      <c r="E83" s="53"/>
      <c r="F83" s="53"/>
      <c r="G83" s="53"/>
      <c r="H83" s="53"/>
      <c r="I83" s="53"/>
    </row>
    <row r="84" spans="5:9" x14ac:dyDescent="0.3">
      <c r="E84" s="53"/>
      <c r="F84" s="53"/>
      <c r="G84" s="53"/>
      <c r="H84" s="53"/>
      <c r="I84" s="53"/>
    </row>
    <row r="85" spans="5:9" x14ac:dyDescent="0.3">
      <c r="E85" s="53"/>
      <c r="F85" s="53"/>
      <c r="G85" s="53"/>
      <c r="H85" s="53"/>
      <c r="I85" s="53"/>
    </row>
    <row r="86" spans="5:9" x14ac:dyDescent="0.3">
      <c r="E86" s="53"/>
      <c r="F86" s="53"/>
      <c r="G86" s="53"/>
      <c r="H86" s="53"/>
      <c r="I86" s="53"/>
    </row>
    <row r="87" spans="5:9" x14ac:dyDescent="0.3">
      <c r="E87" s="53"/>
      <c r="F87" s="53"/>
      <c r="G87" s="53"/>
      <c r="H87" s="53"/>
      <c r="I87" s="53"/>
    </row>
    <row r="88" spans="5:9" x14ac:dyDescent="0.3">
      <c r="E88" s="53"/>
      <c r="F88" s="53"/>
      <c r="G88" s="53"/>
      <c r="H88" s="53"/>
      <c r="I88" s="53"/>
    </row>
    <row r="89" spans="5:9" x14ac:dyDescent="0.3">
      <c r="E89" s="53"/>
      <c r="F89" s="53"/>
      <c r="G89" s="53"/>
      <c r="H89" s="53"/>
      <c r="I89" s="53"/>
    </row>
    <row r="90" spans="5:9" x14ac:dyDescent="0.3">
      <c r="E90" s="53"/>
      <c r="F90" s="53"/>
      <c r="G90" s="53"/>
      <c r="H90" s="53"/>
      <c r="I90" s="53"/>
    </row>
    <row r="91" spans="5:9" x14ac:dyDescent="0.3">
      <c r="E91" s="53"/>
      <c r="F91" s="53"/>
      <c r="G91" s="53"/>
      <c r="H91" s="53"/>
      <c r="I91" s="53"/>
    </row>
    <row r="92" spans="5:9" x14ac:dyDescent="0.3">
      <c r="E92" s="53"/>
      <c r="F92" s="53"/>
      <c r="G92" s="53"/>
      <c r="H92" s="53"/>
      <c r="I92" s="53"/>
    </row>
    <row r="93" spans="5:9" x14ac:dyDescent="0.3">
      <c r="E93" s="53"/>
      <c r="F93" s="53"/>
      <c r="G93" s="53"/>
      <c r="H93" s="53"/>
      <c r="I93" s="53"/>
    </row>
    <row r="94" spans="5:9" x14ac:dyDescent="0.3">
      <c r="E94" s="53"/>
      <c r="F94" s="53"/>
      <c r="G94" s="53"/>
      <c r="H94" s="53"/>
      <c r="I94" s="53"/>
    </row>
    <row r="95" spans="5:9" x14ac:dyDescent="0.3">
      <c r="E95" s="53"/>
      <c r="F95" s="53"/>
      <c r="G95" s="53"/>
      <c r="H95" s="53"/>
      <c r="I95" s="53"/>
    </row>
    <row r="96" spans="5:9" x14ac:dyDescent="0.3">
      <c r="E96" s="53"/>
      <c r="F96" s="53"/>
      <c r="G96" s="53"/>
      <c r="H96" s="53"/>
      <c r="I96" s="53"/>
    </row>
    <row r="97" spans="5:9" x14ac:dyDescent="0.3">
      <c r="E97" s="53"/>
      <c r="F97" s="53"/>
      <c r="G97" s="53"/>
      <c r="H97" s="53"/>
      <c r="I97" s="53"/>
    </row>
    <row r="98" spans="5:9" x14ac:dyDescent="0.3">
      <c r="E98" s="53"/>
      <c r="F98" s="53"/>
      <c r="G98" s="53"/>
      <c r="H98" s="53"/>
      <c r="I98" s="53"/>
    </row>
    <row r="99" spans="5:9" x14ac:dyDescent="0.3">
      <c r="E99" s="53"/>
      <c r="F99" s="53"/>
      <c r="G99" s="53"/>
      <c r="H99" s="53"/>
      <c r="I99" s="53"/>
    </row>
    <row r="100" spans="5:9" x14ac:dyDescent="0.3">
      <c r="E100" s="53"/>
      <c r="F100" s="53"/>
      <c r="G100" s="53"/>
      <c r="H100" s="53"/>
      <c r="I100" s="53"/>
    </row>
    <row r="101" spans="5:9" x14ac:dyDescent="0.3">
      <c r="E101" s="53"/>
      <c r="F101" s="53"/>
      <c r="G101" s="53"/>
      <c r="H101" s="53"/>
      <c r="I101" s="53"/>
    </row>
    <row r="102" spans="5:9" x14ac:dyDescent="0.3">
      <c r="E102" s="53"/>
      <c r="F102" s="53"/>
      <c r="G102" s="53"/>
      <c r="H102" s="53"/>
      <c r="I102" s="53"/>
    </row>
    <row r="103" spans="5:9" x14ac:dyDescent="0.3">
      <c r="E103" s="53"/>
      <c r="F103" s="53"/>
      <c r="G103" s="53"/>
      <c r="H103" s="53"/>
      <c r="I103" s="53"/>
    </row>
    <row r="104" spans="5:9" x14ac:dyDescent="0.3">
      <c r="E104" s="53"/>
      <c r="F104" s="53"/>
      <c r="G104" s="53"/>
      <c r="H104" s="53"/>
      <c r="I104" s="53"/>
    </row>
    <row r="105" spans="5:9" x14ac:dyDescent="0.3">
      <c r="E105" s="53"/>
      <c r="F105" s="53"/>
      <c r="G105" s="53"/>
      <c r="H105" s="53"/>
      <c r="I105" s="53"/>
    </row>
    <row r="106" spans="5:9" x14ac:dyDescent="0.3">
      <c r="E106" s="53"/>
      <c r="F106" s="53"/>
      <c r="G106" s="53"/>
      <c r="H106" s="53"/>
      <c r="I106" s="53"/>
    </row>
    <row r="107" spans="5:9" x14ac:dyDescent="0.3">
      <c r="E107" s="53"/>
      <c r="F107" s="53"/>
      <c r="G107" s="53"/>
      <c r="H107" s="53"/>
      <c r="I107" s="53"/>
    </row>
    <row r="108" spans="5:9" x14ac:dyDescent="0.3">
      <c r="E108" s="53"/>
      <c r="F108" s="53"/>
      <c r="G108" s="53"/>
      <c r="H108" s="53"/>
      <c r="I108" s="53"/>
    </row>
    <row r="109" spans="5:9" x14ac:dyDescent="0.3">
      <c r="E109" s="53"/>
      <c r="F109" s="53"/>
      <c r="G109" s="53"/>
      <c r="H109" s="53"/>
      <c r="I109" s="53"/>
    </row>
    <row r="110" spans="5:9" x14ac:dyDescent="0.3">
      <c r="E110" s="53"/>
      <c r="F110" s="53"/>
      <c r="G110" s="53"/>
      <c r="H110" s="53"/>
      <c r="I110" s="53"/>
    </row>
    <row r="111" spans="5:9" x14ac:dyDescent="0.3">
      <c r="E111" s="53"/>
      <c r="F111" s="53"/>
      <c r="G111" s="53"/>
      <c r="H111" s="53"/>
      <c r="I111" s="53"/>
    </row>
    <row r="112" spans="5:9" x14ac:dyDescent="0.3">
      <c r="E112" s="53"/>
      <c r="F112" s="53"/>
      <c r="G112" s="53"/>
      <c r="H112" s="53"/>
      <c r="I112" s="53"/>
    </row>
    <row r="113" spans="5:9" x14ac:dyDescent="0.3">
      <c r="E113" s="53"/>
      <c r="F113" s="53"/>
      <c r="G113" s="53"/>
      <c r="H113" s="53"/>
      <c r="I113" s="53"/>
    </row>
    <row r="114" spans="5:9" x14ac:dyDescent="0.3">
      <c r="E114" s="53"/>
      <c r="F114" s="53"/>
      <c r="G114" s="53"/>
      <c r="H114" s="53"/>
      <c r="I114" s="53"/>
    </row>
    <row r="115" spans="5:9" x14ac:dyDescent="0.3">
      <c r="E115" s="53"/>
      <c r="F115" s="53"/>
      <c r="G115" s="53"/>
      <c r="H115" s="53"/>
      <c r="I115" s="53"/>
    </row>
    <row r="116" spans="5:9" x14ac:dyDescent="0.3">
      <c r="E116" s="53"/>
      <c r="F116" s="53"/>
      <c r="G116" s="53"/>
      <c r="H116" s="53"/>
      <c r="I116" s="53"/>
    </row>
    <row r="117" spans="5:9" x14ac:dyDescent="0.3">
      <c r="E117" s="53"/>
      <c r="F117" s="53"/>
      <c r="G117" s="53"/>
      <c r="H117" s="53"/>
      <c r="I117" s="53"/>
    </row>
    <row r="118" spans="5:9" x14ac:dyDescent="0.3">
      <c r="E118" s="53"/>
      <c r="F118" s="53"/>
      <c r="G118" s="53"/>
      <c r="H118" s="53"/>
      <c r="I118" s="53"/>
    </row>
    <row r="119" spans="5:9" x14ac:dyDescent="0.3">
      <c r="E119" s="53"/>
      <c r="F119" s="53"/>
      <c r="G119" s="53"/>
      <c r="H119" s="53"/>
      <c r="I119" s="53"/>
    </row>
    <row r="120" spans="5:9" x14ac:dyDescent="0.3">
      <c r="E120" s="53"/>
      <c r="F120" s="53"/>
      <c r="G120" s="53"/>
      <c r="H120" s="53"/>
      <c r="I120" s="53"/>
    </row>
    <row r="121" spans="5:9" x14ac:dyDescent="0.3">
      <c r="E121" s="53"/>
      <c r="F121" s="53"/>
      <c r="G121" s="53"/>
      <c r="H121" s="53"/>
      <c r="I121" s="53"/>
    </row>
    <row r="122" spans="5:9" x14ac:dyDescent="0.3">
      <c r="E122" s="53"/>
      <c r="F122" s="53"/>
      <c r="G122" s="53"/>
      <c r="H122" s="53"/>
      <c r="I122" s="53"/>
    </row>
    <row r="123" spans="5:9" x14ac:dyDescent="0.3">
      <c r="E123" s="53"/>
      <c r="F123" s="53"/>
      <c r="G123" s="53"/>
      <c r="H123" s="53"/>
      <c r="I123" s="53"/>
    </row>
    <row r="124" spans="5:9" x14ac:dyDescent="0.3">
      <c r="E124" s="53"/>
      <c r="F124" s="53"/>
      <c r="G124" s="53"/>
      <c r="H124" s="53"/>
      <c r="I124" s="53"/>
    </row>
    <row r="125" spans="5:9" x14ac:dyDescent="0.3">
      <c r="E125" s="53"/>
      <c r="F125" s="53"/>
      <c r="G125" s="53"/>
      <c r="H125" s="53"/>
      <c r="I125" s="53"/>
    </row>
    <row r="126" spans="5:9" x14ac:dyDescent="0.3">
      <c r="E126" s="53"/>
      <c r="F126" s="53"/>
      <c r="G126" s="53"/>
      <c r="H126" s="53"/>
      <c r="I126" s="53"/>
    </row>
    <row r="127" spans="5:9" x14ac:dyDescent="0.3">
      <c r="E127" s="53"/>
      <c r="F127" s="53"/>
      <c r="G127" s="53"/>
      <c r="H127" s="53"/>
      <c r="I127" s="53"/>
    </row>
    <row r="128" spans="5:9" x14ac:dyDescent="0.3">
      <c r="E128" s="53"/>
      <c r="F128" s="53"/>
      <c r="G128" s="53"/>
      <c r="H128" s="53"/>
      <c r="I128" s="53"/>
    </row>
    <row r="129" spans="5:9" x14ac:dyDescent="0.3">
      <c r="E129" s="53"/>
      <c r="F129" s="53"/>
      <c r="G129" s="53"/>
      <c r="H129" s="53"/>
      <c r="I129" s="53"/>
    </row>
    <row r="130" spans="5:9" x14ac:dyDescent="0.3">
      <c r="E130" s="53"/>
      <c r="F130" s="53"/>
      <c r="G130" s="53"/>
      <c r="H130" s="53"/>
      <c r="I130" s="53"/>
    </row>
    <row r="131" spans="5:9" x14ac:dyDescent="0.3">
      <c r="E131" s="53"/>
      <c r="F131" s="53"/>
      <c r="G131" s="53"/>
      <c r="H131" s="53"/>
      <c r="I131" s="53"/>
    </row>
    <row r="132" spans="5:9" x14ac:dyDescent="0.3">
      <c r="E132" s="53"/>
      <c r="F132" s="53"/>
      <c r="G132" s="53"/>
      <c r="H132" s="53"/>
      <c r="I132" s="53"/>
    </row>
    <row r="133" spans="5:9" x14ac:dyDescent="0.3">
      <c r="E133" s="53"/>
      <c r="F133" s="53"/>
      <c r="G133" s="53"/>
      <c r="H133" s="53"/>
      <c r="I133" s="53"/>
    </row>
    <row r="134" spans="5:9" x14ac:dyDescent="0.3">
      <c r="E134" s="53"/>
      <c r="F134" s="53"/>
      <c r="G134" s="53"/>
      <c r="H134" s="53"/>
      <c r="I134" s="53"/>
    </row>
    <row r="135" spans="5:9" x14ac:dyDescent="0.3">
      <c r="E135" s="53"/>
      <c r="F135" s="53"/>
      <c r="G135" s="53"/>
      <c r="H135" s="53"/>
      <c r="I135" s="53"/>
    </row>
    <row r="136" spans="5:9" x14ac:dyDescent="0.3">
      <c r="E136" s="53"/>
      <c r="F136" s="53"/>
      <c r="G136" s="53"/>
      <c r="H136" s="53"/>
      <c r="I136" s="53"/>
    </row>
    <row r="137" spans="5:9" x14ac:dyDescent="0.3">
      <c r="E137" s="53"/>
      <c r="F137" s="53"/>
      <c r="G137" s="53"/>
      <c r="H137" s="53"/>
      <c r="I137" s="53"/>
    </row>
    <row r="138" spans="5:9" x14ac:dyDescent="0.3">
      <c r="E138" s="53"/>
      <c r="F138" s="53"/>
      <c r="G138" s="53"/>
      <c r="H138" s="53"/>
      <c r="I138" s="53"/>
    </row>
    <row r="139" spans="5:9" x14ac:dyDescent="0.3">
      <c r="E139" s="53"/>
      <c r="F139" s="53"/>
      <c r="G139" s="53"/>
      <c r="H139" s="53"/>
      <c r="I139" s="53"/>
    </row>
    <row r="140" spans="5:9" x14ac:dyDescent="0.3">
      <c r="E140" s="53"/>
      <c r="F140" s="53"/>
      <c r="G140" s="53"/>
      <c r="H140" s="53"/>
      <c r="I140" s="53"/>
    </row>
    <row r="141" spans="5:9" x14ac:dyDescent="0.3">
      <c r="E141" s="53"/>
      <c r="F141" s="53"/>
      <c r="G141" s="53"/>
      <c r="H141" s="53"/>
      <c r="I141" s="53"/>
    </row>
    <row r="142" spans="5:9" x14ac:dyDescent="0.3">
      <c r="E142" s="53"/>
      <c r="F142" s="53"/>
      <c r="G142" s="53"/>
      <c r="H142" s="53"/>
      <c r="I142" s="53"/>
    </row>
    <row r="143" spans="5:9" x14ac:dyDescent="0.3">
      <c r="E143" s="53"/>
      <c r="F143" s="53"/>
      <c r="G143" s="53"/>
      <c r="H143" s="53"/>
      <c r="I143" s="53"/>
    </row>
    <row r="144" spans="5:9" x14ac:dyDescent="0.3">
      <c r="E144" s="53"/>
      <c r="F144" s="53"/>
      <c r="G144" s="53"/>
      <c r="H144" s="53"/>
      <c r="I144" s="53"/>
    </row>
    <row r="145" spans="5:9" x14ac:dyDescent="0.3">
      <c r="E145" s="53"/>
      <c r="F145" s="53"/>
      <c r="G145" s="53"/>
      <c r="H145" s="53"/>
      <c r="I145" s="53"/>
    </row>
    <row r="146" spans="5:9" x14ac:dyDescent="0.3">
      <c r="E146" s="53"/>
      <c r="F146" s="53"/>
      <c r="G146" s="53"/>
      <c r="H146" s="53"/>
      <c r="I146" s="53"/>
    </row>
    <row r="147" spans="5:9" x14ac:dyDescent="0.3">
      <c r="E147" s="53"/>
      <c r="F147" s="53"/>
      <c r="G147" s="53"/>
      <c r="H147" s="53"/>
      <c r="I147" s="53"/>
    </row>
    <row r="148" spans="5:9" x14ac:dyDescent="0.3">
      <c r="E148" s="53"/>
      <c r="F148" s="53"/>
      <c r="G148" s="53"/>
      <c r="H148" s="53"/>
      <c r="I148" s="53"/>
    </row>
    <row r="149" spans="5:9" x14ac:dyDescent="0.3">
      <c r="E149" s="53"/>
      <c r="F149" s="53"/>
      <c r="G149" s="53"/>
      <c r="H149" s="53"/>
      <c r="I149" s="53"/>
    </row>
    <row r="150" spans="5:9" x14ac:dyDescent="0.3">
      <c r="E150" s="53"/>
      <c r="F150" s="53"/>
      <c r="G150" s="53"/>
      <c r="H150" s="53"/>
      <c r="I150" s="53"/>
    </row>
    <row r="151" spans="5:9" x14ac:dyDescent="0.3">
      <c r="E151" s="53"/>
      <c r="F151" s="53"/>
      <c r="G151" s="53"/>
      <c r="H151" s="53"/>
      <c r="I151" s="53"/>
    </row>
    <row r="152" spans="5:9" x14ac:dyDescent="0.3">
      <c r="E152" s="53"/>
      <c r="F152" s="53"/>
      <c r="G152" s="53"/>
      <c r="H152" s="53"/>
      <c r="I152" s="53"/>
    </row>
    <row r="153" spans="5:9" x14ac:dyDescent="0.3">
      <c r="E153" s="53"/>
      <c r="F153" s="53"/>
      <c r="G153" s="53"/>
      <c r="H153" s="53"/>
      <c r="I153" s="53"/>
    </row>
    <row r="154" spans="5:9" x14ac:dyDescent="0.3">
      <c r="E154" s="53"/>
      <c r="F154" s="53"/>
      <c r="G154" s="53"/>
      <c r="H154" s="53"/>
      <c r="I154" s="53"/>
    </row>
    <row r="155" spans="5:9" x14ac:dyDescent="0.3">
      <c r="E155" s="53"/>
      <c r="F155" s="53"/>
      <c r="G155" s="53"/>
      <c r="H155" s="53"/>
      <c r="I155" s="53"/>
    </row>
    <row r="156" spans="5:9" x14ac:dyDescent="0.3">
      <c r="E156" s="53"/>
      <c r="F156" s="53"/>
      <c r="G156" s="53"/>
      <c r="H156" s="53"/>
      <c r="I156" s="53"/>
    </row>
    <row r="157" spans="5:9" x14ac:dyDescent="0.3">
      <c r="E157" s="53"/>
      <c r="F157" s="53"/>
      <c r="G157" s="53"/>
      <c r="H157" s="53"/>
      <c r="I157" s="53"/>
    </row>
    <row r="158" spans="5:9" x14ac:dyDescent="0.3">
      <c r="E158" s="53"/>
      <c r="F158" s="53"/>
      <c r="G158" s="53"/>
      <c r="H158" s="53"/>
      <c r="I158" s="53"/>
    </row>
    <row r="159" spans="5:9" x14ac:dyDescent="0.3">
      <c r="E159" s="53"/>
      <c r="F159" s="53"/>
      <c r="G159" s="53"/>
      <c r="H159" s="53"/>
      <c r="I159" s="53"/>
    </row>
    <row r="160" spans="5:9" x14ac:dyDescent="0.3">
      <c r="E160" s="53"/>
      <c r="F160" s="53"/>
      <c r="G160" s="53"/>
      <c r="H160" s="53"/>
      <c r="I160" s="53"/>
    </row>
    <row r="161" spans="5:9" x14ac:dyDescent="0.3">
      <c r="E161" s="53"/>
      <c r="F161" s="53"/>
      <c r="G161" s="53"/>
      <c r="H161" s="53"/>
      <c r="I161" s="53"/>
    </row>
    <row r="162" spans="5:9" x14ac:dyDescent="0.3">
      <c r="E162" s="53"/>
      <c r="F162" s="53"/>
      <c r="G162" s="53"/>
      <c r="H162" s="53"/>
      <c r="I162" s="53"/>
    </row>
    <row r="163" spans="5:9" x14ac:dyDescent="0.3">
      <c r="E163" s="53"/>
      <c r="F163" s="53"/>
      <c r="G163" s="53"/>
      <c r="H163" s="53"/>
      <c r="I163" s="53"/>
    </row>
    <row r="164" spans="5:9" x14ac:dyDescent="0.3">
      <c r="E164" s="53"/>
      <c r="F164" s="53"/>
      <c r="G164" s="53"/>
      <c r="H164" s="53"/>
      <c r="I164" s="53"/>
    </row>
    <row r="165" spans="5:9" x14ac:dyDescent="0.3">
      <c r="E165" s="53"/>
      <c r="F165" s="53"/>
      <c r="G165" s="53"/>
      <c r="H165" s="53"/>
      <c r="I165" s="53"/>
    </row>
    <row r="166" spans="5:9" x14ac:dyDescent="0.3">
      <c r="E166" s="53"/>
      <c r="F166" s="53"/>
      <c r="G166" s="53"/>
      <c r="H166" s="53"/>
      <c r="I166" s="53"/>
    </row>
    <row r="167" spans="5:9" x14ac:dyDescent="0.3">
      <c r="E167" s="53"/>
      <c r="F167" s="53"/>
      <c r="G167" s="53"/>
      <c r="H167" s="53"/>
      <c r="I167" s="53"/>
    </row>
    <row r="168" spans="5:9" x14ac:dyDescent="0.3">
      <c r="E168" s="53"/>
      <c r="F168" s="53"/>
      <c r="G168" s="53"/>
      <c r="H168" s="53"/>
      <c r="I168" s="53"/>
    </row>
    <row r="169" spans="5:9" x14ac:dyDescent="0.3">
      <c r="E169" s="53"/>
      <c r="F169" s="53"/>
      <c r="G169" s="53"/>
      <c r="H169" s="53"/>
      <c r="I169" s="53"/>
    </row>
    <row r="170" spans="5:9" x14ac:dyDescent="0.3">
      <c r="E170" s="53"/>
      <c r="F170" s="53"/>
      <c r="G170" s="53"/>
      <c r="H170" s="53"/>
      <c r="I170" s="53"/>
    </row>
    <row r="171" spans="5:9" x14ac:dyDescent="0.3">
      <c r="E171" s="53"/>
      <c r="F171" s="53"/>
      <c r="G171" s="53"/>
      <c r="H171" s="53"/>
      <c r="I171" s="53"/>
    </row>
    <row r="172" spans="5:9" x14ac:dyDescent="0.3">
      <c r="E172" s="53"/>
      <c r="F172" s="53"/>
      <c r="G172" s="53"/>
      <c r="H172" s="53"/>
      <c r="I172" s="53"/>
    </row>
    <row r="173" spans="5:9" x14ac:dyDescent="0.3">
      <c r="E173" s="53"/>
      <c r="F173" s="53"/>
      <c r="G173" s="53"/>
      <c r="H173" s="53"/>
      <c r="I173" s="53"/>
    </row>
    <row r="174" spans="5:9" x14ac:dyDescent="0.3">
      <c r="E174" s="53"/>
      <c r="F174" s="53"/>
      <c r="G174" s="53"/>
      <c r="H174" s="53"/>
      <c r="I174" s="53"/>
    </row>
    <row r="175" spans="5:9" x14ac:dyDescent="0.3">
      <c r="E175" s="53"/>
      <c r="F175" s="53"/>
      <c r="G175" s="53"/>
      <c r="H175" s="53"/>
      <c r="I175" s="53"/>
    </row>
    <row r="176" spans="5:9" x14ac:dyDescent="0.3">
      <c r="E176" s="53"/>
      <c r="F176" s="53"/>
      <c r="G176" s="53"/>
      <c r="H176" s="53"/>
      <c r="I176" s="53"/>
    </row>
    <row r="177" spans="5:9" x14ac:dyDescent="0.3">
      <c r="E177" s="53"/>
      <c r="F177" s="53"/>
      <c r="G177" s="53"/>
      <c r="H177" s="53"/>
      <c r="I177" s="53"/>
    </row>
    <row r="178" spans="5:9" x14ac:dyDescent="0.3">
      <c r="E178" s="53"/>
      <c r="F178" s="53"/>
      <c r="G178" s="53"/>
      <c r="H178" s="53"/>
      <c r="I178" s="53"/>
    </row>
    <row r="179" spans="5:9" x14ac:dyDescent="0.3">
      <c r="E179" s="53"/>
      <c r="F179" s="53"/>
      <c r="G179" s="53"/>
      <c r="H179" s="53"/>
      <c r="I179" s="53"/>
    </row>
    <row r="180" spans="5:9" x14ac:dyDescent="0.3">
      <c r="E180" s="53"/>
      <c r="F180" s="53"/>
      <c r="G180" s="53"/>
      <c r="H180" s="53"/>
      <c r="I180" s="53"/>
    </row>
    <row r="181" spans="5:9" x14ac:dyDescent="0.3">
      <c r="E181" s="53"/>
      <c r="F181" s="53"/>
      <c r="G181" s="53"/>
      <c r="H181" s="53"/>
      <c r="I181" s="53"/>
    </row>
    <row r="182" spans="5:9" x14ac:dyDescent="0.3">
      <c r="E182" s="53"/>
      <c r="F182" s="53"/>
      <c r="G182" s="53"/>
      <c r="H182" s="53"/>
      <c r="I182" s="53"/>
    </row>
    <row r="183" spans="5:9" x14ac:dyDescent="0.3">
      <c r="E183" s="53"/>
      <c r="F183" s="53"/>
      <c r="G183" s="53"/>
      <c r="H183" s="53"/>
      <c r="I183" s="53"/>
    </row>
    <row r="184" spans="5:9" x14ac:dyDescent="0.3">
      <c r="E184" s="53"/>
      <c r="F184" s="53"/>
      <c r="G184" s="53"/>
      <c r="H184" s="53"/>
      <c r="I184" s="53"/>
    </row>
    <row r="185" spans="5:9" x14ac:dyDescent="0.3">
      <c r="E185" s="53"/>
      <c r="F185" s="53"/>
      <c r="G185" s="53"/>
      <c r="H185" s="53"/>
      <c r="I185" s="53"/>
    </row>
    <row r="186" spans="5:9" x14ac:dyDescent="0.3">
      <c r="E186" s="53"/>
      <c r="F186" s="53"/>
      <c r="G186" s="53"/>
      <c r="H186" s="53"/>
      <c r="I186" s="53"/>
    </row>
    <row r="187" spans="5:9" x14ac:dyDescent="0.3">
      <c r="E187" s="53"/>
      <c r="F187" s="53"/>
      <c r="G187" s="53"/>
      <c r="H187" s="53"/>
      <c r="I187" s="53"/>
    </row>
    <row r="188" spans="5:9" x14ac:dyDescent="0.3">
      <c r="E188" s="53"/>
      <c r="F188" s="53"/>
      <c r="G188" s="53"/>
      <c r="H188" s="53"/>
      <c r="I188" s="53"/>
    </row>
    <row r="189" spans="5:9" x14ac:dyDescent="0.3">
      <c r="E189" s="53"/>
      <c r="F189" s="53"/>
      <c r="G189" s="53"/>
      <c r="H189" s="53"/>
      <c r="I189" s="53"/>
    </row>
    <row r="190" spans="5:9" x14ac:dyDescent="0.3">
      <c r="E190" s="53"/>
      <c r="F190" s="53"/>
      <c r="G190" s="53"/>
      <c r="H190" s="53"/>
      <c r="I190" s="53"/>
    </row>
    <row r="191" spans="5:9" x14ac:dyDescent="0.3">
      <c r="E191" s="53"/>
      <c r="F191" s="53"/>
      <c r="G191" s="53"/>
      <c r="H191" s="53"/>
      <c r="I191" s="53"/>
    </row>
    <row r="192" spans="5:9" x14ac:dyDescent="0.3">
      <c r="E192" s="53"/>
      <c r="F192" s="53"/>
      <c r="G192" s="53"/>
      <c r="H192" s="53"/>
      <c r="I192" s="53"/>
    </row>
    <row r="193" spans="5:9" x14ac:dyDescent="0.3">
      <c r="E193" s="53"/>
      <c r="F193" s="53"/>
      <c r="G193" s="53"/>
      <c r="H193" s="53"/>
      <c r="I193" s="53"/>
    </row>
    <row r="194" spans="5:9" x14ac:dyDescent="0.3">
      <c r="E194" s="53"/>
      <c r="F194" s="53"/>
      <c r="G194" s="53"/>
      <c r="H194" s="53"/>
      <c r="I194" s="53"/>
    </row>
    <row r="195" spans="5:9" x14ac:dyDescent="0.3">
      <c r="E195" s="53"/>
      <c r="F195" s="53"/>
      <c r="G195" s="53"/>
      <c r="H195" s="53"/>
      <c r="I195" s="53"/>
    </row>
    <row r="196" spans="5:9" x14ac:dyDescent="0.3">
      <c r="E196" s="53"/>
      <c r="F196" s="53"/>
      <c r="G196" s="53"/>
      <c r="H196" s="53"/>
      <c r="I196" s="53"/>
    </row>
    <row r="197" spans="5:9" x14ac:dyDescent="0.3">
      <c r="E197" s="53"/>
      <c r="F197" s="53"/>
      <c r="G197" s="53"/>
      <c r="H197" s="53"/>
      <c r="I197" s="53"/>
    </row>
    <row r="198" spans="5:9" x14ac:dyDescent="0.3">
      <c r="E198" s="53"/>
      <c r="F198" s="53"/>
      <c r="G198" s="53"/>
      <c r="H198" s="53"/>
      <c r="I198" s="53"/>
    </row>
    <row r="199" spans="5:9" x14ac:dyDescent="0.3">
      <c r="E199" s="53"/>
      <c r="F199" s="53"/>
      <c r="G199" s="53"/>
      <c r="H199" s="53"/>
      <c r="I199" s="53"/>
    </row>
    <row r="200" spans="5:9" x14ac:dyDescent="0.3">
      <c r="E200" s="53"/>
      <c r="F200" s="53"/>
      <c r="G200" s="53"/>
      <c r="H200" s="53"/>
      <c r="I200" s="53"/>
    </row>
    <row r="201" spans="5:9" x14ac:dyDescent="0.3">
      <c r="E201" s="53"/>
      <c r="F201" s="53"/>
      <c r="G201" s="53"/>
      <c r="H201" s="53"/>
      <c r="I201" s="53"/>
    </row>
    <row r="202" spans="5:9" x14ac:dyDescent="0.3">
      <c r="E202" s="53"/>
      <c r="F202" s="53"/>
      <c r="G202" s="53"/>
      <c r="H202" s="53"/>
      <c r="I202" s="53"/>
    </row>
    <row r="203" spans="5:9" x14ac:dyDescent="0.3">
      <c r="E203" s="53"/>
      <c r="F203" s="53"/>
      <c r="G203" s="53"/>
      <c r="H203" s="53"/>
      <c r="I203" s="53"/>
    </row>
    <row r="204" spans="5:9" x14ac:dyDescent="0.3">
      <c r="E204" s="53"/>
      <c r="F204" s="53"/>
      <c r="G204" s="53"/>
      <c r="H204" s="53"/>
      <c r="I204" s="53"/>
    </row>
    <row r="205" spans="5:9" x14ac:dyDescent="0.3">
      <c r="E205" s="53"/>
      <c r="F205" s="53"/>
      <c r="G205" s="53"/>
      <c r="H205" s="53"/>
      <c r="I205" s="53"/>
    </row>
    <row r="206" spans="5:9" x14ac:dyDescent="0.3">
      <c r="E206" s="53"/>
      <c r="F206" s="53"/>
      <c r="G206" s="53"/>
      <c r="H206" s="53"/>
      <c r="I206" s="53"/>
    </row>
    <row r="207" spans="5:9" x14ac:dyDescent="0.3">
      <c r="E207" s="53"/>
      <c r="F207" s="53"/>
      <c r="G207" s="53"/>
      <c r="H207" s="53"/>
      <c r="I207" s="53"/>
    </row>
    <row r="208" spans="5:9" x14ac:dyDescent="0.3">
      <c r="E208" s="53"/>
      <c r="F208" s="53"/>
      <c r="G208" s="53"/>
      <c r="H208" s="53"/>
      <c r="I208" s="53"/>
    </row>
    <row r="209" spans="5:9" x14ac:dyDescent="0.3">
      <c r="E209" s="53"/>
      <c r="F209" s="53"/>
      <c r="G209" s="53"/>
      <c r="H209" s="53"/>
      <c r="I209" s="53"/>
    </row>
    <row r="210" spans="5:9" x14ac:dyDescent="0.3">
      <c r="E210" s="53"/>
      <c r="F210" s="53"/>
      <c r="G210" s="53"/>
      <c r="H210" s="53"/>
      <c r="I210" s="53"/>
    </row>
    <row r="211" spans="5:9" x14ac:dyDescent="0.3">
      <c r="E211" s="53"/>
      <c r="F211" s="53"/>
      <c r="G211" s="53"/>
      <c r="H211" s="53"/>
      <c r="I211" s="53"/>
    </row>
    <row r="212" spans="5:9" x14ac:dyDescent="0.3">
      <c r="E212" s="53"/>
      <c r="F212" s="53"/>
      <c r="G212" s="53"/>
      <c r="H212" s="53"/>
      <c r="I212" s="53"/>
    </row>
    <row r="213" spans="5:9" x14ac:dyDescent="0.3">
      <c r="E213" s="53"/>
      <c r="F213" s="53"/>
      <c r="G213" s="53"/>
      <c r="H213" s="53"/>
      <c r="I213" s="53"/>
    </row>
    <row r="214" spans="5:9" x14ac:dyDescent="0.3">
      <c r="E214" s="53"/>
      <c r="F214" s="53"/>
      <c r="G214" s="53"/>
      <c r="H214" s="53"/>
      <c r="I214" s="53"/>
    </row>
    <row r="215" spans="5:9" x14ac:dyDescent="0.3">
      <c r="E215" s="53"/>
      <c r="F215" s="53"/>
      <c r="G215" s="53"/>
      <c r="H215" s="53"/>
      <c r="I215" s="53"/>
    </row>
    <row r="216" spans="5:9" x14ac:dyDescent="0.3">
      <c r="E216" s="53"/>
      <c r="F216" s="53"/>
      <c r="G216" s="53"/>
      <c r="H216" s="53"/>
      <c r="I216" s="53"/>
    </row>
    <row r="217" spans="5:9" x14ac:dyDescent="0.3">
      <c r="E217" s="53"/>
      <c r="F217" s="53"/>
      <c r="G217" s="53"/>
      <c r="H217" s="53"/>
      <c r="I217" s="53"/>
    </row>
    <row r="218" spans="5:9" x14ac:dyDescent="0.3">
      <c r="E218" s="53"/>
      <c r="F218" s="53"/>
      <c r="G218" s="53"/>
      <c r="H218" s="53"/>
      <c r="I218" s="53"/>
    </row>
    <row r="219" spans="5:9" x14ac:dyDescent="0.3">
      <c r="E219" s="53"/>
      <c r="F219" s="53"/>
      <c r="G219" s="53"/>
      <c r="H219" s="53"/>
      <c r="I219" s="53"/>
    </row>
    <row r="220" spans="5:9" x14ac:dyDescent="0.3">
      <c r="E220" s="53"/>
      <c r="F220" s="53"/>
      <c r="G220" s="53"/>
      <c r="H220" s="53"/>
      <c r="I220" s="53"/>
    </row>
    <row r="221" spans="5:9" x14ac:dyDescent="0.3">
      <c r="E221" s="53"/>
      <c r="F221" s="53"/>
      <c r="G221" s="53"/>
      <c r="H221" s="53"/>
      <c r="I221" s="53"/>
    </row>
    <row r="222" spans="5:9" x14ac:dyDescent="0.3">
      <c r="E222" s="53"/>
      <c r="F222" s="53"/>
      <c r="G222" s="53"/>
      <c r="H222" s="53"/>
      <c r="I222" s="53"/>
    </row>
    <row r="223" spans="5:9" x14ac:dyDescent="0.3">
      <c r="E223" s="53"/>
      <c r="F223" s="53"/>
      <c r="G223" s="53"/>
      <c r="H223" s="53"/>
      <c r="I223" s="53"/>
    </row>
    <row r="224" spans="5:9" x14ac:dyDescent="0.3">
      <c r="E224" s="53"/>
      <c r="F224" s="53"/>
      <c r="G224" s="53"/>
      <c r="H224" s="53"/>
      <c r="I224" s="53"/>
    </row>
    <row r="225" spans="5:9" x14ac:dyDescent="0.3">
      <c r="E225" s="53"/>
      <c r="F225" s="53"/>
      <c r="G225" s="53"/>
      <c r="H225" s="53"/>
      <c r="I225" s="53"/>
    </row>
    <row r="226" spans="5:9" x14ac:dyDescent="0.3">
      <c r="E226" s="53"/>
      <c r="F226" s="53"/>
      <c r="G226" s="53"/>
      <c r="H226" s="53"/>
      <c r="I226" s="53"/>
    </row>
    <row r="227" spans="5:9" x14ac:dyDescent="0.3">
      <c r="E227" s="53"/>
      <c r="F227" s="53"/>
      <c r="G227" s="53"/>
      <c r="H227" s="53"/>
      <c r="I227" s="53"/>
    </row>
    <row r="228" spans="5:9" x14ac:dyDescent="0.3">
      <c r="E228" s="53"/>
      <c r="F228" s="53"/>
      <c r="G228" s="53"/>
      <c r="H228" s="53"/>
      <c r="I228" s="53"/>
    </row>
    <row r="229" spans="5:9" x14ac:dyDescent="0.3">
      <c r="E229" s="53"/>
      <c r="F229" s="53"/>
      <c r="G229" s="53"/>
      <c r="H229" s="53"/>
      <c r="I229" s="53"/>
    </row>
    <row r="230" spans="5:9" x14ac:dyDescent="0.3">
      <c r="E230" s="53"/>
      <c r="F230" s="53"/>
      <c r="G230" s="53"/>
      <c r="H230" s="53"/>
      <c r="I230" s="53"/>
    </row>
    <row r="231" spans="5:9" x14ac:dyDescent="0.3">
      <c r="E231" s="53"/>
      <c r="F231" s="53"/>
      <c r="G231" s="53"/>
      <c r="H231" s="53"/>
      <c r="I231" s="53"/>
    </row>
    <row r="232" spans="5:9" x14ac:dyDescent="0.3">
      <c r="E232" s="53"/>
      <c r="F232" s="53"/>
      <c r="G232" s="53"/>
      <c r="H232" s="53"/>
      <c r="I232" s="53"/>
    </row>
    <row r="233" spans="5:9" x14ac:dyDescent="0.3">
      <c r="E233" s="53"/>
      <c r="F233" s="53"/>
      <c r="G233" s="53"/>
      <c r="H233" s="53"/>
      <c r="I233" s="53"/>
    </row>
    <row r="234" spans="5:9" x14ac:dyDescent="0.3">
      <c r="E234" s="53"/>
      <c r="F234" s="53"/>
      <c r="G234" s="53"/>
      <c r="H234" s="53"/>
      <c r="I234" s="53"/>
    </row>
    <row r="235" spans="5:9" x14ac:dyDescent="0.3">
      <c r="E235" s="53"/>
      <c r="F235" s="53"/>
      <c r="G235" s="53"/>
      <c r="H235" s="53"/>
      <c r="I235" s="53"/>
    </row>
    <row r="236" spans="5:9" x14ac:dyDescent="0.3">
      <c r="E236" s="53"/>
      <c r="F236" s="53"/>
      <c r="G236" s="53"/>
      <c r="H236" s="53"/>
      <c r="I236" s="53"/>
    </row>
    <row r="237" spans="5:9" x14ac:dyDescent="0.3">
      <c r="E237" s="53"/>
      <c r="F237" s="53"/>
      <c r="G237" s="53"/>
      <c r="H237" s="53"/>
      <c r="I237" s="53"/>
    </row>
    <row r="238" spans="5:9" x14ac:dyDescent="0.3">
      <c r="E238" s="53"/>
      <c r="F238" s="53"/>
      <c r="G238" s="53"/>
      <c r="H238" s="53"/>
      <c r="I238" s="53"/>
    </row>
    <row r="239" spans="5:9" x14ac:dyDescent="0.3">
      <c r="E239" s="53"/>
      <c r="F239" s="53"/>
      <c r="G239" s="53"/>
      <c r="H239" s="53"/>
      <c r="I239" s="53"/>
    </row>
    <row r="240" spans="5:9" x14ac:dyDescent="0.3">
      <c r="E240" s="53"/>
      <c r="F240" s="53"/>
      <c r="G240" s="53"/>
      <c r="H240" s="53"/>
      <c r="I240" s="53"/>
    </row>
    <row r="241" spans="5:9" x14ac:dyDescent="0.3">
      <c r="E241" s="53"/>
      <c r="F241" s="53"/>
      <c r="G241" s="53"/>
      <c r="H241" s="53"/>
      <c r="I241" s="53"/>
    </row>
    <row r="242" spans="5:9" x14ac:dyDescent="0.3">
      <c r="E242" s="53"/>
      <c r="F242" s="53"/>
      <c r="G242" s="53"/>
      <c r="H242" s="53"/>
      <c r="I242" s="53"/>
    </row>
    <row r="243" spans="5:9" x14ac:dyDescent="0.3">
      <c r="E243" s="53"/>
      <c r="F243" s="53"/>
      <c r="G243" s="53"/>
      <c r="H243" s="53"/>
      <c r="I243" s="53"/>
    </row>
    <row r="244" spans="5:9" x14ac:dyDescent="0.3">
      <c r="E244" s="53"/>
      <c r="F244" s="53"/>
      <c r="G244" s="53"/>
      <c r="H244" s="53"/>
      <c r="I244" s="53"/>
    </row>
    <row r="245" spans="5:9" x14ac:dyDescent="0.3">
      <c r="E245" s="53"/>
      <c r="F245" s="53"/>
      <c r="G245" s="53"/>
      <c r="H245" s="53"/>
      <c r="I245" s="53"/>
    </row>
    <row r="246" spans="5:9" x14ac:dyDescent="0.3">
      <c r="E246" s="53"/>
      <c r="F246" s="53"/>
      <c r="G246" s="53"/>
      <c r="H246" s="53"/>
      <c r="I246" s="53"/>
    </row>
    <row r="247" spans="5:9" x14ac:dyDescent="0.3">
      <c r="E247" s="53"/>
      <c r="F247" s="53"/>
      <c r="G247" s="53"/>
      <c r="H247" s="53"/>
      <c r="I247" s="53"/>
    </row>
    <row r="248" spans="5:9" x14ac:dyDescent="0.3">
      <c r="E248" s="53"/>
      <c r="F248" s="53"/>
      <c r="G248" s="53"/>
      <c r="H248" s="53"/>
      <c r="I248" s="53"/>
    </row>
    <row r="249" spans="5:9" x14ac:dyDescent="0.3">
      <c r="E249" s="53"/>
      <c r="F249" s="53"/>
      <c r="G249" s="53"/>
      <c r="H249" s="53"/>
      <c r="I249" s="53"/>
    </row>
    <row r="250" spans="5:9" x14ac:dyDescent="0.3">
      <c r="E250" s="53"/>
      <c r="F250" s="53"/>
      <c r="G250" s="53"/>
      <c r="H250" s="53"/>
      <c r="I250" s="53"/>
    </row>
    <row r="251" spans="5:9" x14ac:dyDescent="0.3">
      <c r="E251" s="53"/>
      <c r="F251" s="53"/>
      <c r="G251" s="53"/>
      <c r="H251" s="53"/>
      <c r="I251" s="53"/>
    </row>
    <row r="252" spans="5:9" x14ac:dyDescent="0.3">
      <c r="E252" s="53"/>
      <c r="F252" s="53"/>
      <c r="G252" s="53"/>
      <c r="H252" s="53"/>
      <c r="I252" s="53"/>
    </row>
    <row r="253" spans="5:9" x14ac:dyDescent="0.3">
      <c r="E253" s="53"/>
      <c r="F253" s="53"/>
      <c r="G253" s="53"/>
      <c r="H253" s="53"/>
      <c r="I253" s="53"/>
    </row>
    <row r="254" spans="5:9" x14ac:dyDescent="0.3">
      <c r="E254" s="53"/>
      <c r="F254" s="53"/>
      <c r="G254" s="53"/>
      <c r="H254" s="53"/>
      <c r="I254" s="53"/>
    </row>
    <row r="255" spans="5:9" x14ac:dyDescent="0.3">
      <c r="E255" s="53"/>
      <c r="F255" s="53"/>
      <c r="G255" s="53"/>
      <c r="H255" s="53"/>
      <c r="I255" s="53"/>
    </row>
    <row r="256" spans="5:9" x14ac:dyDescent="0.3">
      <c r="E256" s="53"/>
      <c r="F256" s="53"/>
      <c r="G256" s="53"/>
      <c r="H256" s="53"/>
      <c r="I256" s="53"/>
    </row>
    <row r="257" spans="5:9" x14ac:dyDescent="0.3">
      <c r="E257" s="53"/>
      <c r="F257" s="53"/>
      <c r="G257" s="53"/>
      <c r="H257" s="53"/>
      <c r="I257" s="53"/>
    </row>
    <row r="258" spans="5:9" x14ac:dyDescent="0.3">
      <c r="E258" s="53"/>
      <c r="F258" s="53"/>
      <c r="G258" s="53"/>
      <c r="H258" s="53"/>
      <c r="I258" s="53"/>
    </row>
    <row r="259" spans="5:9" x14ac:dyDescent="0.3">
      <c r="E259" s="53"/>
      <c r="F259" s="53"/>
      <c r="G259" s="53"/>
      <c r="H259" s="53"/>
      <c r="I259" s="53"/>
    </row>
    <row r="260" spans="5:9" x14ac:dyDescent="0.3">
      <c r="E260" s="53"/>
      <c r="F260" s="53"/>
      <c r="G260" s="53"/>
      <c r="H260" s="53"/>
      <c r="I260" s="53"/>
    </row>
    <row r="261" spans="5:9" x14ac:dyDescent="0.3">
      <c r="E261" s="53"/>
      <c r="F261" s="53"/>
      <c r="G261" s="53"/>
      <c r="H261" s="53"/>
      <c r="I261" s="53"/>
    </row>
    <row r="262" spans="5:9" x14ac:dyDescent="0.3">
      <c r="E262" s="53"/>
      <c r="F262" s="53"/>
      <c r="G262" s="53"/>
      <c r="H262" s="53"/>
      <c r="I262" s="53"/>
    </row>
    <row r="263" spans="5:9" x14ac:dyDescent="0.3">
      <c r="E263" s="53"/>
      <c r="F263" s="53"/>
      <c r="G263" s="53"/>
      <c r="H263" s="53"/>
      <c r="I263" s="53"/>
    </row>
    <row r="264" spans="5:9" x14ac:dyDescent="0.3">
      <c r="E264" s="53"/>
      <c r="F264" s="53"/>
      <c r="G264" s="53"/>
      <c r="H264" s="53"/>
      <c r="I264" s="53"/>
    </row>
    <row r="265" spans="5:9" x14ac:dyDescent="0.3">
      <c r="E265" s="53"/>
      <c r="F265" s="53"/>
      <c r="G265" s="53"/>
      <c r="H265" s="53"/>
      <c r="I265" s="53"/>
    </row>
    <row r="266" spans="5:9" x14ac:dyDescent="0.3">
      <c r="E266" s="53"/>
      <c r="F266" s="53"/>
      <c r="G266" s="53"/>
      <c r="H266" s="53"/>
      <c r="I266" s="53"/>
    </row>
    <row r="267" spans="5:9" x14ac:dyDescent="0.3">
      <c r="E267" s="53"/>
      <c r="F267" s="53"/>
      <c r="G267" s="53"/>
      <c r="H267" s="53"/>
      <c r="I267" s="53"/>
    </row>
    <row r="268" spans="5:9" x14ac:dyDescent="0.3">
      <c r="E268" s="53"/>
      <c r="F268" s="53"/>
      <c r="G268" s="53"/>
      <c r="H268" s="53"/>
      <c r="I268" s="53"/>
    </row>
    <row r="269" spans="5:9" x14ac:dyDescent="0.3">
      <c r="E269" s="53"/>
      <c r="F269" s="53"/>
      <c r="G269" s="53"/>
      <c r="H269" s="53"/>
      <c r="I269" s="53"/>
    </row>
    <row r="270" spans="5:9" x14ac:dyDescent="0.3">
      <c r="E270" s="53"/>
      <c r="F270" s="53"/>
      <c r="G270" s="53"/>
      <c r="H270" s="53"/>
      <c r="I270" s="53"/>
    </row>
    <row r="271" spans="5:9" x14ac:dyDescent="0.3">
      <c r="E271" s="53"/>
      <c r="F271" s="53"/>
      <c r="G271" s="53"/>
      <c r="H271" s="53"/>
      <c r="I271" s="53"/>
    </row>
    <row r="272" spans="5:9" x14ac:dyDescent="0.3">
      <c r="E272" s="53"/>
      <c r="F272" s="53"/>
      <c r="G272" s="53"/>
      <c r="H272" s="53"/>
      <c r="I272" s="53"/>
    </row>
    <row r="273" spans="5:9" x14ac:dyDescent="0.3">
      <c r="E273" s="53"/>
      <c r="F273" s="53"/>
      <c r="G273" s="53"/>
      <c r="H273" s="53"/>
      <c r="I273" s="53"/>
    </row>
    <row r="274" spans="5:9" x14ac:dyDescent="0.3">
      <c r="E274" s="53"/>
      <c r="F274" s="53"/>
      <c r="G274" s="53"/>
      <c r="H274" s="53"/>
      <c r="I274" s="53"/>
    </row>
    <row r="275" spans="5:9" x14ac:dyDescent="0.3">
      <c r="E275" s="53"/>
      <c r="F275" s="53"/>
      <c r="G275" s="53"/>
      <c r="H275" s="53"/>
      <c r="I275" s="53"/>
    </row>
    <row r="276" spans="5:9" x14ac:dyDescent="0.3">
      <c r="E276" s="53"/>
      <c r="F276" s="53"/>
      <c r="G276" s="53"/>
      <c r="H276" s="53"/>
      <c r="I276" s="53"/>
    </row>
    <row r="277" spans="5:9" x14ac:dyDescent="0.3">
      <c r="E277" s="53"/>
      <c r="F277" s="53"/>
      <c r="G277" s="53"/>
      <c r="H277" s="53"/>
      <c r="I277" s="53"/>
    </row>
    <row r="278" spans="5:9" x14ac:dyDescent="0.3">
      <c r="E278" s="53"/>
      <c r="F278" s="53"/>
      <c r="G278" s="53"/>
      <c r="H278" s="53"/>
      <c r="I278" s="53"/>
    </row>
    <row r="279" spans="5:9" x14ac:dyDescent="0.3">
      <c r="E279" s="53"/>
      <c r="F279" s="53"/>
      <c r="G279" s="53"/>
      <c r="H279" s="53"/>
      <c r="I279" s="53"/>
    </row>
    <row r="280" spans="5:9" x14ac:dyDescent="0.3">
      <c r="E280" s="53"/>
      <c r="F280" s="53"/>
      <c r="G280" s="53"/>
      <c r="H280" s="53"/>
      <c r="I280" s="53"/>
    </row>
    <row r="281" spans="5:9" x14ac:dyDescent="0.3">
      <c r="E281" s="53"/>
      <c r="F281" s="53"/>
      <c r="G281" s="53"/>
      <c r="H281" s="53"/>
      <c r="I281" s="53"/>
    </row>
    <row r="282" spans="5:9" x14ac:dyDescent="0.3">
      <c r="E282" s="53"/>
      <c r="F282" s="53"/>
      <c r="G282" s="53"/>
      <c r="H282" s="53"/>
      <c r="I282" s="53"/>
    </row>
    <row r="283" spans="5:9" x14ac:dyDescent="0.3">
      <c r="E283" s="53"/>
      <c r="F283" s="53"/>
      <c r="G283" s="53"/>
      <c r="H283" s="53"/>
      <c r="I283" s="53"/>
    </row>
    <row r="284" spans="5:9" x14ac:dyDescent="0.3">
      <c r="E284" s="53"/>
      <c r="F284" s="53"/>
      <c r="G284" s="53"/>
      <c r="H284" s="53"/>
      <c r="I284" s="53"/>
    </row>
    <row r="285" spans="5:9" x14ac:dyDescent="0.3">
      <c r="E285" s="53"/>
      <c r="F285" s="53"/>
      <c r="G285" s="53"/>
      <c r="H285" s="53"/>
      <c r="I285" s="53"/>
    </row>
    <row r="286" spans="5:9" x14ac:dyDescent="0.3">
      <c r="E286" s="53"/>
      <c r="F286" s="53"/>
      <c r="G286" s="53"/>
      <c r="H286" s="53"/>
      <c r="I286" s="53"/>
    </row>
    <row r="287" spans="5:9" x14ac:dyDescent="0.3">
      <c r="E287" s="53"/>
      <c r="F287" s="53"/>
      <c r="G287" s="53"/>
      <c r="H287" s="53"/>
      <c r="I287" s="53"/>
    </row>
    <row r="288" spans="5:9" x14ac:dyDescent="0.3">
      <c r="E288" s="53"/>
      <c r="F288" s="53"/>
      <c r="G288" s="53"/>
      <c r="H288" s="53"/>
      <c r="I288" s="53"/>
    </row>
    <row r="289" spans="5:9" x14ac:dyDescent="0.3">
      <c r="E289" s="53"/>
      <c r="F289" s="53"/>
      <c r="G289" s="53"/>
      <c r="H289" s="53"/>
      <c r="I289" s="53"/>
    </row>
    <row r="290" spans="5:9" x14ac:dyDescent="0.3">
      <c r="E290" s="53"/>
      <c r="F290" s="53"/>
      <c r="G290" s="53"/>
      <c r="H290" s="53"/>
      <c r="I290" s="53"/>
    </row>
    <row r="291" spans="5:9" x14ac:dyDescent="0.3">
      <c r="E291" s="53"/>
      <c r="F291" s="53"/>
      <c r="G291" s="53"/>
      <c r="H291" s="53"/>
      <c r="I291" s="53"/>
    </row>
    <row r="292" spans="5:9" x14ac:dyDescent="0.3">
      <c r="E292" s="53"/>
      <c r="F292" s="53"/>
      <c r="G292" s="53"/>
      <c r="H292" s="53"/>
      <c r="I292" s="53"/>
    </row>
    <row r="293" spans="5:9" x14ac:dyDescent="0.3">
      <c r="E293" s="53"/>
      <c r="F293" s="53"/>
      <c r="G293" s="53"/>
      <c r="H293" s="53"/>
      <c r="I293" s="53"/>
    </row>
    <row r="294" spans="5:9" x14ac:dyDescent="0.3">
      <c r="E294" s="53"/>
      <c r="F294" s="53"/>
      <c r="G294" s="53"/>
      <c r="H294" s="53"/>
      <c r="I294" s="53"/>
    </row>
    <row r="295" spans="5:9" x14ac:dyDescent="0.3">
      <c r="E295" s="53"/>
      <c r="F295" s="53"/>
      <c r="G295" s="53"/>
      <c r="H295" s="53"/>
      <c r="I295" s="53"/>
    </row>
    <row r="296" spans="5:9" x14ac:dyDescent="0.3">
      <c r="E296" s="53"/>
      <c r="F296" s="53"/>
      <c r="G296" s="53"/>
      <c r="H296" s="53"/>
      <c r="I296" s="53"/>
    </row>
    <row r="297" spans="5:9" x14ac:dyDescent="0.3">
      <c r="E297" s="53"/>
      <c r="F297" s="53"/>
      <c r="G297" s="53"/>
      <c r="H297" s="53"/>
      <c r="I297" s="53"/>
    </row>
    <row r="298" spans="5:9" x14ac:dyDescent="0.3">
      <c r="E298" s="53"/>
      <c r="F298" s="53"/>
      <c r="G298" s="53"/>
      <c r="H298" s="53"/>
      <c r="I298" s="53"/>
    </row>
    <row r="299" spans="5:9" x14ac:dyDescent="0.3">
      <c r="E299" s="53"/>
      <c r="F299" s="53"/>
      <c r="G299" s="53"/>
      <c r="H299" s="53"/>
      <c r="I299" s="53"/>
    </row>
    <row r="300" spans="5:9" x14ac:dyDescent="0.3">
      <c r="E300" s="53"/>
      <c r="F300" s="53"/>
      <c r="G300" s="53"/>
      <c r="H300" s="53"/>
      <c r="I300" s="53"/>
    </row>
    <row r="301" spans="5:9" x14ac:dyDescent="0.3">
      <c r="E301" s="53"/>
      <c r="F301" s="53"/>
      <c r="G301" s="53"/>
      <c r="H301" s="53"/>
      <c r="I301" s="53"/>
    </row>
    <row r="302" spans="5:9" x14ac:dyDescent="0.3">
      <c r="E302" s="53"/>
      <c r="F302" s="53"/>
      <c r="G302" s="53"/>
      <c r="H302" s="53"/>
      <c r="I302" s="53"/>
    </row>
    <row r="303" spans="5:9" x14ac:dyDescent="0.3">
      <c r="E303" s="53"/>
      <c r="F303" s="53"/>
      <c r="G303" s="53"/>
      <c r="H303" s="53"/>
      <c r="I303" s="53"/>
    </row>
    <row r="304" spans="5:9" x14ac:dyDescent="0.3">
      <c r="E304" s="53"/>
      <c r="F304" s="53"/>
      <c r="G304" s="53"/>
      <c r="H304" s="53"/>
      <c r="I304" s="53"/>
    </row>
    <row r="305" spans="5:9" x14ac:dyDescent="0.3">
      <c r="E305" s="53"/>
      <c r="F305" s="53"/>
      <c r="G305" s="53"/>
      <c r="H305" s="53"/>
      <c r="I305" s="53"/>
    </row>
    <row r="306" spans="5:9" x14ac:dyDescent="0.3">
      <c r="E306" s="53"/>
      <c r="F306" s="53"/>
      <c r="G306" s="53"/>
      <c r="H306" s="53"/>
      <c r="I306" s="53"/>
    </row>
    <row r="307" spans="5:9" x14ac:dyDescent="0.3">
      <c r="E307" s="53"/>
      <c r="F307" s="53"/>
      <c r="G307" s="53"/>
      <c r="H307" s="53"/>
      <c r="I307" s="53"/>
    </row>
    <row r="308" spans="5:9" x14ac:dyDescent="0.3">
      <c r="E308" s="53"/>
      <c r="F308" s="53"/>
      <c r="G308" s="53"/>
      <c r="H308" s="53"/>
      <c r="I308" s="53"/>
    </row>
    <row r="309" spans="5:9" x14ac:dyDescent="0.3">
      <c r="E309" s="53"/>
      <c r="F309" s="53"/>
      <c r="G309" s="53"/>
      <c r="H309" s="53"/>
      <c r="I309" s="53"/>
    </row>
    <row r="310" spans="5:9" x14ac:dyDescent="0.3">
      <c r="E310" s="53"/>
      <c r="F310" s="53"/>
      <c r="G310" s="53"/>
      <c r="H310" s="53"/>
      <c r="I310" s="53"/>
    </row>
    <row r="311" spans="5:9" x14ac:dyDescent="0.3">
      <c r="E311" s="53"/>
      <c r="F311" s="53"/>
      <c r="G311" s="53"/>
      <c r="H311" s="53"/>
      <c r="I311" s="53"/>
    </row>
    <row r="312" spans="5:9" x14ac:dyDescent="0.3">
      <c r="E312" s="53"/>
      <c r="F312" s="53"/>
      <c r="G312" s="53"/>
      <c r="H312" s="53"/>
      <c r="I312" s="53"/>
    </row>
    <row r="313" spans="5:9" x14ac:dyDescent="0.3">
      <c r="E313" s="53"/>
      <c r="F313" s="53"/>
      <c r="G313" s="53"/>
      <c r="H313" s="53"/>
      <c r="I313" s="53"/>
    </row>
    <row r="314" spans="5:9" x14ac:dyDescent="0.3">
      <c r="E314" s="53"/>
      <c r="F314" s="53"/>
      <c r="G314" s="53"/>
      <c r="H314" s="53"/>
      <c r="I314" s="53"/>
    </row>
    <row r="315" spans="5:9" x14ac:dyDescent="0.3">
      <c r="E315" s="53"/>
      <c r="F315" s="53"/>
      <c r="G315" s="53"/>
      <c r="H315" s="53"/>
      <c r="I315" s="53"/>
    </row>
    <row r="316" spans="5:9" x14ac:dyDescent="0.3">
      <c r="E316" s="53"/>
      <c r="F316" s="53"/>
      <c r="G316" s="53"/>
      <c r="H316" s="53"/>
      <c r="I316" s="53"/>
    </row>
    <row r="317" spans="5:9" x14ac:dyDescent="0.3">
      <c r="E317" s="53"/>
      <c r="F317" s="53"/>
      <c r="G317" s="53"/>
      <c r="H317" s="53"/>
      <c r="I317" s="53"/>
    </row>
    <row r="318" spans="5:9" x14ac:dyDescent="0.3">
      <c r="E318" s="53"/>
      <c r="F318" s="53"/>
      <c r="G318" s="53"/>
      <c r="H318" s="53"/>
      <c r="I318" s="53"/>
    </row>
    <row r="319" spans="5:9" x14ac:dyDescent="0.3">
      <c r="E319" s="53"/>
      <c r="F319" s="53"/>
      <c r="G319" s="53"/>
      <c r="H319" s="53"/>
      <c r="I319" s="53"/>
    </row>
    <row r="320" spans="5:9" x14ac:dyDescent="0.3">
      <c r="E320" s="53"/>
      <c r="F320" s="53"/>
      <c r="G320" s="53"/>
      <c r="H320" s="53"/>
      <c r="I320" s="53"/>
    </row>
    <row r="321" spans="5:9" x14ac:dyDescent="0.3">
      <c r="E321" s="53"/>
      <c r="F321" s="53"/>
      <c r="G321" s="53"/>
      <c r="H321" s="53"/>
      <c r="I321" s="53"/>
    </row>
    <row r="322" spans="5:9" x14ac:dyDescent="0.3">
      <c r="E322" s="53"/>
      <c r="F322" s="53"/>
      <c r="G322" s="53"/>
      <c r="H322" s="53"/>
      <c r="I322" s="53"/>
    </row>
    <row r="323" spans="5:9" x14ac:dyDescent="0.3">
      <c r="E323" s="53"/>
      <c r="F323" s="53"/>
      <c r="G323" s="53"/>
      <c r="H323" s="53"/>
      <c r="I323" s="53"/>
    </row>
    <row r="324" spans="5:9" x14ac:dyDescent="0.3">
      <c r="E324" s="53"/>
      <c r="F324" s="53"/>
      <c r="G324" s="53"/>
      <c r="H324" s="53"/>
      <c r="I324" s="53"/>
    </row>
    <row r="325" spans="5:9" x14ac:dyDescent="0.3">
      <c r="E325" s="53"/>
      <c r="F325" s="53"/>
      <c r="G325" s="53"/>
      <c r="H325" s="53"/>
      <c r="I325" s="53"/>
    </row>
    <row r="326" spans="5:9" x14ac:dyDescent="0.3">
      <c r="E326" s="53"/>
      <c r="F326" s="53"/>
      <c r="G326" s="53"/>
      <c r="H326" s="53"/>
      <c r="I326" s="53"/>
    </row>
    <row r="327" spans="5:9" x14ac:dyDescent="0.3">
      <c r="E327" s="53"/>
      <c r="F327" s="53"/>
      <c r="G327" s="53"/>
      <c r="H327" s="53"/>
      <c r="I327" s="53"/>
    </row>
    <row r="328" spans="5:9" x14ac:dyDescent="0.3">
      <c r="E328" s="53"/>
      <c r="F328" s="53"/>
      <c r="G328" s="53"/>
      <c r="H328" s="53"/>
      <c r="I328" s="53"/>
    </row>
    <row r="329" spans="5:9" x14ac:dyDescent="0.3">
      <c r="E329" s="53"/>
      <c r="F329" s="53"/>
      <c r="G329" s="53"/>
      <c r="H329" s="53"/>
      <c r="I329" s="53"/>
    </row>
    <row r="330" spans="5:9" x14ac:dyDescent="0.3">
      <c r="E330" s="53"/>
      <c r="F330" s="53"/>
      <c r="G330" s="53"/>
      <c r="H330" s="53"/>
      <c r="I330" s="53"/>
    </row>
    <row r="331" spans="5:9" x14ac:dyDescent="0.3">
      <c r="E331" s="53"/>
      <c r="F331" s="53"/>
      <c r="G331" s="53"/>
      <c r="H331" s="53"/>
      <c r="I331" s="53"/>
    </row>
    <row r="332" spans="5:9" x14ac:dyDescent="0.3">
      <c r="E332" s="53"/>
      <c r="F332" s="53"/>
      <c r="G332" s="53"/>
      <c r="H332" s="53"/>
      <c r="I332" s="53"/>
    </row>
    <row r="333" spans="5:9" x14ac:dyDescent="0.3">
      <c r="E333" s="53"/>
      <c r="F333" s="53"/>
      <c r="G333" s="53"/>
      <c r="H333" s="53"/>
      <c r="I333" s="53"/>
    </row>
    <row r="334" spans="5:9" x14ac:dyDescent="0.3">
      <c r="E334" s="53"/>
      <c r="F334" s="53"/>
      <c r="G334" s="53"/>
      <c r="H334" s="53"/>
      <c r="I334" s="53"/>
    </row>
    <row r="335" spans="5:9" x14ac:dyDescent="0.3">
      <c r="E335" s="53"/>
      <c r="F335" s="53"/>
      <c r="G335" s="53"/>
      <c r="H335" s="53"/>
      <c r="I335" s="53"/>
    </row>
    <row r="336" spans="5:9" x14ac:dyDescent="0.3">
      <c r="E336" s="53"/>
      <c r="F336" s="53"/>
      <c r="G336" s="53"/>
      <c r="H336" s="53"/>
      <c r="I336" s="53"/>
    </row>
    <row r="337" spans="5:9" x14ac:dyDescent="0.3">
      <c r="E337" s="53"/>
      <c r="F337" s="53"/>
      <c r="G337" s="53"/>
      <c r="H337" s="53"/>
      <c r="I337" s="53"/>
    </row>
    <row r="338" spans="5:9" x14ac:dyDescent="0.3">
      <c r="E338" s="53"/>
      <c r="F338" s="53"/>
      <c r="G338" s="53"/>
      <c r="H338" s="53"/>
      <c r="I338" s="53"/>
    </row>
    <row r="339" spans="5:9" x14ac:dyDescent="0.3">
      <c r="E339" s="53"/>
      <c r="F339" s="53"/>
      <c r="G339" s="53"/>
      <c r="H339" s="53"/>
      <c r="I339" s="53"/>
    </row>
    <row r="340" spans="5:9" x14ac:dyDescent="0.3">
      <c r="E340" s="53"/>
      <c r="F340" s="53"/>
      <c r="G340" s="53"/>
      <c r="H340" s="53"/>
      <c r="I340" s="53"/>
    </row>
    <row r="341" spans="5:9" x14ac:dyDescent="0.3">
      <c r="E341" s="53"/>
      <c r="F341" s="53"/>
      <c r="G341" s="53"/>
      <c r="H341" s="53"/>
      <c r="I341" s="53"/>
    </row>
    <row r="342" spans="5:9" x14ac:dyDescent="0.3">
      <c r="E342" s="53"/>
      <c r="F342" s="53"/>
      <c r="G342" s="53"/>
      <c r="H342" s="53"/>
      <c r="I342" s="53"/>
    </row>
    <row r="343" spans="5:9" x14ac:dyDescent="0.3">
      <c r="E343" s="53"/>
      <c r="F343" s="53"/>
      <c r="G343" s="53"/>
      <c r="H343" s="53"/>
      <c r="I343" s="53"/>
    </row>
    <row r="344" spans="5:9" x14ac:dyDescent="0.3">
      <c r="E344" s="53"/>
      <c r="F344" s="53"/>
      <c r="G344" s="53"/>
      <c r="H344" s="53"/>
      <c r="I344" s="53"/>
    </row>
    <row r="345" spans="5:9" x14ac:dyDescent="0.3">
      <c r="E345" s="53"/>
      <c r="F345" s="53"/>
      <c r="G345" s="53"/>
      <c r="H345" s="53"/>
      <c r="I345" s="53"/>
    </row>
    <row r="346" spans="5:9" x14ac:dyDescent="0.3">
      <c r="E346" s="53"/>
      <c r="F346" s="53"/>
      <c r="G346" s="53"/>
      <c r="H346" s="53"/>
      <c r="I346" s="53"/>
    </row>
    <row r="347" spans="5:9" x14ac:dyDescent="0.3">
      <c r="E347" s="53"/>
      <c r="F347" s="53"/>
      <c r="G347" s="53"/>
      <c r="H347" s="53"/>
      <c r="I347" s="53"/>
    </row>
    <row r="348" spans="5:9" x14ac:dyDescent="0.3">
      <c r="E348" s="53"/>
      <c r="F348" s="53"/>
      <c r="G348" s="53"/>
      <c r="H348" s="53"/>
      <c r="I348" s="53"/>
    </row>
    <row r="349" spans="5:9" x14ac:dyDescent="0.3">
      <c r="E349" s="53"/>
      <c r="F349" s="53"/>
      <c r="G349" s="53"/>
      <c r="H349" s="53"/>
      <c r="I349" s="53"/>
    </row>
    <row r="350" spans="5:9" x14ac:dyDescent="0.3">
      <c r="E350" s="53"/>
      <c r="F350" s="53"/>
      <c r="G350" s="53"/>
      <c r="H350" s="53"/>
      <c r="I350" s="53"/>
    </row>
    <row r="351" spans="5:9" x14ac:dyDescent="0.3">
      <c r="E351" s="53"/>
      <c r="F351" s="53"/>
      <c r="G351" s="53"/>
      <c r="H351" s="53"/>
      <c r="I351" s="53"/>
    </row>
    <row r="352" spans="5:9" x14ac:dyDescent="0.3">
      <c r="E352" s="53"/>
      <c r="F352" s="53"/>
      <c r="G352" s="53"/>
      <c r="H352" s="53"/>
      <c r="I352" s="53"/>
    </row>
    <row r="353" spans="5:9" x14ac:dyDescent="0.3">
      <c r="E353" s="53"/>
      <c r="F353" s="53"/>
      <c r="G353" s="53"/>
      <c r="H353" s="53"/>
      <c r="I353" s="53"/>
    </row>
    <row r="354" spans="5:9" x14ac:dyDescent="0.3">
      <c r="E354" s="53"/>
      <c r="F354" s="53"/>
      <c r="G354" s="53"/>
      <c r="H354" s="53"/>
      <c r="I354" s="53"/>
    </row>
    <row r="355" spans="5:9" x14ac:dyDescent="0.3">
      <c r="E355" s="53"/>
      <c r="F355" s="53"/>
      <c r="G355" s="53"/>
      <c r="H355" s="53"/>
      <c r="I355" s="53"/>
    </row>
    <row r="356" spans="5:9" x14ac:dyDescent="0.3">
      <c r="E356" s="53"/>
      <c r="F356" s="53"/>
      <c r="G356" s="53"/>
      <c r="H356" s="53"/>
      <c r="I356" s="53"/>
    </row>
    <row r="357" spans="5:9" x14ac:dyDescent="0.3">
      <c r="E357" s="53"/>
      <c r="F357" s="53"/>
      <c r="G357" s="53"/>
      <c r="H357" s="53"/>
      <c r="I357" s="53"/>
    </row>
    <row r="358" spans="5:9" x14ac:dyDescent="0.3">
      <c r="E358" s="53"/>
      <c r="F358" s="53"/>
      <c r="G358" s="53"/>
      <c r="H358" s="53"/>
      <c r="I358" s="53"/>
    </row>
    <row r="359" spans="5:9" x14ac:dyDescent="0.3">
      <c r="E359" s="53"/>
      <c r="F359" s="53"/>
      <c r="G359" s="53"/>
      <c r="H359" s="53"/>
      <c r="I359" s="53"/>
    </row>
    <row r="360" spans="5:9" x14ac:dyDescent="0.3">
      <c r="E360" s="53"/>
      <c r="F360" s="53"/>
      <c r="G360" s="53"/>
      <c r="H360" s="53"/>
      <c r="I360" s="53"/>
    </row>
    <row r="361" spans="5:9" x14ac:dyDescent="0.3">
      <c r="E361" s="53"/>
      <c r="F361" s="53"/>
      <c r="G361" s="53"/>
      <c r="H361" s="53"/>
      <c r="I361" s="53"/>
    </row>
    <row r="362" spans="5:9" x14ac:dyDescent="0.3">
      <c r="E362" s="53"/>
      <c r="F362" s="53"/>
      <c r="G362" s="53"/>
      <c r="H362" s="53"/>
      <c r="I362" s="53"/>
    </row>
    <row r="363" spans="5:9" x14ac:dyDescent="0.3">
      <c r="E363" s="53"/>
      <c r="F363" s="53"/>
      <c r="G363" s="53"/>
      <c r="H363" s="53"/>
      <c r="I363" s="53"/>
    </row>
    <row r="364" spans="5:9" x14ac:dyDescent="0.3">
      <c r="E364" s="53"/>
      <c r="F364" s="53"/>
      <c r="G364" s="53"/>
      <c r="H364" s="53"/>
      <c r="I364" s="53"/>
    </row>
    <row r="365" spans="5:9" x14ac:dyDescent="0.3">
      <c r="E365" s="53"/>
      <c r="F365" s="53"/>
      <c r="G365" s="53"/>
      <c r="H365" s="53"/>
      <c r="I365" s="53"/>
    </row>
    <row r="366" spans="5:9" x14ac:dyDescent="0.3">
      <c r="E366" s="53"/>
      <c r="F366" s="53"/>
      <c r="G366" s="53"/>
      <c r="H366" s="53"/>
      <c r="I366" s="53"/>
    </row>
    <row r="367" spans="5:9" x14ac:dyDescent="0.3">
      <c r="E367" s="53"/>
      <c r="F367" s="53"/>
      <c r="G367" s="53"/>
      <c r="H367" s="53"/>
      <c r="I367" s="53"/>
    </row>
    <row r="368" spans="5:9" x14ac:dyDescent="0.3">
      <c r="E368" s="53"/>
      <c r="F368" s="53"/>
      <c r="G368" s="53"/>
      <c r="H368" s="53"/>
      <c r="I368" s="53"/>
    </row>
    <row r="369" spans="5:9" x14ac:dyDescent="0.3">
      <c r="E369" s="53"/>
      <c r="F369" s="53"/>
      <c r="G369" s="53"/>
      <c r="H369" s="53"/>
      <c r="I369" s="53"/>
    </row>
    <row r="370" spans="5:9" x14ac:dyDescent="0.3">
      <c r="E370" s="53"/>
      <c r="F370" s="53"/>
      <c r="G370" s="53"/>
      <c r="H370" s="53"/>
      <c r="I370" s="53"/>
    </row>
    <row r="371" spans="5:9" x14ac:dyDescent="0.3">
      <c r="E371" s="53"/>
      <c r="F371" s="53"/>
      <c r="G371" s="53"/>
      <c r="H371" s="53"/>
      <c r="I371" s="53"/>
    </row>
    <row r="372" spans="5:9" x14ac:dyDescent="0.3">
      <c r="E372" s="53"/>
      <c r="F372" s="53"/>
      <c r="G372" s="53"/>
      <c r="H372" s="53"/>
      <c r="I372" s="53"/>
    </row>
    <row r="373" spans="5:9" x14ac:dyDescent="0.3">
      <c r="E373" s="53"/>
      <c r="F373" s="53"/>
      <c r="G373" s="53"/>
      <c r="H373" s="53"/>
      <c r="I373" s="53"/>
    </row>
    <row r="374" spans="5:9" x14ac:dyDescent="0.3">
      <c r="E374" s="53"/>
      <c r="F374" s="53"/>
      <c r="G374" s="53"/>
      <c r="H374" s="53"/>
      <c r="I374" s="53"/>
    </row>
    <row r="375" spans="5:9" x14ac:dyDescent="0.3">
      <c r="E375" s="53"/>
      <c r="F375" s="53"/>
      <c r="G375" s="53"/>
      <c r="H375" s="53"/>
      <c r="I375" s="53"/>
    </row>
    <row r="376" spans="5:9" x14ac:dyDescent="0.3">
      <c r="E376" s="53"/>
      <c r="F376" s="53"/>
      <c r="G376" s="53"/>
      <c r="H376" s="53"/>
      <c r="I376" s="53"/>
    </row>
    <row r="377" spans="5:9" x14ac:dyDescent="0.3">
      <c r="E377" s="53"/>
      <c r="F377" s="53"/>
      <c r="G377" s="53"/>
      <c r="H377" s="53"/>
      <c r="I377" s="53"/>
    </row>
    <row r="378" spans="5:9" x14ac:dyDescent="0.3">
      <c r="E378" s="53"/>
      <c r="F378" s="53"/>
      <c r="G378" s="53"/>
      <c r="H378" s="53"/>
      <c r="I378" s="53"/>
    </row>
    <row r="379" spans="5:9" x14ac:dyDescent="0.3">
      <c r="E379" s="53"/>
      <c r="F379" s="53"/>
      <c r="G379" s="53"/>
      <c r="H379" s="53"/>
      <c r="I379" s="53"/>
    </row>
    <row r="380" spans="5:9" x14ac:dyDescent="0.3">
      <c r="E380" s="53"/>
      <c r="F380" s="53"/>
      <c r="G380" s="53"/>
      <c r="H380" s="53"/>
      <c r="I380" s="53"/>
    </row>
    <row r="381" spans="5:9" x14ac:dyDescent="0.3">
      <c r="E381" s="53"/>
      <c r="F381" s="53"/>
      <c r="G381" s="53"/>
      <c r="H381" s="53"/>
      <c r="I381" s="53"/>
    </row>
    <row r="382" spans="5:9" x14ac:dyDescent="0.3">
      <c r="E382" s="53"/>
      <c r="F382" s="53"/>
      <c r="G382" s="53"/>
      <c r="H382" s="53"/>
      <c r="I382" s="53"/>
    </row>
    <row r="383" spans="5:9" x14ac:dyDescent="0.3">
      <c r="E383" s="53"/>
      <c r="F383" s="53"/>
      <c r="G383" s="53"/>
      <c r="H383" s="53"/>
      <c r="I383" s="53"/>
    </row>
    <row r="384" spans="5:9" x14ac:dyDescent="0.3">
      <c r="E384" s="53"/>
      <c r="F384" s="53"/>
      <c r="G384" s="53"/>
      <c r="H384" s="53"/>
      <c r="I384" s="53"/>
    </row>
    <row r="385" spans="5:9" x14ac:dyDescent="0.3">
      <c r="E385" s="53"/>
      <c r="F385" s="53"/>
      <c r="G385" s="53"/>
      <c r="H385" s="53"/>
      <c r="I385" s="53"/>
    </row>
    <row r="386" spans="5:9" x14ac:dyDescent="0.3">
      <c r="E386" s="53"/>
      <c r="F386" s="53"/>
      <c r="G386" s="53"/>
      <c r="H386" s="53"/>
      <c r="I386" s="53"/>
    </row>
    <row r="387" spans="5:9" x14ac:dyDescent="0.3">
      <c r="E387" s="53"/>
      <c r="F387" s="53"/>
      <c r="G387" s="53"/>
      <c r="H387" s="53"/>
      <c r="I387" s="53"/>
    </row>
    <row r="388" spans="5:9" x14ac:dyDescent="0.3">
      <c r="E388" s="53"/>
      <c r="F388" s="53"/>
      <c r="G388" s="53"/>
      <c r="H388" s="53"/>
      <c r="I388" s="53"/>
    </row>
    <row r="389" spans="5:9" x14ac:dyDescent="0.3">
      <c r="E389" s="53"/>
      <c r="F389" s="53"/>
      <c r="G389" s="53"/>
      <c r="H389" s="53"/>
      <c r="I389" s="53"/>
    </row>
    <row r="390" spans="5:9" x14ac:dyDescent="0.3">
      <c r="E390" s="53"/>
      <c r="F390" s="53"/>
      <c r="G390" s="53"/>
      <c r="H390" s="53"/>
      <c r="I390" s="53"/>
    </row>
    <row r="391" spans="5:9" x14ac:dyDescent="0.3">
      <c r="E391" s="53"/>
      <c r="F391" s="53"/>
      <c r="G391" s="53"/>
      <c r="H391" s="53"/>
      <c r="I391" s="53"/>
    </row>
    <row r="392" spans="5:9" x14ac:dyDescent="0.3">
      <c r="E392" s="53"/>
      <c r="F392" s="53"/>
      <c r="G392" s="53"/>
      <c r="H392" s="53"/>
      <c r="I392" s="53"/>
    </row>
    <row r="393" spans="5:9" x14ac:dyDescent="0.3">
      <c r="E393" s="53"/>
      <c r="F393" s="53"/>
      <c r="G393" s="53"/>
      <c r="H393" s="53"/>
      <c r="I393" s="53"/>
    </row>
    <row r="394" spans="5:9" x14ac:dyDescent="0.3">
      <c r="E394" s="53"/>
      <c r="F394" s="53"/>
      <c r="G394" s="53"/>
      <c r="H394" s="53"/>
      <c r="I394" s="53"/>
    </row>
    <row r="395" spans="5:9" x14ac:dyDescent="0.3">
      <c r="E395" s="53"/>
      <c r="F395" s="53"/>
      <c r="G395" s="53"/>
      <c r="H395" s="53"/>
      <c r="I395" s="53"/>
    </row>
    <row r="396" spans="5:9" x14ac:dyDescent="0.3">
      <c r="E396" s="53"/>
      <c r="F396" s="53"/>
      <c r="G396" s="53"/>
      <c r="H396" s="53"/>
      <c r="I396" s="53"/>
    </row>
    <row r="397" spans="5:9" x14ac:dyDescent="0.3">
      <c r="E397" s="53"/>
      <c r="F397" s="53"/>
      <c r="G397" s="53"/>
      <c r="H397" s="53"/>
      <c r="I397" s="53"/>
    </row>
    <row r="398" spans="5:9" x14ac:dyDescent="0.3">
      <c r="E398" s="53"/>
      <c r="F398" s="53"/>
      <c r="G398" s="53"/>
      <c r="H398" s="53"/>
      <c r="I398" s="53"/>
    </row>
    <row r="399" spans="5:9" x14ac:dyDescent="0.3">
      <c r="E399" s="53"/>
      <c r="F399" s="53"/>
      <c r="G399" s="53"/>
      <c r="H399" s="53"/>
      <c r="I399" s="53"/>
    </row>
    <row r="400" spans="5:9" x14ac:dyDescent="0.3">
      <c r="E400" s="53"/>
      <c r="F400" s="53"/>
      <c r="G400" s="53"/>
      <c r="H400" s="53"/>
      <c r="I400" s="53"/>
    </row>
    <row r="401" spans="5:9" x14ac:dyDescent="0.3">
      <c r="E401" s="53"/>
      <c r="F401" s="53"/>
      <c r="G401" s="53"/>
      <c r="H401" s="53"/>
      <c r="I401" s="53"/>
    </row>
    <row r="402" spans="5:9" x14ac:dyDescent="0.3">
      <c r="E402" s="53"/>
      <c r="F402" s="53"/>
      <c r="G402" s="53"/>
      <c r="H402" s="53"/>
      <c r="I402" s="53"/>
    </row>
    <row r="403" spans="5:9" x14ac:dyDescent="0.3">
      <c r="E403" s="53"/>
      <c r="F403" s="53"/>
      <c r="G403" s="53"/>
      <c r="H403" s="53"/>
      <c r="I403" s="53"/>
    </row>
    <row r="404" spans="5:9" x14ac:dyDescent="0.3">
      <c r="E404" s="53"/>
      <c r="F404" s="53"/>
      <c r="G404" s="53"/>
      <c r="H404" s="53"/>
      <c r="I404" s="53"/>
    </row>
    <row r="405" spans="5:9" x14ac:dyDescent="0.3">
      <c r="E405" s="53"/>
      <c r="F405" s="53"/>
      <c r="G405" s="53"/>
      <c r="H405" s="53"/>
      <c r="I405" s="53"/>
    </row>
    <row r="406" spans="5:9" x14ac:dyDescent="0.3">
      <c r="E406" s="53"/>
      <c r="F406" s="53"/>
      <c r="G406" s="53"/>
      <c r="H406" s="53"/>
      <c r="I406" s="53"/>
    </row>
    <row r="407" spans="5:9" x14ac:dyDescent="0.3">
      <c r="E407" s="53"/>
      <c r="F407" s="53"/>
      <c r="G407" s="53"/>
      <c r="H407" s="53"/>
      <c r="I407" s="53"/>
    </row>
    <row r="408" spans="5:9" x14ac:dyDescent="0.3">
      <c r="E408" s="53"/>
      <c r="F408" s="53"/>
      <c r="G408" s="53"/>
      <c r="H408" s="53"/>
      <c r="I408" s="53"/>
    </row>
    <row r="409" spans="5:9" x14ac:dyDescent="0.3">
      <c r="E409" s="53"/>
      <c r="F409" s="53"/>
      <c r="G409" s="53"/>
      <c r="H409" s="53"/>
      <c r="I409" s="53"/>
    </row>
    <row r="410" spans="5:9" x14ac:dyDescent="0.3">
      <c r="E410" s="53"/>
      <c r="F410" s="53"/>
      <c r="G410" s="53"/>
      <c r="H410" s="53"/>
      <c r="I410" s="53"/>
    </row>
    <row r="411" spans="5:9" x14ac:dyDescent="0.3">
      <c r="E411" s="53"/>
      <c r="F411" s="53"/>
      <c r="G411" s="53"/>
      <c r="H411" s="53"/>
      <c r="I411" s="53"/>
    </row>
    <row r="412" spans="5:9" x14ac:dyDescent="0.3">
      <c r="E412" s="53"/>
      <c r="F412" s="53"/>
      <c r="G412" s="53"/>
      <c r="H412" s="53"/>
      <c r="I412" s="53"/>
    </row>
    <row r="413" spans="5:9" x14ac:dyDescent="0.3">
      <c r="E413" s="53"/>
      <c r="F413" s="53"/>
      <c r="G413" s="53"/>
      <c r="H413" s="53"/>
      <c r="I413" s="53"/>
    </row>
    <row r="414" spans="5:9" x14ac:dyDescent="0.3">
      <c r="E414" s="53"/>
      <c r="F414" s="53"/>
      <c r="G414" s="53"/>
      <c r="H414" s="53"/>
      <c r="I414" s="53"/>
    </row>
    <row r="415" spans="5:9" x14ac:dyDescent="0.3">
      <c r="E415" s="53"/>
      <c r="F415" s="53"/>
      <c r="G415" s="53"/>
      <c r="H415" s="53"/>
      <c r="I415" s="53"/>
    </row>
    <row r="416" spans="5:9" x14ac:dyDescent="0.3">
      <c r="E416" s="53"/>
      <c r="F416" s="53"/>
      <c r="G416" s="53"/>
      <c r="H416" s="53"/>
      <c r="I416" s="53"/>
    </row>
    <row r="417" spans="5:9" x14ac:dyDescent="0.3">
      <c r="E417" s="53"/>
      <c r="F417" s="53"/>
      <c r="G417" s="53"/>
      <c r="H417" s="53"/>
      <c r="I417" s="53"/>
    </row>
    <row r="418" spans="5:9" x14ac:dyDescent="0.3">
      <c r="E418" s="53"/>
      <c r="F418" s="53"/>
      <c r="G418" s="53"/>
      <c r="H418" s="53"/>
      <c r="I418" s="53"/>
    </row>
    <row r="419" spans="5:9" x14ac:dyDescent="0.3">
      <c r="E419" s="53"/>
      <c r="F419" s="53"/>
      <c r="G419" s="53"/>
      <c r="H419" s="53"/>
      <c r="I419" s="53"/>
    </row>
    <row r="420" spans="5:9" x14ac:dyDescent="0.3">
      <c r="E420" s="53"/>
      <c r="F420" s="53"/>
      <c r="G420" s="53"/>
      <c r="H420" s="53"/>
      <c r="I420" s="53"/>
    </row>
    <row r="421" spans="5:9" x14ac:dyDescent="0.3">
      <c r="E421" s="53"/>
      <c r="F421" s="53"/>
      <c r="G421" s="53"/>
      <c r="H421" s="53"/>
      <c r="I421" s="53"/>
    </row>
    <row r="422" spans="5:9" x14ac:dyDescent="0.3">
      <c r="E422" s="53"/>
      <c r="F422" s="53"/>
      <c r="G422" s="53"/>
      <c r="H422" s="53"/>
      <c r="I422" s="53"/>
    </row>
    <row r="423" spans="5:9" x14ac:dyDescent="0.3">
      <c r="E423" s="53"/>
      <c r="F423" s="53"/>
      <c r="G423" s="53"/>
      <c r="H423" s="53"/>
      <c r="I423" s="53"/>
    </row>
    <row r="424" spans="5:9" x14ac:dyDescent="0.3">
      <c r="E424" s="53"/>
      <c r="F424" s="53"/>
      <c r="G424" s="53"/>
      <c r="H424" s="53"/>
      <c r="I424" s="53"/>
    </row>
    <row r="425" spans="5:9" x14ac:dyDescent="0.3">
      <c r="E425" s="53"/>
      <c r="F425" s="53"/>
      <c r="G425" s="53"/>
      <c r="H425" s="53"/>
      <c r="I425" s="53"/>
    </row>
    <row r="426" spans="5:9" x14ac:dyDescent="0.3">
      <c r="E426" s="53"/>
      <c r="F426" s="53"/>
      <c r="G426" s="53"/>
      <c r="H426" s="53"/>
      <c r="I426" s="53"/>
    </row>
    <row r="427" spans="5:9" x14ac:dyDescent="0.3">
      <c r="E427" s="53"/>
      <c r="F427" s="53"/>
      <c r="G427" s="53"/>
      <c r="H427" s="53"/>
      <c r="I427" s="53"/>
    </row>
    <row r="428" spans="5:9" x14ac:dyDescent="0.3">
      <c r="E428" s="53"/>
      <c r="F428" s="53"/>
      <c r="G428" s="53"/>
      <c r="H428" s="53"/>
      <c r="I428" s="53"/>
    </row>
    <row r="429" spans="5:9" x14ac:dyDescent="0.3">
      <c r="E429" s="53"/>
      <c r="F429" s="53"/>
      <c r="G429" s="53"/>
      <c r="H429" s="53"/>
      <c r="I429" s="53"/>
    </row>
    <row r="430" spans="5:9" x14ac:dyDescent="0.3">
      <c r="E430" s="53"/>
      <c r="F430" s="53"/>
      <c r="G430" s="53"/>
      <c r="H430" s="53"/>
      <c r="I430" s="53"/>
    </row>
    <row r="431" spans="5:9" x14ac:dyDescent="0.3">
      <c r="E431" s="53"/>
      <c r="F431" s="53"/>
      <c r="G431" s="53"/>
      <c r="H431" s="53"/>
      <c r="I431" s="53"/>
    </row>
    <row r="432" spans="5:9" x14ac:dyDescent="0.3">
      <c r="E432" s="53"/>
      <c r="F432" s="53"/>
      <c r="G432" s="53"/>
      <c r="H432" s="53"/>
      <c r="I432" s="53"/>
    </row>
    <row r="433" spans="5:9" x14ac:dyDescent="0.3">
      <c r="E433" s="53"/>
      <c r="F433" s="53"/>
      <c r="G433" s="53"/>
      <c r="H433" s="53"/>
      <c r="I433" s="53"/>
    </row>
    <row r="434" spans="5:9" x14ac:dyDescent="0.3">
      <c r="E434" s="53"/>
      <c r="F434" s="53"/>
      <c r="G434" s="53"/>
      <c r="H434" s="53"/>
      <c r="I434" s="53"/>
    </row>
    <row r="435" spans="5:9" x14ac:dyDescent="0.3">
      <c r="E435" s="53"/>
      <c r="F435" s="53"/>
      <c r="G435" s="53"/>
      <c r="H435" s="53"/>
      <c r="I435" s="53"/>
    </row>
    <row r="436" spans="5:9" x14ac:dyDescent="0.3">
      <c r="E436" s="53"/>
      <c r="F436" s="53"/>
      <c r="G436" s="53"/>
      <c r="H436" s="53"/>
      <c r="I436" s="53"/>
    </row>
    <row r="437" spans="5:9" x14ac:dyDescent="0.3">
      <c r="E437" s="53"/>
      <c r="F437" s="53"/>
      <c r="G437" s="53"/>
      <c r="H437" s="53"/>
      <c r="I437" s="53"/>
    </row>
    <row r="438" spans="5:9" x14ac:dyDescent="0.3">
      <c r="E438" s="53"/>
      <c r="F438" s="53"/>
      <c r="G438" s="53"/>
      <c r="H438" s="53"/>
      <c r="I438" s="53"/>
    </row>
    <row r="439" spans="5:9" x14ac:dyDescent="0.3">
      <c r="E439" s="53"/>
      <c r="F439" s="53"/>
      <c r="G439" s="53"/>
      <c r="H439" s="53"/>
      <c r="I439" s="53"/>
    </row>
    <row r="440" spans="5:9" x14ac:dyDescent="0.3">
      <c r="E440" s="53"/>
      <c r="F440" s="53"/>
      <c r="G440" s="53"/>
      <c r="H440" s="53"/>
      <c r="I440" s="53"/>
    </row>
    <row r="441" spans="5:9" x14ac:dyDescent="0.3">
      <c r="E441" s="53"/>
      <c r="F441" s="53"/>
      <c r="G441" s="53"/>
      <c r="H441" s="53"/>
      <c r="I441" s="53"/>
    </row>
    <row r="442" spans="5:9" x14ac:dyDescent="0.3">
      <c r="E442" s="53"/>
      <c r="F442" s="53"/>
      <c r="G442" s="53"/>
      <c r="H442" s="53"/>
      <c r="I442" s="53"/>
    </row>
    <row r="443" spans="5:9" x14ac:dyDescent="0.3">
      <c r="E443" s="53"/>
      <c r="F443" s="53"/>
      <c r="G443" s="53"/>
      <c r="H443" s="53"/>
      <c r="I443" s="53"/>
    </row>
    <row r="444" spans="5:9" x14ac:dyDescent="0.3">
      <c r="E444" s="53"/>
      <c r="F444" s="53"/>
      <c r="G444" s="53"/>
      <c r="H444" s="53"/>
      <c r="I444" s="53"/>
    </row>
    <row r="445" spans="5:9" x14ac:dyDescent="0.3">
      <c r="E445" s="53"/>
      <c r="F445" s="53"/>
      <c r="G445" s="53"/>
      <c r="H445" s="53"/>
      <c r="I445" s="53"/>
    </row>
    <row r="446" spans="5:9" x14ac:dyDescent="0.3">
      <c r="E446" s="53"/>
      <c r="F446" s="53"/>
      <c r="G446" s="53"/>
      <c r="H446" s="53"/>
      <c r="I446" s="53"/>
    </row>
    <row r="447" spans="5:9" x14ac:dyDescent="0.3">
      <c r="E447" s="53"/>
      <c r="F447" s="53"/>
      <c r="G447" s="53"/>
      <c r="H447" s="53"/>
      <c r="I447" s="53"/>
    </row>
    <row r="448" spans="5:9" x14ac:dyDescent="0.3">
      <c r="E448" s="53"/>
      <c r="F448" s="53"/>
      <c r="G448" s="53"/>
      <c r="H448" s="53"/>
      <c r="I448" s="53"/>
    </row>
    <row r="449" spans="5:9" x14ac:dyDescent="0.3">
      <c r="E449" s="53"/>
      <c r="F449" s="53"/>
      <c r="G449" s="53"/>
      <c r="H449" s="53"/>
      <c r="I449" s="53"/>
    </row>
    <row r="450" spans="5:9" x14ac:dyDescent="0.3">
      <c r="E450" s="53"/>
      <c r="F450" s="53"/>
      <c r="G450" s="53"/>
      <c r="H450" s="53"/>
      <c r="I450" s="53"/>
    </row>
    <row r="451" spans="5:9" x14ac:dyDescent="0.3">
      <c r="E451" s="53"/>
      <c r="F451" s="53"/>
      <c r="G451" s="53"/>
      <c r="H451" s="53"/>
      <c r="I451" s="53"/>
    </row>
    <row r="452" spans="5:9" x14ac:dyDescent="0.3">
      <c r="E452" s="53"/>
      <c r="F452" s="53"/>
      <c r="G452" s="53"/>
      <c r="H452" s="53"/>
      <c r="I452" s="53"/>
    </row>
    <row r="453" spans="5:9" x14ac:dyDescent="0.3">
      <c r="E453" s="53"/>
      <c r="F453" s="53"/>
      <c r="G453" s="53"/>
      <c r="H453" s="53"/>
      <c r="I453" s="53"/>
    </row>
    <row r="454" spans="5:9" x14ac:dyDescent="0.3">
      <c r="E454" s="53"/>
      <c r="F454" s="53"/>
      <c r="G454" s="53"/>
      <c r="H454" s="53"/>
      <c r="I454" s="53"/>
    </row>
    <row r="455" spans="5:9" x14ac:dyDescent="0.3">
      <c r="E455" s="53"/>
      <c r="F455" s="53"/>
      <c r="G455" s="53"/>
      <c r="H455" s="53"/>
      <c r="I455" s="53"/>
    </row>
    <row r="456" spans="5:9" x14ac:dyDescent="0.3">
      <c r="E456" s="53"/>
      <c r="F456" s="53"/>
      <c r="G456" s="53"/>
      <c r="H456" s="53"/>
      <c r="I456" s="53"/>
    </row>
    <row r="457" spans="5:9" x14ac:dyDescent="0.3">
      <c r="E457" s="53"/>
      <c r="F457" s="53"/>
      <c r="G457" s="53"/>
      <c r="H457" s="53"/>
      <c r="I457" s="53"/>
    </row>
    <row r="458" spans="5:9" x14ac:dyDescent="0.3">
      <c r="E458" s="53"/>
      <c r="F458" s="53"/>
      <c r="G458" s="53"/>
      <c r="H458" s="53"/>
      <c r="I458" s="53"/>
    </row>
    <row r="459" spans="5:9" x14ac:dyDescent="0.3">
      <c r="E459" s="53"/>
      <c r="F459" s="53"/>
      <c r="G459" s="53"/>
      <c r="H459" s="53"/>
      <c r="I459" s="53"/>
    </row>
    <row r="460" spans="5:9" x14ac:dyDescent="0.3">
      <c r="E460" s="53"/>
      <c r="F460" s="53"/>
      <c r="G460" s="53"/>
      <c r="H460" s="53"/>
      <c r="I460" s="53"/>
    </row>
    <row r="461" spans="5:9" x14ac:dyDescent="0.3">
      <c r="E461" s="53"/>
      <c r="F461" s="53"/>
      <c r="G461" s="53"/>
      <c r="H461" s="53"/>
      <c r="I461" s="53"/>
    </row>
    <row r="462" spans="5:9" x14ac:dyDescent="0.3">
      <c r="E462" s="53"/>
      <c r="F462" s="53"/>
      <c r="G462" s="53"/>
      <c r="H462" s="53"/>
      <c r="I462" s="53"/>
    </row>
    <row r="463" spans="5:9" x14ac:dyDescent="0.3">
      <c r="E463" s="53"/>
      <c r="F463" s="53"/>
      <c r="G463" s="53"/>
      <c r="H463" s="53"/>
      <c r="I463" s="53"/>
    </row>
    <row r="464" spans="5:9" x14ac:dyDescent="0.3">
      <c r="E464" s="53"/>
      <c r="F464" s="53"/>
      <c r="G464" s="53"/>
      <c r="H464" s="53"/>
      <c r="I464" s="53"/>
    </row>
    <row r="465" spans="5:9" x14ac:dyDescent="0.3">
      <c r="E465" s="53"/>
      <c r="F465" s="53"/>
      <c r="G465" s="53"/>
      <c r="H465" s="53"/>
      <c r="I465" s="53"/>
    </row>
    <row r="466" spans="5:9" x14ac:dyDescent="0.3">
      <c r="E466" s="53"/>
      <c r="F466" s="53"/>
      <c r="G466" s="53"/>
      <c r="H466" s="53"/>
      <c r="I466" s="53"/>
    </row>
    <row r="467" spans="5:9" x14ac:dyDescent="0.3">
      <c r="E467" s="53"/>
      <c r="F467" s="53"/>
      <c r="G467" s="53"/>
      <c r="H467" s="53"/>
      <c r="I467" s="53"/>
    </row>
    <row r="468" spans="5:9" x14ac:dyDescent="0.3">
      <c r="E468" s="53"/>
      <c r="F468" s="53"/>
      <c r="G468" s="53"/>
      <c r="H468" s="53"/>
      <c r="I468" s="53"/>
    </row>
    <row r="469" spans="5:9" x14ac:dyDescent="0.3">
      <c r="E469" s="53"/>
      <c r="F469" s="53"/>
      <c r="G469" s="53"/>
      <c r="H469" s="53"/>
      <c r="I469" s="53"/>
    </row>
    <row r="470" spans="5:9" x14ac:dyDescent="0.3">
      <c r="E470" s="53"/>
      <c r="F470" s="53"/>
      <c r="G470" s="53"/>
      <c r="H470" s="53"/>
      <c r="I470" s="53"/>
    </row>
    <row r="471" spans="5:9" x14ac:dyDescent="0.3">
      <c r="E471" s="53"/>
      <c r="F471" s="53"/>
      <c r="G471" s="53"/>
      <c r="H471" s="53"/>
      <c r="I471" s="53"/>
    </row>
    <row r="472" spans="5:9" x14ac:dyDescent="0.3">
      <c r="E472" s="53"/>
      <c r="F472" s="53"/>
      <c r="G472" s="53"/>
      <c r="H472" s="53"/>
      <c r="I472" s="53"/>
    </row>
    <row r="473" spans="5:9" x14ac:dyDescent="0.3">
      <c r="E473" s="53"/>
      <c r="F473" s="53"/>
      <c r="G473" s="53"/>
      <c r="H473" s="53"/>
      <c r="I473" s="53"/>
    </row>
    <row r="474" spans="5:9" x14ac:dyDescent="0.3">
      <c r="E474" s="53"/>
      <c r="F474" s="53"/>
      <c r="G474" s="53"/>
      <c r="H474" s="53"/>
      <c r="I474" s="53"/>
    </row>
    <row r="475" spans="5:9" x14ac:dyDescent="0.3">
      <c r="E475" s="53"/>
      <c r="F475" s="53"/>
      <c r="G475" s="53"/>
      <c r="H475" s="53"/>
      <c r="I475" s="53"/>
    </row>
    <row r="476" spans="5:9" x14ac:dyDescent="0.3">
      <c r="E476" s="53"/>
      <c r="F476" s="53"/>
      <c r="G476" s="53"/>
      <c r="H476" s="53"/>
      <c r="I476" s="53"/>
    </row>
    <row r="477" spans="5:9" x14ac:dyDescent="0.3">
      <c r="E477" s="53"/>
      <c r="F477" s="53"/>
      <c r="G477" s="53"/>
      <c r="H477" s="53"/>
      <c r="I477" s="53"/>
    </row>
    <row r="478" spans="5:9" x14ac:dyDescent="0.3">
      <c r="E478" s="53"/>
      <c r="F478" s="53"/>
      <c r="G478" s="53"/>
      <c r="H478" s="53"/>
      <c r="I478" s="53"/>
    </row>
    <row r="479" spans="5:9" x14ac:dyDescent="0.3">
      <c r="E479" s="53"/>
      <c r="F479" s="53"/>
      <c r="G479" s="53"/>
      <c r="H479" s="53"/>
      <c r="I479" s="53"/>
    </row>
    <row r="480" spans="5:9" x14ac:dyDescent="0.3">
      <c r="E480" s="53"/>
      <c r="F480" s="53"/>
      <c r="G480" s="53"/>
      <c r="H480" s="53"/>
      <c r="I480" s="53"/>
    </row>
    <row r="481" spans="5:9" x14ac:dyDescent="0.3">
      <c r="E481" s="53"/>
      <c r="F481" s="53"/>
      <c r="G481" s="53"/>
      <c r="H481" s="53"/>
      <c r="I481" s="53"/>
    </row>
    <row r="482" spans="5:9" x14ac:dyDescent="0.3">
      <c r="E482" s="53"/>
      <c r="F482" s="53"/>
      <c r="G482" s="53"/>
      <c r="H482" s="53"/>
      <c r="I482" s="53"/>
    </row>
    <row r="483" spans="5:9" x14ac:dyDescent="0.3">
      <c r="E483" s="53"/>
      <c r="F483" s="53"/>
      <c r="G483" s="53"/>
      <c r="H483" s="53"/>
      <c r="I483" s="53"/>
    </row>
    <row r="484" spans="5:9" x14ac:dyDescent="0.3">
      <c r="E484" s="53"/>
      <c r="F484" s="53"/>
      <c r="G484" s="53"/>
      <c r="H484" s="53"/>
      <c r="I484" s="53"/>
    </row>
    <row r="485" spans="5:9" x14ac:dyDescent="0.3">
      <c r="E485" s="53"/>
      <c r="F485" s="53"/>
      <c r="G485" s="53"/>
      <c r="H485" s="53"/>
      <c r="I485" s="53"/>
    </row>
    <row r="486" spans="5:9" x14ac:dyDescent="0.3">
      <c r="E486" s="53"/>
      <c r="F486" s="53"/>
      <c r="G486" s="53"/>
      <c r="H486" s="53"/>
      <c r="I486" s="53"/>
    </row>
    <row r="487" spans="5:9" x14ac:dyDescent="0.3">
      <c r="E487" s="53"/>
      <c r="F487" s="53"/>
      <c r="G487" s="53"/>
      <c r="H487" s="53"/>
      <c r="I487" s="53"/>
    </row>
    <row r="488" spans="5:9" x14ac:dyDescent="0.3">
      <c r="E488" s="53"/>
      <c r="F488" s="53"/>
      <c r="G488" s="53"/>
      <c r="H488" s="53"/>
      <c r="I488" s="53"/>
    </row>
    <row r="489" spans="5:9" x14ac:dyDescent="0.3">
      <c r="E489" s="53"/>
      <c r="F489" s="53"/>
      <c r="G489" s="53"/>
      <c r="H489" s="53"/>
      <c r="I489" s="53"/>
    </row>
    <row r="490" spans="5:9" x14ac:dyDescent="0.3">
      <c r="E490" s="53"/>
      <c r="F490" s="53"/>
      <c r="G490" s="53"/>
      <c r="H490" s="53"/>
      <c r="I490" s="53"/>
    </row>
    <row r="491" spans="5:9" x14ac:dyDescent="0.3">
      <c r="E491" s="53"/>
      <c r="F491" s="53"/>
      <c r="G491" s="53"/>
      <c r="H491" s="53"/>
      <c r="I491" s="53"/>
    </row>
    <row r="492" spans="5:9" x14ac:dyDescent="0.3">
      <c r="E492" s="53"/>
      <c r="F492" s="53"/>
      <c r="G492" s="53"/>
      <c r="H492" s="53"/>
      <c r="I492" s="53"/>
    </row>
    <row r="493" spans="5:9" x14ac:dyDescent="0.3">
      <c r="E493" s="53"/>
      <c r="F493" s="53"/>
      <c r="G493" s="53"/>
      <c r="H493" s="53"/>
      <c r="I493" s="53"/>
    </row>
    <row r="494" spans="5:9" x14ac:dyDescent="0.3">
      <c r="E494" s="53"/>
      <c r="F494" s="53"/>
      <c r="G494" s="53"/>
      <c r="H494" s="53"/>
      <c r="I494" s="53"/>
    </row>
    <row r="495" spans="5:9" x14ac:dyDescent="0.3">
      <c r="E495" s="53"/>
      <c r="F495" s="53"/>
      <c r="G495" s="53"/>
      <c r="H495" s="53"/>
      <c r="I495" s="53"/>
    </row>
    <row r="496" spans="5:9" x14ac:dyDescent="0.3">
      <c r="E496" s="53"/>
      <c r="F496" s="53"/>
      <c r="G496" s="53"/>
      <c r="H496" s="53"/>
      <c r="I496" s="53"/>
    </row>
    <row r="497" spans="5:9" x14ac:dyDescent="0.3">
      <c r="E497" s="53"/>
      <c r="F497" s="53"/>
      <c r="G497" s="53"/>
      <c r="H497" s="53"/>
      <c r="I497" s="53"/>
    </row>
    <row r="498" spans="5:9" x14ac:dyDescent="0.3">
      <c r="E498" s="53"/>
      <c r="F498" s="53"/>
      <c r="G498" s="53"/>
      <c r="H498" s="53"/>
      <c r="I498" s="53"/>
    </row>
    <row r="499" spans="5:9" x14ac:dyDescent="0.3">
      <c r="E499" s="53"/>
      <c r="F499" s="53"/>
      <c r="G499" s="53"/>
      <c r="H499" s="53"/>
      <c r="I499" s="53"/>
    </row>
    <row r="500" spans="5:9" x14ac:dyDescent="0.3">
      <c r="E500" s="53"/>
      <c r="F500" s="53"/>
      <c r="G500" s="53"/>
      <c r="H500" s="53"/>
      <c r="I500" s="53"/>
    </row>
    <row r="501" spans="5:9" x14ac:dyDescent="0.3">
      <c r="E501" s="53"/>
      <c r="F501" s="53"/>
      <c r="G501" s="53"/>
      <c r="H501" s="53"/>
      <c r="I501" s="53"/>
    </row>
    <row r="502" spans="5:9" x14ac:dyDescent="0.3">
      <c r="E502" s="53"/>
      <c r="F502" s="53"/>
      <c r="G502" s="53"/>
      <c r="H502" s="53"/>
      <c r="I502" s="53"/>
    </row>
    <row r="503" spans="5:9" x14ac:dyDescent="0.3">
      <c r="E503" s="53"/>
      <c r="F503" s="53"/>
      <c r="G503" s="53"/>
      <c r="H503" s="53"/>
      <c r="I503" s="53"/>
    </row>
    <row r="504" spans="5:9" x14ac:dyDescent="0.3">
      <c r="E504" s="53"/>
      <c r="F504" s="53"/>
      <c r="G504" s="53"/>
      <c r="H504" s="53"/>
      <c r="I504" s="53"/>
    </row>
    <row r="505" spans="5:9" x14ac:dyDescent="0.3">
      <c r="E505" s="53"/>
      <c r="F505" s="53"/>
      <c r="G505" s="53"/>
      <c r="H505" s="53"/>
      <c r="I505" s="53"/>
    </row>
    <row r="506" spans="5:9" x14ac:dyDescent="0.3">
      <c r="E506" s="53"/>
      <c r="F506" s="53"/>
      <c r="G506" s="53"/>
      <c r="H506" s="53"/>
      <c r="I506" s="53"/>
    </row>
    <row r="507" spans="5:9" x14ac:dyDescent="0.3">
      <c r="E507" s="53"/>
      <c r="F507" s="53"/>
      <c r="G507" s="53"/>
      <c r="H507" s="53"/>
      <c r="I507" s="53"/>
    </row>
    <row r="508" spans="5:9" x14ac:dyDescent="0.3">
      <c r="E508" s="53"/>
      <c r="F508" s="53"/>
      <c r="G508" s="53"/>
      <c r="H508" s="53"/>
      <c r="I508" s="53"/>
    </row>
    <row r="509" spans="5:9" x14ac:dyDescent="0.3">
      <c r="E509" s="53"/>
      <c r="F509" s="53"/>
      <c r="G509" s="53"/>
      <c r="H509" s="53"/>
      <c r="I509" s="53"/>
    </row>
    <row r="510" spans="5:9" x14ac:dyDescent="0.3">
      <c r="E510" s="53"/>
      <c r="F510" s="53"/>
      <c r="G510" s="53"/>
      <c r="H510" s="53"/>
      <c r="I510" s="53"/>
    </row>
    <row r="511" spans="5:9" x14ac:dyDescent="0.3">
      <c r="E511" s="53"/>
      <c r="F511" s="53"/>
      <c r="G511" s="53"/>
      <c r="H511" s="53"/>
      <c r="I511" s="53"/>
    </row>
    <row r="512" spans="5:9" x14ac:dyDescent="0.3">
      <c r="E512" s="53"/>
      <c r="F512" s="53"/>
      <c r="G512" s="53"/>
      <c r="H512" s="53"/>
      <c r="I512" s="53"/>
    </row>
    <row r="513" spans="5:9" x14ac:dyDescent="0.3">
      <c r="E513" s="53"/>
      <c r="F513" s="53"/>
      <c r="G513" s="53"/>
      <c r="H513" s="53"/>
      <c r="I513" s="53"/>
    </row>
    <row r="514" spans="5:9" x14ac:dyDescent="0.3">
      <c r="E514" s="53"/>
      <c r="F514" s="53"/>
      <c r="G514" s="53"/>
      <c r="H514" s="53"/>
      <c r="I514" s="53"/>
    </row>
    <row r="515" spans="5:9" x14ac:dyDescent="0.3">
      <c r="E515" s="53"/>
      <c r="F515" s="53"/>
      <c r="G515" s="53"/>
      <c r="H515" s="53"/>
      <c r="I515" s="53"/>
    </row>
    <row r="516" spans="5:9" x14ac:dyDescent="0.3">
      <c r="E516" s="53"/>
      <c r="F516" s="53"/>
      <c r="G516" s="53"/>
      <c r="H516" s="53"/>
      <c r="I516" s="53"/>
    </row>
    <row r="517" spans="5:9" x14ac:dyDescent="0.3">
      <c r="E517" s="53"/>
      <c r="F517" s="53"/>
      <c r="G517" s="53"/>
      <c r="H517" s="53"/>
      <c r="I517" s="53"/>
    </row>
    <row r="518" spans="5:9" x14ac:dyDescent="0.3">
      <c r="E518" s="53"/>
      <c r="F518" s="53"/>
      <c r="G518" s="53"/>
      <c r="H518" s="53"/>
      <c r="I518" s="53"/>
    </row>
    <row r="519" spans="5:9" x14ac:dyDescent="0.3">
      <c r="E519" s="53"/>
      <c r="F519" s="53"/>
      <c r="G519" s="53"/>
      <c r="H519" s="53"/>
      <c r="I519" s="53"/>
    </row>
    <row r="520" spans="5:9" x14ac:dyDescent="0.3">
      <c r="E520" s="53"/>
      <c r="F520" s="53"/>
      <c r="G520" s="53"/>
      <c r="H520" s="53"/>
      <c r="I520" s="53"/>
    </row>
    <row r="521" spans="5:9" x14ac:dyDescent="0.3">
      <c r="E521" s="53"/>
      <c r="F521" s="53"/>
      <c r="G521" s="53"/>
      <c r="H521" s="53"/>
      <c r="I521" s="53"/>
    </row>
    <row r="522" spans="5:9" x14ac:dyDescent="0.3">
      <c r="E522" s="53"/>
      <c r="F522" s="53"/>
      <c r="G522" s="53"/>
      <c r="H522" s="53"/>
      <c r="I522" s="53"/>
    </row>
    <row r="523" spans="5:9" x14ac:dyDescent="0.3">
      <c r="E523" s="53"/>
      <c r="F523" s="53"/>
      <c r="G523" s="53"/>
      <c r="H523" s="53"/>
      <c r="I523" s="53"/>
    </row>
    <row r="524" spans="5:9" x14ac:dyDescent="0.3">
      <c r="E524" s="53"/>
      <c r="F524" s="53"/>
      <c r="G524" s="53"/>
      <c r="H524" s="53"/>
      <c r="I524" s="53"/>
    </row>
    <row r="525" spans="5:9" x14ac:dyDescent="0.3">
      <c r="E525" s="53"/>
      <c r="F525" s="53"/>
      <c r="G525" s="53"/>
      <c r="H525" s="53"/>
      <c r="I525" s="53"/>
    </row>
    <row r="526" spans="5:9" x14ac:dyDescent="0.3">
      <c r="E526" s="53"/>
      <c r="F526" s="53"/>
      <c r="G526" s="53"/>
      <c r="H526" s="53"/>
      <c r="I526" s="53"/>
    </row>
    <row r="527" spans="5:9" x14ac:dyDescent="0.3">
      <c r="E527" s="53"/>
      <c r="F527" s="53"/>
      <c r="G527" s="53"/>
      <c r="H527" s="53"/>
      <c r="I527" s="53"/>
    </row>
    <row r="528" spans="5:9" x14ac:dyDescent="0.3">
      <c r="E528" s="53"/>
      <c r="F528" s="53"/>
      <c r="G528" s="53"/>
      <c r="H528" s="53"/>
      <c r="I528" s="53"/>
    </row>
    <row r="529" spans="5:9" x14ac:dyDescent="0.3">
      <c r="E529" s="53"/>
      <c r="F529" s="53"/>
      <c r="G529" s="53"/>
      <c r="H529" s="53"/>
      <c r="I529" s="53"/>
    </row>
    <row r="530" spans="5:9" x14ac:dyDescent="0.3">
      <c r="E530" s="53"/>
      <c r="F530" s="53"/>
      <c r="G530" s="53"/>
      <c r="H530" s="53"/>
      <c r="I530" s="53"/>
    </row>
    <row r="531" spans="5:9" x14ac:dyDescent="0.3">
      <c r="E531" s="53"/>
      <c r="F531" s="53"/>
      <c r="G531" s="53"/>
      <c r="H531" s="53"/>
      <c r="I531" s="53"/>
    </row>
    <row r="532" spans="5:9" x14ac:dyDescent="0.3">
      <c r="E532" s="53"/>
      <c r="F532" s="53"/>
      <c r="G532" s="53"/>
      <c r="H532" s="53"/>
      <c r="I532" s="53"/>
    </row>
    <row r="533" spans="5:9" x14ac:dyDescent="0.3">
      <c r="E533" s="53"/>
      <c r="F533" s="53"/>
      <c r="G533" s="53"/>
      <c r="H533" s="53"/>
      <c r="I533" s="53"/>
    </row>
    <row r="534" spans="5:9" x14ac:dyDescent="0.3">
      <c r="E534" s="53"/>
      <c r="F534" s="53"/>
      <c r="G534" s="53"/>
      <c r="H534" s="53"/>
      <c r="I534" s="53"/>
    </row>
    <row r="535" spans="5:9" x14ac:dyDescent="0.3">
      <c r="E535" s="53"/>
      <c r="F535" s="53"/>
      <c r="G535" s="53"/>
      <c r="H535" s="53"/>
      <c r="I535" s="53"/>
    </row>
    <row r="536" spans="5:9" x14ac:dyDescent="0.3">
      <c r="E536" s="53"/>
      <c r="F536" s="53"/>
      <c r="G536" s="53"/>
      <c r="H536" s="53"/>
      <c r="I536" s="53"/>
    </row>
    <row r="537" spans="5:9" x14ac:dyDescent="0.3">
      <c r="E537" s="53"/>
      <c r="F537" s="53"/>
      <c r="G537" s="53"/>
      <c r="H537" s="53"/>
      <c r="I537" s="53"/>
    </row>
    <row r="538" spans="5:9" x14ac:dyDescent="0.3">
      <c r="E538" s="53"/>
      <c r="F538" s="53"/>
      <c r="G538" s="53"/>
      <c r="H538" s="53"/>
      <c r="I538" s="53"/>
    </row>
    <row r="539" spans="5:9" x14ac:dyDescent="0.3">
      <c r="E539" s="53"/>
      <c r="F539" s="53"/>
      <c r="G539" s="53"/>
      <c r="H539" s="53"/>
      <c r="I539" s="53"/>
    </row>
    <row r="540" spans="5:9" x14ac:dyDescent="0.3">
      <c r="E540" s="53"/>
      <c r="F540" s="53"/>
      <c r="G540" s="53"/>
      <c r="H540" s="53"/>
      <c r="I540" s="53"/>
    </row>
    <row r="541" spans="5:9" x14ac:dyDescent="0.3">
      <c r="E541" s="53"/>
      <c r="F541" s="53"/>
      <c r="G541" s="53"/>
      <c r="H541" s="53"/>
      <c r="I541" s="53"/>
    </row>
    <row r="542" spans="5:9" x14ac:dyDescent="0.3">
      <c r="E542" s="53"/>
      <c r="F542" s="53"/>
      <c r="G542" s="53"/>
      <c r="H542" s="53"/>
      <c r="I542" s="53"/>
    </row>
    <row r="543" spans="5:9" x14ac:dyDescent="0.3">
      <c r="E543" s="53"/>
      <c r="F543" s="53"/>
      <c r="G543" s="53"/>
      <c r="H543" s="53"/>
      <c r="I543" s="53"/>
    </row>
    <row r="544" spans="5:9" x14ac:dyDescent="0.3">
      <c r="E544" s="53"/>
      <c r="F544" s="53"/>
      <c r="G544" s="53"/>
      <c r="H544" s="53"/>
      <c r="I544" s="53"/>
    </row>
    <row r="545" spans="5:9" x14ac:dyDescent="0.3">
      <c r="E545" s="53"/>
      <c r="F545" s="53"/>
      <c r="G545" s="53"/>
      <c r="H545" s="53"/>
      <c r="I545" s="53"/>
    </row>
    <row r="546" spans="5:9" x14ac:dyDescent="0.3">
      <c r="E546" s="53"/>
      <c r="F546" s="53"/>
      <c r="G546" s="53"/>
      <c r="H546" s="53"/>
      <c r="I546" s="53"/>
    </row>
    <row r="547" spans="5:9" x14ac:dyDescent="0.3">
      <c r="E547" s="53"/>
      <c r="F547" s="53"/>
      <c r="G547" s="53"/>
      <c r="H547" s="53"/>
      <c r="I547" s="53"/>
    </row>
    <row r="548" spans="5:9" x14ac:dyDescent="0.3">
      <c r="E548" s="53"/>
      <c r="F548" s="53"/>
      <c r="G548" s="53"/>
      <c r="H548" s="53"/>
      <c r="I548" s="53"/>
    </row>
    <row r="549" spans="5:9" x14ac:dyDescent="0.3">
      <c r="E549" s="53"/>
      <c r="F549" s="53"/>
      <c r="G549" s="53"/>
      <c r="H549" s="53"/>
      <c r="I549" s="53"/>
    </row>
    <row r="550" spans="5:9" x14ac:dyDescent="0.3">
      <c r="E550" s="53"/>
      <c r="F550" s="53"/>
      <c r="G550" s="53"/>
      <c r="H550" s="53"/>
      <c r="I550" s="53"/>
    </row>
    <row r="551" spans="5:9" x14ac:dyDescent="0.3">
      <c r="E551" s="53"/>
      <c r="F551" s="53"/>
      <c r="G551" s="53"/>
      <c r="H551" s="53"/>
      <c r="I551" s="53"/>
    </row>
    <row r="552" spans="5:9" x14ac:dyDescent="0.3">
      <c r="E552" s="53"/>
      <c r="F552" s="53"/>
      <c r="G552" s="53"/>
      <c r="H552" s="53"/>
      <c r="I552" s="53"/>
    </row>
    <row r="553" spans="5:9" x14ac:dyDescent="0.3">
      <c r="E553" s="53"/>
      <c r="F553" s="53"/>
      <c r="G553" s="53"/>
      <c r="H553" s="53"/>
      <c r="I553" s="53"/>
    </row>
    <row r="554" spans="5:9" x14ac:dyDescent="0.3">
      <c r="E554" s="53"/>
      <c r="F554" s="53"/>
      <c r="G554" s="53"/>
      <c r="H554" s="53"/>
      <c r="I554" s="53"/>
    </row>
    <row r="555" spans="5:9" x14ac:dyDescent="0.3">
      <c r="E555" s="53"/>
      <c r="F555" s="53"/>
      <c r="G555" s="53"/>
      <c r="H555" s="53"/>
      <c r="I555" s="53"/>
    </row>
    <row r="556" spans="5:9" x14ac:dyDescent="0.3">
      <c r="E556" s="53"/>
      <c r="F556" s="53"/>
      <c r="G556" s="53"/>
      <c r="H556" s="53"/>
      <c r="I556" s="53"/>
    </row>
    <row r="557" spans="5:9" x14ac:dyDescent="0.3">
      <c r="E557" s="53"/>
      <c r="F557" s="53"/>
      <c r="G557" s="53"/>
      <c r="H557" s="53"/>
      <c r="I557" s="53"/>
    </row>
    <row r="558" spans="5:9" x14ac:dyDescent="0.3">
      <c r="E558" s="53"/>
      <c r="F558" s="53"/>
      <c r="G558" s="53"/>
      <c r="H558" s="53"/>
      <c r="I558" s="53"/>
    </row>
    <row r="559" spans="5:9" x14ac:dyDescent="0.3">
      <c r="E559" s="53"/>
      <c r="F559" s="53"/>
      <c r="G559" s="53"/>
      <c r="H559" s="53"/>
      <c r="I559" s="53"/>
    </row>
    <row r="560" spans="5:9" x14ac:dyDescent="0.3">
      <c r="E560" s="53"/>
      <c r="F560" s="53"/>
      <c r="G560" s="53"/>
      <c r="H560" s="53"/>
      <c r="I560" s="53"/>
    </row>
    <row r="561" spans="5:9" x14ac:dyDescent="0.3">
      <c r="E561" s="53"/>
      <c r="F561" s="53"/>
      <c r="G561" s="53"/>
      <c r="H561" s="53"/>
      <c r="I561" s="53"/>
    </row>
    <row r="562" spans="5:9" x14ac:dyDescent="0.3">
      <c r="E562" s="53"/>
      <c r="F562" s="53"/>
      <c r="G562" s="53"/>
      <c r="H562" s="53"/>
      <c r="I562" s="53"/>
    </row>
    <row r="563" spans="5:9" x14ac:dyDescent="0.3">
      <c r="E563" s="53"/>
      <c r="F563" s="53"/>
      <c r="G563" s="53"/>
      <c r="H563" s="53"/>
      <c r="I563" s="53"/>
    </row>
    <row r="564" spans="5:9" x14ac:dyDescent="0.3">
      <c r="E564" s="53"/>
      <c r="F564" s="53"/>
      <c r="G564" s="53"/>
      <c r="H564" s="53"/>
      <c r="I564" s="53"/>
    </row>
    <row r="565" spans="5:9" x14ac:dyDescent="0.3">
      <c r="E565" s="53"/>
      <c r="F565" s="53"/>
      <c r="G565" s="53"/>
      <c r="H565" s="53"/>
      <c r="I565" s="53"/>
    </row>
    <row r="566" spans="5:9" x14ac:dyDescent="0.3">
      <c r="E566" s="53"/>
      <c r="F566" s="53"/>
      <c r="G566" s="53"/>
      <c r="H566" s="53"/>
      <c r="I566" s="53"/>
    </row>
    <row r="567" spans="5:9" x14ac:dyDescent="0.3">
      <c r="E567" s="53"/>
      <c r="F567" s="53"/>
      <c r="G567" s="53"/>
      <c r="H567" s="53"/>
      <c r="I567" s="53"/>
    </row>
    <row r="568" spans="5:9" x14ac:dyDescent="0.3">
      <c r="E568" s="53"/>
      <c r="F568" s="53"/>
      <c r="G568" s="53"/>
      <c r="H568" s="53"/>
      <c r="I568" s="53"/>
    </row>
    <row r="569" spans="5:9" x14ac:dyDescent="0.3">
      <c r="E569" s="53"/>
      <c r="F569" s="53"/>
      <c r="G569" s="53"/>
      <c r="H569" s="53"/>
      <c r="I569" s="53"/>
    </row>
    <row r="570" spans="5:9" x14ac:dyDescent="0.3">
      <c r="E570" s="53"/>
      <c r="F570" s="53"/>
      <c r="G570" s="53"/>
      <c r="H570" s="53"/>
      <c r="I570" s="53"/>
    </row>
    <row r="571" spans="5:9" x14ac:dyDescent="0.3">
      <c r="E571" s="53"/>
      <c r="F571" s="53"/>
      <c r="G571" s="53"/>
      <c r="H571" s="53"/>
      <c r="I571" s="53"/>
    </row>
    <row r="572" spans="5:9" x14ac:dyDescent="0.3">
      <c r="E572" s="53"/>
      <c r="F572" s="53"/>
      <c r="G572" s="53"/>
      <c r="H572" s="53"/>
      <c r="I572" s="53"/>
    </row>
    <row r="573" spans="5:9" x14ac:dyDescent="0.3">
      <c r="E573" s="53"/>
      <c r="F573" s="53"/>
      <c r="G573" s="53"/>
      <c r="H573" s="53"/>
      <c r="I573" s="53"/>
    </row>
    <row r="574" spans="5:9" x14ac:dyDescent="0.3">
      <c r="E574" s="53"/>
      <c r="F574" s="53"/>
      <c r="G574" s="53"/>
      <c r="H574" s="53"/>
      <c r="I574" s="53"/>
    </row>
    <row r="575" spans="5:9" x14ac:dyDescent="0.3">
      <c r="E575" s="53"/>
      <c r="F575" s="53"/>
      <c r="G575" s="53"/>
      <c r="H575" s="53"/>
      <c r="I575" s="53"/>
    </row>
    <row r="576" spans="5:9" x14ac:dyDescent="0.3">
      <c r="E576" s="53"/>
      <c r="F576" s="53"/>
      <c r="G576" s="53"/>
      <c r="H576" s="53"/>
      <c r="I576" s="53"/>
    </row>
    <row r="577" spans="5:9" x14ac:dyDescent="0.3">
      <c r="E577" s="53"/>
      <c r="F577" s="53"/>
      <c r="G577" s="53"/>
      <c r="H577" s="53"/>
      <c r="I577" s="53"/>
    </row>
    <row r="578" spans="5:9" x14ac:dyDescent="0.3">
      <c r="E578" s="53"/>
      <c r="F578" s="53"/>
      <c r="G578" s="53"/>
      <c r="H578" s="53"/>
      <c r="I578" s="53"/>
    </row>
    <row r="579" spans="5:9" x14ac:dyDescent="0.3">
      <c r="E579" s="53"/>
      <c r="F579" s="53"/>
      <c r="G579" s="53"/>
      <c r="H579" s="53"/>
      <c r="I579" s="53"/>
    </row>
    <row r="580" spans="5:9" x14ac:dyDescent="0.3">
      <c r="E580" s="53"/>
      <c r="F580" s="53"/>
      <c r="G580" s="53"/>
      <c r="H580" s="53"/>
      <c r="I580" s="53"/>
    </row>
    <row r="581" spans="5:9" x14ac:dyDescent="0.3">
      <c r="E581" s="53"/>
      <c r="F581" s="53"/>
      <c r="G581" s="53"/>
      <c r="H581" s="53"/>
      <c r="I581" s="53"/>
    </row>
    <row r="582" spans="5:9" x14ac:dyDescent="0.3">
      <c r="E582" s="53"/>
      <c r="F582" s="53"/>
      <c r="G582" s="53"/>
      <c r="H582" s="53"/>
      <c r="I582" s="53"/>
    </row>
    <row r="583" spans="5:9" x14ac:dyDescent="0.3">
      <c r="E583" s="53"/>
      <c r="F583" s="53"/>
      <c r="G583" s="53"/>
      <c r="H583" s="53"/>
      <c r="I583" s="53"/>
    </row>
    <row r="584" spans="5:9" x14ac:dyDescent="0.3">
      <c r="E584" s="53"/>
      <c r="F584" s="53"/>
      <c r="G584" s="53"/>
      <c r="H584" s="53"/>
      <c r="I584" s="53"/>
    </row>
    <row r="585" spans="5:9" x14ac:dyDescent="0.3">
      <c r="E585" s="53"/>
      <c r="F585" s="53"/>
      <c r="G585" s="53"/>
      <c r="H585" s="53"/>
      <c r="I585" s="53"/>
    </row>
    <row r="586" spans="5:9" x14ac:dyDescent="0.3">
      <c r="E586" s="53"/>
      <c r="F586" s="53"/>
      <c r="G586" s="53"/>
      <c r="H586" s="53"/>
      <c r="I586" s="53"/>
    </row>
    <row r="587" spans="5:9" x14ac:dyDescent="0.3">
      <c r="E587" s="53"/>
      <c r="F587" s="53"/>
      <c r="G587" s="53"/>
      <c r="H587" s="53"/>
      <c r="I587" s="53"/>
    </row>
    <row r="588" spans="5:9" x14ac:dyDescent="0.3">
      <c r="E588" s="53"/>
      <c r="F588" s="53"/>
      <c r="G588" s="53"/>
      <c r="H588" s="53"/>
      <c r="I588" s="53"/>
    </row>
    <row r="589" spans="5:9" x14ac:dyDescent="0.3">
      <c r="E589" s="53"/>
      <c r="F589" s="53"/>
      <c r="G589" s="53"/>
      <c r="H589" s="53"/>
      <c r="I589" s="53"/>
    </row>
    <row r="590" spans="5:9" x14ac:dyDescent="0.3">
      <c r="E590" s="53"/>
      <c r="F590" s="53"/>
      <c r="G590" s="53"/>
      <c r="H590" s="53"/>
      <c r="I590" s="53"/>
    </row>
    <row r="591" spans="5:9" x14ac:dyDescent="0.3">
      <c r="E591" s="53"/>
      <c r="F591" s="53"/>
      <c r="G591" s="53"/>
      <c r="H591" s="53"/>
      <c r="I591" s="53"/>
    </row>
    <row r="592" spans="5:9" x14ac:dyDescent="0.3">
      <c r="E592" s="53"/>
      <c r="F592" s="53"/>
      <c r="G592" s="53"/>
      <c r="H592" s="53"/>
      <c r="I592" s="53"/>
    </row>
    <row r="593" spans="5:9" x14ac:dyDescent="0.3">
      <c r="E593" s="53"/>
      <c r="F593" s="53"/>
      <c r="G593" s="53"/>
      <c r="H593" s="53"/>
      <c r="I593" s="53"/>
    </row>
    <row r="594" spans="5:9" x14ac:dyDescent="0.3">
      <c r="E594" s="53"/>
      <c r="F594" s="53"/>
      <c r="G594" s="53"/>
      <c r="H594" s="53"/>
      <c r="I594" s="53"/>
    </row>
    <row r="595" spans="5:9" x14ac:dyDescent="0.3">
      <c r="E595" s="53"/>
      <c r="F595" s="53"/>
      <c r="G595" s="53"/>
      <c r="H595" s="53"/>
      <c r="I595" s="53"/>
    </row>
    <row r="596" spans="5:9" x14ac:dyDescent="0.3">
      <c r="E596" s="53"/>
      <c r="F596" s="53"/>
      <c r="G596" s="53"/>
      <c r="H596" s="53"/>
      <c r="I596" s="53"/>
    </row>
    <row r="597" spans="5:9" x14ac:dyDescent="0.3">
      <c r="E597" s="53"/>
      <c r="F597" s="53"/>
      <c r="G597" s="53"/>
      <c r="H597" s="53"/>
      <c r="I597" s="53"/>
    </row>
    <row r="598" spans="5:9" x14ac:dyDescent="0.3">
      <c r="E598" s="53"/>
      <c r="F598" s="53"/>
      <c r="G598" s="53"/>
      <c r="H598" s="53"/>
      <c r="I598" s="53"/>
    </row>
    <row r="599" spans="5:9" x14ac:dyDescent="0.3">
      <c r="E599" s="53"/>
      <c r="F599" s="53"/>
      <c r="G599" s="53"/>
      <c r="H599" s="53"/>
      <c r="I599" s="53"/>
    </row>
    <row r="600" spans="5:9" x14ac:dyDescent="0.3">
      <c r="E600" s="53"/>
      <c r="F600" s="53"/>
      <c r="G600" s="53"/>
      <c r="H600" s="53"/>
      <c r="I600" s="53"/>
    </row>
    <row r="601" spans="5:9" x14ac:dyDescent="0.3">
      <c r="E601" s="53"/>
      <c r="F601" s="53"/>
      <c r="G601" s="53"/>
      <c r="H601" s="53"/>
      <c r="I601" s="53"/>
    </row>
    <row r="602" spans="5:9" x14ac:dyDescent="0.3">
      <c r="E602" s="53"/>
      <c r="F602" s="53"/>
      <c r="G602" s="53"/>
      <c r="H602" s="53"/>
      <c r="I602" s="53"/>
    </row>
    <row r="603" spans="5:9" x14ac:dyDescent="0.3">
      <c r="E603" s="53"/>
      <c r="F603" s="53"/>
      <c r="G603" s="53"/>
      <c r="H603" s="53"/>
      <c r="I603" s="53"/>
    </row>
    <row r="604" spans="5:9" x14ac:dyDescent="0.3">
      <c r="E604" s="53"/>
      <c r="F604" s="53"/>
      <c r="G604" s="53"/>
      <c r="H604" s="53"/>
      <c r="I604" s="53"/>
    </row>
    <row r="605" spans="5:9" x14ac:dyDescent="0.3">
      <c r="E605" s="53"/>
      <c r="F605" s="53"/>
      <c r="G605" s="53"/>
      <c r="H605" s="53"/>
      <c r="I605" s="53"/>
    </row>
    <row r="606" spans="5:9" x14ac:dyDescent="0.3">
      <c r="E606" s="53"/>
      <c r="F606" s="53"/>
      <c r="G606" s="53"/>
      <c r="H606" s="53"/>
      <c r="I606" s="53"/>
    </row>
    <row r="607" spans="5:9" x14ac:dyDescent="0.3">
      <c r="E607" s="53"/>
      <c r="F607" s="53"/>
      <c r="G607" s="53"/>
      <c r="H607" s="53"/>
      <c r="I607" s="53"/>
    </row>
    <row r="608" spans="5:9" x14ac:dyDescent="0.3">
      <c r="E608" s="53"/>
      <c r="F608" s="53"/>
      <c r="G608" s="53"/>
      <c r="H608" s="53"/>
      <c r="I608" s="53"/>
    </row>
    <row r="609" spans="5:9" x14ac:dyDescent="0.3">
      <c r="E609" s="53"/>
      <c r="F609" s="53"/>
      <c r="G609" s="53"/>
      <c r="H609" s="53"/>
      <c r="I609" s="53"/>
    </row>
    <row r="610" spans="5:9" x14ac:dyDescent="0.3">
      <c r="E610" s="53"/>
      <c r="F610" s="53"/>
      <c r="G610" s="53"/>
      <c r="H610" s="53"/>
      <c r="I610" s="53"/>
    </row>
    <row r="611" spans="5:9" x14ac:dyDescent="0.3">
      <c r="E611" s="53"/>
      <c r="F611" s="53"/>
      <c r="G611" s="53"/>
      <c r="H611" s="53"/>
      <c r="I611" s="53"/>
    </row>
    <row r="612" spans="5:9" x14ac:dyDescent="0.3">
      <c r="E612" s="53"/>
      <c r="F612" s="53"/>
      <c r="G612" s="53"/>
      <c r="H612" s="53"/>
      <c r="I612" s="53"/>
    </row>
    <row r="613" spans="5:9" x14ac:dyDescent="0.3">
      <c r="E613" s="53"/>
      <c r="F613" s="53"/>
      <c r="G613" s="53"/>
      <c r="H613" s="53"/>
      <c r="I613" s="53"/>
    </row>
    <row r="614" spans="5:9" x14ac:dyDescent="0.3">
      <c r="E614" s="53"/>
      <c r="F614" s="53"/>
      <c r="G614" s="53"/>
      <c r="H614" s="53"/>
      <c r="I614" s="53"/>
    </row>
    <row r="615" spans="5:9" x14ac:dyDescent="0.3">
      <c r="E615" s="53"/>
      <c r="F615" s="53"/>
      <c r="G615" s="53"/>
      <c r="H615" s="53"/>
      <c r="I615" s="53"/>
    </row>
    <row r="616" spans="5:9" x14ac:dyDescent="0.3">
      <c r="E616" s="53"/>
      <c r="F616" s="53"/>
      <c r="G616" s="53"/>
      <c r="H616" s="53"/>
      <c r="I616" s="53"/>
    </row>
    <row r="617" spans="5:9" x14ac:dyDescent="0.3">
      <c r="E617" s="53"/>
      <c r="F617" s="53"/>
      <c r="G617" s="53"/>
      <c r="H617" s="53"/>
      <c r="I617" s="53"/>
    </row>
    <row r="618" spans="5:9" x14ac:dyDescent="0.3">
      <c r="E618" s="53"/>
      <c r="F618" s="53"/>
      <c r="G618" s="53"/>
      <c r="H618" s="53"/>
      <c r="I618" s="53"/>
    </row>
    <row r="619" spans="5:9" x14ac:dyDescent="0.3">
      <c r="E619" s="53"/>
      <c r="F619" s="53"/>
      <c r="G619" s="53"/>
      <c r="H619" s="53"/>
      <c r="I619" s="53"/>
    </row>
    <row r="620" spans="5:9" x14ac:dyDescent="0.3">
      <c r="E620" s="53"/>
      <c r="F620" s="53"/>
      <c r="G620" s="53"/>
      <c r="H620" s="53"/>
      <c r="I620" s="53"/>
    </row>
    <row r="621" spans="5:9" x14ac:dyDescent="0.3">
      <c r="E621" s="53"/>
      <c r="F621" s="53"/>
      <c r="G621" s="53"/>
      <c r="H621" s="53"/>
      <c r="I621" s="53"/>
    </row>
    <row r="622" spans="5:9" x14ac:dyDescent="0.3">
      <c r="E622" s="53"/>
      <c r="F622" s="53"/>
      <c r="G622" s="53"/>
      <c r="H622" s="53"/>
      <c r="I622" s="53"/>
    </row>
    <row r="623" spans="5:9" x14ac:dyDescent="0.3">
      <c r="E623" s="53"/>
      <c r="F623" s="53"/>
      <c r="G623" s="53"/>
      <c r="H623" s="53"/>
      <c r="I623" s="53"/>
    </row>
    <row r="624" spans="5:9" x14ac:dyDescent="0.3">
      <c r="E624" s="53"/>
      <c r="F624" s="53"/>
      <c r="G624" s="53"/>
      <c r="H624" s="53"/>
      <c r="I624" s="53"/>
    </row>
    <row r="625" spans="5:9" x14ac:dyDescent="0.3">
      <c r="E625" s="53"/>
      <c r="F625" s="53"/>
      <c r="G625" s="53"/>
      <c r="H625" s="53"/>
      <c r="I625" s="53"/>
    </row>
    <row r="626" spans="5:9" x14ac:dyDescent="0.3">
      <c r="E626" s="53"/>
      <c r="F626" s="53"/>
      <c r="G626" s="53"/>
      <c r="H626" s="53"/>
      <c r="I626" s="53"/>
    </row>
    <row r="627" spans="5:9" x14ac:dyDescent="0.3">
      <c r="E627" s="53"/>
      <c r="F627" s="53"/>
      <c r="G627" s="53"/>
      <c r="H627" s="53"/>
      <c r="I627" s="53"/>
    </row>
    <row r="628" spans="5:9" x14ac:dyDescent="0.3">
      <c r="E628" s="53"/>
      <c r="F628" s="53"/>
      <c r="G628" s="53"/>
      <c r="H628" s="53"/>
      <c r="I628" s="53"/>
    </row>
    <row r="629" spans="5:9" x14ac:dyDescent="0.3">
      <c r="E629" s="53"/>
      <c r="F629" s="53"/>
      <c r="G629" s="53"/>
      <c r="H629" s="53"/>
      <c r="I629" s="53"/>
    </row>
    <row r="630" spans="5:9" x14ac:dyDescent="0.3">
      <c r="E630" s="53"/>
      <c r="F630" s="53"/>
      <c r="G630" s="53"/>
      <c r="H630" s="53"/>
      <c r="I630" s="53"/>
    </row>
    <row r="631" spans="5:9" x14ac:dyDescent="0.3">
      <c r="E631" s="53"/>
      <c r="F631" s="53"/>
      <c r="G631" s="53"/>
      <c r="H631" s="53"/>
      <c r="I631" s="53"/>
    </row>
    <row r="632" spans="5:9" x14ac:dyDescent="0.3">
      <c r="E632" s="53"/>
      <c r="F632" s="53"/>
      <c r="G632" s="53"/>
      <c r="H632" s="53"/>
      <c r="I632" s="53"/>
    </row>
    <row r="633" spans="5:9" x14ac:dyDescent="0.3">
      <c r="E633" s="53"/>
      <c r="F633" s="53"/>
      <c r="G633" s="53"/>
      <c r="H633" s="53"/>
      <c r="I633" s="53"/>
    </row>
    <row r="634" spans="5:9" x14ac:dyDescent="0.3">
      <c r="E634" s="53"/>
      <c r="F634" s="53"/>
      <c r="G634" s="53"/>
      <c r="H634" s="53"/>
      <c r="I634" s="53"/>
    </row>
    <row r="635" spans="5:9" x14ac:dyDescent="0.3">
      <c r="E635" s="53"/>
      <c r="F635" s="53"/>
      <c r="G635" s="53"/>
      <c r="H635" s="53"/>
      <c r="I635" s="53"/>
    </row>
    <row r="636" spans="5:9" x14ac:dyDescent="0.3">
      <c r="E636" s="53"/>
      <c r="F636" s="53"/>
      <c r="G636" s="53"/>
      <c r="H636" s="53"/>
      <c r="I636" s="53"/>
    </row>
    <row r="637" spans="5:9" x14ac:dyDescent="0.3">
      <c r="E637" s="53"/>
      <c r="F637" s="53"/>
      <c r="G637" s="53"/>
      <c r="H637" s="53"/>
      <c r="I637" s="53"/>
    </row>
    <row r="638" spans="5:9" x14ac:dyDescent="0.3">
      <c r="E638" s="53"/>
      <c r="F638" s="53"/>
      <c r="G638" s="53"/>
      <c r="H638" s="53"/>
      <c r="I638" s="53"/>
    </row>
    <row r="639" spans="5:9" x14ac:dyDescent="0.3">
      <c r="E639" s="53"/>
      <c r="F639" s="53"/>
      <c r="G639" s="53"/>
      <c r="H639" s="53"/>
      <c r="I639" s="53"/>
    </row>
    <row r="640" spans="5:9" x14ac:dyDescent="0.3">
      <c r="E640" s="53"/>
      <c r="F640" s="53"/>
      <c r="G640" s="53"/>
      <c r="H640" s="53"/>
      <c r="I640" s="53"/>
    </row>
    <row r="641" spans="5:9" x14ac:dyDescent="0.3">
      <c r="E641" s="53"/>
      <c r="F641" s="53"/>
      <c r="G641" s="53"/>
      <c r="H641" s="53"/>
      <c r="I641" s="53"/>
    </row>
    <row r="642" spans="5:9" x14ac:dyDescent="0.3">
      <c r="E642" s="53"/>
      <c r="F642" s="53"/>
      <c r="G642" s="53"/>
      <c r="H642" s="53"/>
      <c r="I642" s="53"/>
    </row>
    <row r="643" spans="5:9" x14ac:dyDescent="0.3">
      <c r="E643" s="53"/>
      <c r="F643" s="53"/>
      <c r="G643" s="53"/>
      <c r="H643" s="53"/>
      <c r="I643" s="53"/>
    </row>
    <row r="644" spans="5:9" x14ac:dyDescent="0.3">
      <c r="E644" s="53"/>
      <c r="F644" s="53"/>
      <c r="G644" s="53"/>
      <c r="H644" s="53"/>
      <c r="I644" s="53"/>
    </row>
    <row r="645" spans="5:9" x14ac:dyDescent="0.3">
      <c r="E645" s="53"/>
      <c r="F645" s="53"/>
      <c r="G645" s="53"/>
      <c r="H645" s="53"/>
      <c r="I645" s="53"/>
    </row>
    <row r="646" spans="5:9" x14ac:dyDescent="0.3">
      <c r="E646" s="53"/>
      <c r="F646" s="53"/>
      <c r="G646" s="53"/>
      <c r="H646" s="53"/>
      <c r="I646" s="53"/>
    </row>
    <row r="647" spans="5:9" x14ac:dyDescent="0.3">
      <c r="E647" s="53"/>
      <c r="F647" s="53"/>
      <c r="G647" s="53"/>
      <c r="H647" s="53"/>
      <c r="I647" s="53"/>
    </row>
    <row r="648" spans="5:9" x14ac:dyDescent="0.3">
      <c r="E648" s="53"/>
      <c r="F648" s="53"/>
      <c r="G648" s="53"/>
      <c r="H648" s="53"/>
      <c r="I648" s="53"/>
    </row>
    <row r="649" spans="5:9" x14ac:dyDescent="0.3">
      <c r="E649" s="53"/>
      <c r="F649" s="53"/>
      <c r="G649" s="53"/>
      <c r="H649" s="53"/>
      <c r="I649" s="53"/>
    </row>
    <row r="650" spans="5:9" x14ac:dyDescent="0.3">
      <c r="E650" s="53"/>
      <c r="F650" s="53"/>
      <c r="G650" s="53"/>
      <c r="H650" s="53"/>
      <c r="I650" s="53"/>
    </row>
    <row r="651" spans="5:9" x14ac:dyDescent="0.3">
      <c r="E651" s="53"/>
      <c r="F651" s="53"/>
      <c r="G651" s="53"/>
      <c r="H651" s="53"/>
      <c r="I651" s="53"/>
    </row>
    <row r="652" spans="5:9" x14ac:dyDescent="0.3">
      <c r="E652" s="53"/>
      <c r="F652" s="53"/>
      <c r="G652" s="53"/>
      <c r="H652" s="53"/>
      <c r="I652" s="53"/>
    </row>
    <row r="653" spans="5:9" x14ac:dyDescent="0.3">
      <c r="E653" s="53"/>
      <c r="F653" s="53"/>
      <c r="G653" s="53"/>
      <c r="H653" s="53"/>
      <c r="I653" s="53"/>
    </row>
    <row r="654" spans="5:9" x14ac:dyDescent="0.3">
      <c r="E654" s="53"/>
      <c r="F654" s="53"/>
      <c r="G654" s="53"/>
      <c r="H654" s="53"/>
      <c r="I654" s="53"/>
    </row>
    <row r="655" spans="5:9" x14ac:dyDescent="0.3">
      <c r="E655" s="53"/>
      <c r="F655" s="53"/>
      <c r="G655" s="53"/>
      <c r="H655" s="53"/>
      <c r="I655" s="53"/>
    </row>
    <row r="656" spans="5:9" x14ac:dyDescent="0.3">
      <c r="E656" s="53"/>
      <c r="F656" s="53"/>
      <c r="G656" s="53"/>
      <c r="H656" s="53"/>
      <c r="I656" s="53"/>
    </row>
    <row r="657" spans="5:9" x14ac:dyDescent="0.3">
      <c r="E657" s="53"/>
      <c r="F657" s="53"/>
      <c r="G657" s="53"/>
      <c r="H657" s="53"/>
      <c r="I657" s="53"/>
    </row>
    <row r="658" spans="5:9" x14ac:dyDescent="0.3">
      <c r="E658" s="53"/>
      <c r="F658" s="53"/>
      <c r="G658" s="53"/>
      <c r="H658" s="53"/>
      <c r="I658" s="53"/>
    </row>
    <row r="659" spans="5:9" x14ac:dyDescent="0.3">
      <c r="E659" s="53"/>
      <c r="F659" s="53"/>
      <c r="G659" s="53"/>
      <c r="H659" s="53"/>
      <c r="I659" s="53"/>
    </row>
    <row r="660" spans="5:9" x14ac:dyDescent="0.3">
      <c r="E660" s="53"/>
      <c r="F660" s="53"/>
      <c r="G660" s="53"/>
      <c r="H660" s="53"/>
      <c r="I660" s="53"/>
    </row>
    <row r="661" spans="5:9" x14ac:dyDescent="0.3">
      <c r="E661" s="53"/>
      <c r="F661" s="53"/>
      <c r="G661" s="53"/>
      <c r="H661" s="53"/>
      <c r="I661" s="53"/>
    </row>
    <row r="662" spans="5:9" x14ac:dyDescent="0.3">
      <c r="E662" s="53"/>
      <c r="F662" s="53"/>
      <c r="G662" s="53"/>
      <c r="H662" s="53"/>
      <c r="I662" s="53"/>
    </row>
    <row r="663" spans="5:9" x14ac:dyDescent="0.3">
      <c r="E663" s="53"/>
      <c r="F663" s="53"/>
      <c r="G663" s="53"/>
      <c r="H663" s="53"/>
      <c r="I663" s="53"/>
    </row>
    <row r="664" spans="5:9" x14ac:dyDescent="0.3">
      <c r="E664" s="53"/>
      <c r="F664" s="53"/>
      <c r="G664" s="53"/>
      <c r="H664" s="53"/>
      <c r="I664" s="53"/>
    </row>
    <row r="665" spans="5:9" x14ac:dyDescent="0.3">
      <c r="E665" s="53"/>
      <c r="F665" s="53"/>
      <c r="G665" s="53"/>
      <c r="H665" s="53"/>
      <c r="I665" s="53"/>
    </row>
    <row r="666" spans="5:9" x14ac:dyDescent="0.3">
      <c r="E666" s="53"/>
      <c r="F666" s="53"/>
      <c r="G666" s="53"/>
      <c r="H666" s="53"/>
      <c r="I666" s="53"/>
    </row>
    <row r="667" spans="5:9" x14ac:dyDescent="0.3">
      <c r="E667" s="53"/>
      <c r="F667" s="53"/>
      <c r="G667" s="53"/>
      <c r="H667" s="53"/>
      <c r="I667" s="53"/>
    </row>
    <row r="668" spans="5:9" x14ac:dyDescent="0.3">
      <c r="E668" s="53"/>
      <c r="F668" s="53"/>
      <c r="G668" s="53"/>
      <c r="H668" s="53"/>
      <c r="I668" s="53"/>
    </row>
    <row r="669" spans="5:9" x14ac:dyDescent="0.3">
      <c r="E669" s="53"/>
      <c r="F669" s="53"/>
      <c r="G669" s="53"/>
      <c r="H669" s="53"/>
      <c r="I669" s="53"/>
    </row>
    <row r="670" spans="5:9" x14ac:dyDescent="0.3">
      <c r="E670" s="53"/>
      <c r="F670" s="53"/>
      <c r="G670" s="53"/>
      <c r="H670" s="53"/>
      <c r="I670" s="53"/>
    </row>
    <row r="671" spans="5:9" x14ac:dyDescent="0.3">
      <c r="E671" s="53"/>
      <c r="F671" s="53"/>
      <c r="G671" s="53"/>
      <c r="H671" s="53"/>
      <c r="I671" s="53"/>
    </row>
    <row r="672" spans="5:9" x14ac:dyDescent="0.3">
      <c r="E672" s="53"/>
      <c r="F672" s="53"/>
      <c r="G672" s="53"/>
      <c r="H672" s="53"/>
      <c r="I672" s="53"/>
    </row>
    <row r="673" spans="5:9" x14ac:dyDescent="0.3">
      <c r="E673" s="53"/>
      <c r="F673" s="53"/>
      <c r="G673" s="53"/>
      <c r="H673" s="53"/>
      <c r="I673" s="53"/>
    </row>
    <row r="674" spans="5:9" x14ac:dyDescent="0.3">
      <c r="E674" s="53"/>
      <c r="F674" s="53"/>
      <c r="G674" s="53"/>
      <c r="H674" s="53"/>
      <c r="I674" s="53"/>
    </row>
    <row r="675" spans="5:9" x14ac:dyDescent="0.3">
      <c r="E675" s="53"/>
      <c r="F675" s="53"/>
      <c r="G675" s="53"/>
      <c r="H675" s="53"/>
      <c r="I675" s="53"/>
    </row>
    <row r="676" spans="5:9" x14ac:dyDescent="0.3">
      <c r="E676" s="53"/>
      <c r="F676" s="53"/>
      <c r="G676" s="53"/>
      <c r="H676" s="53"/>
      <c r="I676" s="53"/>
    </row>
    <row r="677" spans="5:9" x14ac:dyDescent="0.3">
      <c r="E677" s="53"/>
      <c r="F677" s="53"/>
      <c r="G677" s="53"/>
      <c r="H677" s="53"/>
      <c r="I677" s="53"/>
    </row>
    <row r="678" spans="5:9" x14ac:dyDescent="0.3">
      <c r="E678" s="53"/>
      <c r="F678" s="53"/>
      <c r="G678" s="53"/>
      <c r="H678" s="53"/>
      <c r="I678" s="53"/>
    </row>
    <row r="679" spans="5:9" x14ac:dyDescent="0.3">
      <c r="E679" s="53"/>
      <c r="F679" s="53"/>
      <c r="G679" s="53"/>
      <c r="H679" s="53"/>
      <c r="I679" s="53"/>
    </row>
    <row r="680" spans="5:9" x14ac:dyDescent="0.3">
      <c r="E680" s="53"/>
      <c r="F680" s="53"/>
      <c r="G680" s="53"/>
      <c r="H680" s="53"/>
      <c r="I680" s="53"/>
    </row>
    <row r="681" spans="5:9" x14ac:dyDescent="0.3">
      <c r="E681" s="53"/>
      <c r="F681" s="53"/>
      <c r="G681" s="53"/>
      <c r="H681" s="53"/>
      <c r="I681" s="53"/>
    </row>
    <row r="682" spans="5:9" x14ac:dyDescent="0.3">
      <c r="E682" s="53"/>
      <c r="F682" s="53"/>
      <c r="G682" s="53"/>
      <c r="H682" s="53"/>
      <c r="I682" s="53"/>
    </row>
    <row r="683" spans="5:9" x14ac:dyDescent="0.3">
      <c r="E683" s="53"/>
      <c r="F683" s="53"/>
      <c r="G683" s="53"/>
      <c r="H683" s="53"/>
      <c r="I683" s="53"/>
    </row>
    <row r="684" spans="5:9" x14ac:dyDescent="0.3">
      <c r="E684" s="53"/>
      <c r="F684" s="53"/>
      <c r="G684" s="53"/>
      <c r="H684" s="53"/>
      <c r="I684" s="53"/>
    </row>
    <row r="685" spans="5:9" x14ac:dyDescent="0.3">
      <c r="E685" s="53"/>
      <c r="F685" s="53"/>
      <c r="G685" s="53"/>
      <c r="H685" s="53"/>
      <c r="I685" s="53"/>
    </row>
    <row r="686" spans="5:9" x14ac:dyDescent="0.3">
      <c r="E686" s="53"/>
      <c r="F686" s="53"/>
      <c r="G686" s="53"/>
      <c r="H686" s="53"/>
      <c r="I686" s="53"/>
    </row>
    <row r="687" spans="5:9" x14ac:dyDescent="0.3">
      <c r="E687" s="53"/>
      <c r="F687" s="53"/>
      <c r="G687" s="53"/>
      <c r="H687" s="53"/>
      <c r="I687" s="53"/>
    </row>
    <row r="688" spans="5:9" x14ac:dyDescent="0.3">
      <c r="E688" s="53"/>
      <c r="F688" s="53"/>
      <c r="G688" s="53"/>
      <c r="H688" s="53"/>
      <c r="I688" s="53"/>
    </row>
    <row r="689" spans="5:9" x14ac:dyDescent="0.3">
      <c r="E689" s="53"/>
      <c r="F689" s="53"/>
      <c r="G689" s="53"/>
      <c r="H689" s="53"/>
      <c r="I689" s="53"/>
    </row>
    <row r="690" spans="5:9" x14ac:dyDescent="0.3">
      <c r="E690" s="53"/>
      <c r="F690" s="53"/>
      <c r="G690" s="53"/>
      <c r="H690" s="53"/>
      <c r="I690" s="53"/>
    </row>
    <row r="691" spans="5:9" x14ac:dyDescent="0.3">
      <c r="E691" s="53"/>
      <c r="F691" s="53"/>
      <c r="G691" s="53"/>
      <c r="H691" s="53"/>
      <c r="I691" s="53"/>
    </row>
    <row r="692" spans="5:9" x14ac:dyDescent="0.3">
      <c r="E692" s="53"/>
      <c r="F692" s="53"/>
      <c r="G692" s="53"/>
      <c r="H692" s="53"/>
      <c r="I692" s="53"/>
    </row>
    <row r="693" spans="5:9" x14ac:dyDescent="0.3">
      <c r="E693" s="53"/>
      <c r="F693" s="53"/>
      <c r="G693" s="53"/>
      <c r="H693" s="53"/>
      <c r="I693" s="53"/>
    </row>
    <row r="694" spans="5:9" x14ac:dyDescent="0.3">
      <c r="E694" s="53"/>
      <c r="F694" s="53"/>
      <c r="G694" s="53"/>
      <c r="H694" s="53"/>
      <c r="I694" s="53"/>
    </row>
    <row r="695" spans="5:9" x14ac:dyDescent="0.3">
      <c r="E695" s="53"/>
      <c r="F695" s="53"/>
      <c r="G695" s="53"/>
      <c r="H695" s="53"/>
      <c r="I695" s="53"/>
    </row>
    <row r="696" spans="5:9" x14ac:dyDescent="0.3">
      <c r="E696" s="53"/>
      <c r="F696" s="53"/>
      <c r="G696" s="53"/>
      <c r="H696" s="53"/>
      <c r="I696" s="53"/>
    </row>
    <row r="697" spans="5:9" x14ac:dyDescent="0.3">
      <c r="E697" s="53"/>
      <c r="F697" s="53"/>
      <c r="G697" s="53"/>
      <c r="H697" s="53"/>
      <c r="I697" s="53"/>
    </row>
    <row r="698" spans="5:9" x14ac:dyDescent="0.3">
      <c r="E698" s="53"/>
      <c r="F698" s="53"/>
      <c r="G698" s="53"/>
      <c r="H698" s="53"/>
      <c r="I698" s="53"/>
    </row>
    <row r="699" spans="5:9" x14ac:dyDescent="0.3">
      <c r="E699" s="53"/>
      <c r="F699" s="53"/>
      <c r="G699" s="53"/>
      <c r="H699" s="53"/>
      <c r="I699" s="53"/>
    </row>
    <row r="700" spans="5:9" x14ac:dyDescent="0.3">
      <c r="E700" s="53"/>
      <c r="F700" s="53"/>
      <c r="G700" s="53"/>
      <c r="H700" s="53"/>
      <c r="I700" s="53"/>
    </row>
    <row r="701" spans="5:9" x14ac:dyDescent="0.3">
      <c r="E701" s="53"/>
      <c r="F701" s="53"/>
      <c r="G701" s="53"/>
      <c r="H701" s="53"/>
      <c r="I701" s="53"/>
    </row>
    <row r="702" spans="5:9" x14ac:dyDescent="0.3">
      <c r="E702" s="53"/>
      <c r="F702" s="53"/>
      <c r="G702" s="53"/>
      <c r="H702" s="53"/>
      <c r="I702" s="53"/>
    </row>
    <row r="703" spans="5:9" x14ac:dyDescent="0.3">
      <c r="E703" s="53"/>
      <c r="F703" s="53"/>
      <c r="G703" s="53"/>
      <c r="H703" s="53"/>
      <c r="I703" s="53"/>
    </row>
    <row r="704" spans="5:9" x14ac:dyDescent="0.3">
      <c r="E704" s="53"/>
      <c r="F704" s="53"/>
      <c r="G704" s="53"/>
      <c r="H704" s="53"/>
      <c r="I704" s="53"/>
    </row>
    <row r="705" spans="5:9" x14ac:dyDescent="0.3">
      <c r="E705" s="53"/>
      <c r="F705" s="53"/>
      <c r="G705" s="53"/>
      <c r="H705" s="53"/>
      <c r="I705" s="53"/>
    </row>
    <row r="706" spans="5:9" x14ac:dyDescent="0.3">
      <c r="E706" s="53"/>
      <c r="F706" s="53"/>
      <c r="G706" s="53"/>
      <c r="H706" s="53"/>
      <c r="I706" s="53"/>
    </row>
    <row r="707" spans="5:9" x14ac:dyDescent="0.3">
      <c r="E707" s="53"/>
      <c r="F707" s="53"/>
      <c r="G707" s="53"/>
      <c r="H707" s="53"/>
      <c r="I707" s="53"/>
    </row>
    <row r="708" spans="5:9" x14ac:dyDescent="0.3">
      <c r="E708" s="53"/>
      <c r="F708" s="53"/>
      <c r="G708" s="53"/>
      <c r="H708" s="53"/>
      <c r="I708" s="53"/>
    </row>
    <row r="709" spans="5:9" x14ac:dyDescent="0.3">
      <c r="E709" s="53"/>
      <c r="F709" s="53"/>
      <c r="G709" s="53"/>
      <c r="H709" s="53"/>
      <c r="I709" s="53"/>
    </row>
    <row r="710" spans="5:9" x14ac:dyDescent="0.3">
      <c r="E710" s="53"/>
      <c r="F710" s="53"/>
      <c r="G710" s="53"/>
      <c r="H710" s="53"/>
      <c r="I710" s="53"/>
    </row>
    <row r="711" spans="5:9" x14ac:dyDescent="0.3">
      <c r="E711" s="53"/>
      <c r="F711" s="53"/>
      <c r="G711" s="53"/>
      <c r="H711" s="53"/>
      <c r="I711" s="53"/>
    </row>
    <row r="712" spans="5:9" x14ac:dyDescent="0.3">
      <c r="E712" s="53"/>
      <c r="F712" s="53"/>
      <c r="G712" s="53"/>
      <c r="H712" s="53"/>
      <c r="I712" s="53"/>
    </row>
    <row r="713" spans="5:9" x14ac:dyDescent="0.3">
      <c r="E713" s="53"/>
      <c r="F713" s="53"/>
      <c r="G713" s="53"/>
      <c r="H713" s="53"/>
      <c r="I713" s="53"/>
    </row>
    <row r="714" spans="5:9" x14ac:dyDescent="0.3">
      <c r="E714" s="53"/>
      <c r="F714" s="53"/>
      <c r="G714" s="53"/>
      <c r="H714" s="53"/>
      <c r="I714" s="53"/>
    </row>
    <row r="715" spans="5:9" x14ac:dyDescent="0.3">
      <c r="E715" s="53"/>
      <c r="F715" s="53"/>
      <c r="G715" s="53"/>
      <c r="H715" s="53"/>
      <c r="I715" s="53"/>
    </row>
    <row r="716" spans="5:9" x14ac:dyDescent="0.3">
      <c r="E716" s="53"/>
      <c r="F716" s="53"/>
      <c r="G716" s="53"/>
      <c r="H716" s="53"/>
      <c r="I716" s="53"/>
    </row>
    <row r="717" spans="5:9" x14ac:dyDescent="0.3">
      <c r="E717" s="53"/>
      <c r="F717" s="53"/>
      <c r="G717" s="53"/>
      <c r="H717" s="53"/>
      <c r="I717" s="53"/>
    </row>
    <row r="718" spans="5:9" x14ac:dyDescent="0.3">
      <c r="E718" s="53"/>
      <c r="F718" s="53"/>
      <c r="G718" s="53"/>
      <c r="H718" s="53"/>
      <c r="I718" s="53"/>
    </row>
    <row r="719" spans="5:9" x14ac:dyDescent="0.3">
      <c r="E719" s="53"/>
      <c r="F719" s="53"/>
      <c r="G719" s="53"/>
      <c r="H719" s="53"/>
      <c r="I719" s="53"/>
    </row>
    <row r="720" spans="5:9" x14ac:dyDescent="0.3">
      <c r="E720" s="53"/>
      <c r="F720" s="53"/>
      <c r="G720" s="53"/>
      <c r="H720" s="53"/>
      <c r="I720" s="53"/>
    </row>
    <row r="721" spans="5:9" x14ac:dyDescent="0.3">
      <c r="E721" s="53"/>
      <c r="F721" s="53"/>
      <c r="G721" s="53"/>
      <c r="H721" s="53"/>
      <c r="I721" s="53"/>
    </row>
    <row r="722" spans="5:9" x14ac:dyDescent="0.3">
      <c r="E722" s="53"/>
      <c r="F722" s="53"/>
      <c r="G722" s="53"/>
      <c r="H722" s="53"/>
      <c r="I722" s="53"/>
    </row>
    <row r="723" spans="5:9" x14ac:dyDescent="0.3">
      <c r="E723" s="53"/>
      <c r="F723" s="53"/>
      <c r="G723" s="53"/>
      <c r="H723" s="53"/>
      <c r="I723" s="53"/>
    </row>
    <row r="724" spans="5:9" x14ac:dyDescent="0.3">
      <c r="E724" s="53"/>
      <c r="F724" s="53"/>
      <c r="G724" s="53"/>
      <c r="H724" s="53"/>
      <c r="I724" s="53"/>
    </row>
    <row r="725" spans="5:9" x14ac:dyDescent="0.3">
      <c r="E725" s="53"/>
      <c r="F725" s="53"/>
      <c r="G725" s="53"/>
      <c r="H725" s="53"/>
      <c r="I725" s="53"/>
    </row>
    <row r="726" spans="5:9" x14ac:dyDescent="0.3">
      <c r="E726" s="53"/>
      <c r="F726" s="53"/>
      <c r="G726" s="53"/>
      <c r="H726" s="53"/>
      <c r="I726" s="53"/>
    </row>
    <row r="727" spans="5:9" x14ac:dyDescent="0.3">
      <c r="E727" s="53"/>
      <c r="F727" s="53"/>
      <c r="G727" s="53"/>
      <c r="H727" s="53"/>
      <c r="I727" s="53"/>
    </row>
    <row r="728" spans="5:9" x14ac:dyDescent="0.3">
      <c r="E728" s="53"/>
      <c r="F728" s="53"/>
      <c r="G728" s="53"/>
      <c r="H728" s="53"/>
      <c r="I728" s="53"/>
    </row>
    <row r="729" spans="5:9" x14ac:dyDescent="0.3">
      <c r="E729" s="53"/>
      <c r="F729" s="53"/>
      <c r="G729" s="53"/>
      <c r="H729" s="53"/>
      <c r="I729" s="53"/>
    </row>
    <row r="730" spans="5:9" x14ac:dyDescent="0.3">
      <c r="E730" s="53"/>
      <c r="F730" s="53"/>
      <c r="G730" s="53"/>
      <c r="H730" s="53"/>
      <c r="I730" s="53"/>
    </row>
    <row r="731" spans="5:9" x14ac:dyDescent="0.3">
      <c r="E731" s="53"/>
      <c r="F731" s="53"/>
      <c r="G731" s="53"/>
      <c r="H731" s="53"/>
      <c r="I731" s="53"/>
    </row>
    <row r="732" spans="5:9" x14ac:dyDescent="0.3">
      <c r="E732" s="53"/>
      <c r="F732" s="53"/>
      <c r="G732" s="53"/>
      <c r="H732" s="53"/>
      <c r="I732" s="53"/>
    </row>
    <row r="733" spans="5:9" x14ac:dyDescent="0.3">
      <c r="E733" s="53"/>
      <c r="F733" s="53"/>
      <c r="G733" s="53"/>
      <c r="H733" s="53"/>
      <c r="I733" s="53"/>
    </row>
    <row r="734" spans="5:9" x14ac:dyDescent="0.3">
      <c r="E734" s="53"/>
      <c r="F734" s="53"/>
      <c r="G734" s="53"/>
      <c r="H734" s="53"/>
      <c r="I734" s="53"/>
    </row>
    <row r="735" spans="5:9" x14ac:dyDescent="0.3">
      <c r="E735" s="53"/>
      <c r="F735" s="53"/>
      <c r="G735" s="53"/>
      <c r="H735" s="53"/>
      <c r="I735" s="53"/>
    </row>
    <row r="736" spans="5:9" x14ac:dyDescent="0.3">
      <c r="E736" s="53"/>
      <c r="F736" s="53"/>
      <c r="G736" s="53"/>
      <c r="H736" s="53"/>
      <c r="I736" s="53"/>
    </row>
    <row r="737" spans="5:9" x14ac:dyDescent="0.3">
      <c r="E737" s="53"/>
      <c r="F737" s="53"/>
      <c r="G737" s="53"/>
      <c r="H737" s="53"/>
      <c r="I737" s="53"/>
    </row>
    <row r="738" spans="5:9" x14ac:dyDescent="0.3">
      <c r="E738" s="53"/>
      <c r="F738" s="53"/>
      <c r="G738" s="53"/>
      <c r="H738" s="53"/>
      <c r="I738" s="53"/>
    </row>
    <row r="739" spans="5:9" x14ac:dyDescent="0.3">
      <c r="E739" s="53"/>
      <c r="F739" s="53"/>
      <c r="G739" s="53"/>
      <c r="H739" s="53"/>
      <c r="I739" s="53"/>
    </row>
    <row r="740" spans="5:9" x14ac:dyDescent="0.3">
      <c r="E740" s="53"/>
      <c r="F740" s="53"/>
      <c r="G740" s="53"/>
      <c r="H740" s="53"/>
      <c r="I740" s="53"/>
    </row>
    <row r="741" spans="5:9" x14ac:dyDescent="0.3">
      <c r="E741" s="53"/>
      <c r="F741" s="53"/>
      <c r="G741" s="53"/>
      <c r="H741" s="53"/>
      <c r="I741" s="53"/>
    </row>
    <row r="742" spans="5:9" x14ac:dyDescent="0.3">
      <c r="E742" s="53"/>
      <c r="F742" s="53"/>
      <c r="G742" s="53"/>
      <c r="H742" s="53"/>
      <c r="I742" s="53"/>
    </row>
    <row r="743" spans="5:9" x14ac:dyDescent="0.3">
      <c r="E743" s="53"/>
      <c r="F743" s="53"/>
      <c r="G743" s="53"/>
      <c r="H743" s="53"/>
      <c r="I743" s="53"/>
    </row>
    <row r="744" spans="5:9" x14ac:dyDescent="0.3">
      <c r="E744" s="53"/>
      <c r="F744" s="53"/>
      <c r="G744" s="53"/>
      <c r="H744" s="53"/>
      <c r="I744" s="53"/>
    </row>
    <row r="745" spans="5:9" x14ac:dyDescent="0.3">
      <c r="E745" s="53"/>
      <c r="F745" s="53"/>
      <c r="G745" s="53"/>
      <c r="H745" s="53"/>
      <c r="I745" s="53"/>
    </row>
    <row r="746" spans="5:9" x14ac:dyDescent="0.3">
      <c r="E746" s="53"/>
      <c r="F746" s="53"/>
      <c r="G746" s="53"/>
      <c r="H746" s="53"/>
      <c r="I746" s="53"/>
    </row>
    <row r="747" spans="5:9" x14ac:dyDescent="0.3">
      <c r="E747" s="53"/>
      <c r="F747" s="53"/>
      <c r="G747" s="53"/>
      <c r="H747" s="53"/>
      <c r="I747" s="53"/>
    </row>
    <row r="748" spans="5:9" x14ac:dyDescent="0.3">
      <c r="E748" s="53"/>
      <c r="F748" s="53"/>
      <c r="G748" s="53"/>
      <c r="H748" s="53"/>
      <c r="I748" s="53"/>
    </row>
    <row r="749" spans="5:9" x14ac:dyDescent="0.3">
      <c r="E749" s="53"/>
      <c r="F749" s="53"/>
      <c r="G749" s="53"/>
      <c r="H749" s="53"/>
      <c r="I749" s="53"/>
    </row>
    <row r="750" spans="5:9" x14ac:dyDescent="0.3">
      <c r="E750" s="53"/>
      <c r="F750" s="53"/>
      <c r="G750" s="53"/>
      <c r="H750" s="53"/>
      <c r="I750" s="53"/>
    </row>
    <row r="751" spans="5:9" x14ac:dyDescent="0.3">
      <c r="E751" s="53"/>
      <c r="F751" s="53"/>
      <c r="G751" s="53"/>
      <c r="H751" s="53"/>
      <c r="I751" s="53"/>
    </row>
    <row r="752" spans="5:9" x14ac:dyDescent="0.3">
      <c r="E752" s="53"/>
      <c r="F752" s="53"/>
      <c r="G752" s="53"/>
      <c r="H752" s="53"/>
      <c r="I752" s="53"/>
    </row>
    <row r="753" spans="5:9" x14ac:dyDescent="0.3">
      <c r="E753" s="53"/>
      <c r="F753" s="53"/>
      <c r="G753" s="53"/>
      <c r="H753" s="53"/>
      <c r="I753" s="53"/>
    </row>
    <row r="754" spans="5:9" x14ac:dyDescent="0.3">
      <c r="E754" s="53"/>
      <c r="F754" s="53"/>
      <c r="G754" s="53"/>
      <c r="H754" s="53"/>
      <c r="I754" s="53"/>
    </row>
    <row r="755" spans="5:9" x14ac:dyDescent="0.3">
      <c r="E755" s="53"/>
      <c r="F755" s="53"/>
      <c r="G755" s="53"/>
      <c r="H755" s="53"/>
      <c r="I755" s="53"/>
    </row>
    <row r="756" spans="5:9" x14ac:dyDescent="0.3">
      <c r="E756" s="53"/>
      <c r="F756" s="53"/>
      <c r="G756" s="53"/>
      <c r="H756" s="53"/>
      <c r="I756" s="53"/>
    </row>
    <row r="757" spans="5:9" x14ac:dyDescent="0.3">
      <c r="E757" s="53"/>
      <c r="F757" s="53"/>
      <c r="G757" s="53"/>
      <c r="H757" s="53"/>
      <c r="I757" s="53"/>
    </row>
    <row r="758" spans="5:9" x14ac:dyDescent="0.3">
      <c r="E758" s="53"/>
      <c r="F758" s="53"/>
      <c r="G758" s="53"/>
      <c r="H758" s="53"/>
      <c r="I758" s="53"/>
    </row>
    <row r="759" spans="5:9" x14ac:dyDescent="0.3">
      <c r="E759" s="53"/>
      <c r="F759" s="53"/>
      <c r="G759" s="53"/>
      <c r="H759" s="53"/>
      <c r="I759" s="53"/>
    </row>
    <row r="760" spans="5:9" x14ac:dyDescent="0.3">
      <c r="E760" s="53"/>
      <c r="F760" s="53"/>
      <c r="G760" s="53"/>
      <c r="H760" s="53"/>
      <c r="I760" s="53"/>
    </row>
    <row r="761" spans="5:9" x14ac:dyDescent="0.3">
      <c r="E761" s="53"/>
      <c r="F761" s="53"/>
      <c r="G761" s="53"/>
      <c r="H761" s="53"/>
      <c r="I761" s="53"/>
    </row>
    <row r="762" spans="5:9" x14ac:dyDescent="0.3">
      <c r="E762" s="53"/>
      <c r="F762" s="53"/>
      <c r="G762" s="53"/>
      <c r="H762" s="53"/>
      <c r="I762" s="53"/>
    </row>
    <row r="763" spans="5:9" x14ac:dyDescent="0.3">
      <c r="E763" s="53"/>
      <c r="F763" s="53"/>
      <c r="G763" s="53"/>
      <c r="H763" s="53"/>
      <c r="I763" s="53"/>
    </row>
    <row r="764" spans="5:9" x14ac:dyDescent="0.3">
      <c r="E764" s="53"/>
      <c r="F764" s="53"/>
      <c r="G764" s="53"/>
      <c r="H764" s="53"/>
      <c r="I764" s="53"/>
    </row>
    <row r="765" spans="5:9" x14ac:dyDescent="0.3">
      <c r="E765" s="53"/>
      <c r="F765" s="53"/>
      <c r="G765" s="53"/>
      <c r="H765" s="53"/>
      <c r="I765" s="53"/>
    </row>
    <row r="766" spans="5:9" x14ac:dyDescent="0.3">
      <c r="E766" s="53"/>
      <c r="F766" s="53"/>
      <c r="G766" s="53"/>
      <c r="H766" s="53"/>
      <c r="I766" s="53"/>
    </row>
    <row r="767" spans="5:9" x14ac:dyDescent="0.3">
      <c r="E767" s="53"/>
      <c r="F767" s="53"/>
      <c r="G767" s="53"/>
      <c r="H767" s="53"/>
      <c r="I767" s="53"/>
    </row>
    <row r="768" spans="5:9" x14ac:dyDescent="0.3">
      <c r="E768" s="53"/>
      <c r="F768" s="53"/>
      <c r="G768" s="53"/>
      <c r="H768" s="53"/>
      <c r="I768" s="53"/>
    </row>
    <row r="769" spans="5:9" x14ac:dyDescent="0.3">
      <c r="E769" s="53"/>
      <c r="F769" s="53"/>
      <c r="G769" s="53"/>
      <c r="H769" s="53"/>
      <c r="I769" s="53"/>
    </row>
    <row r="770" spans="5:9" x14ac:dyDescent="0.3">
      <c r="E770" s="53"/>
      <c r="F770" s="53"/>
      <c r="G770" s="53"/>
      <c r="H770" s="53"/>
      <c r="I770" s="53"/>
    </row>
    <row r="771" spans="5:9" x14ac:dyDescent="0.3">
      <c r="E771" s="53"/>
      <c r="F771" s="53"/>
      <c r="G771" s="53"/>
      <c r="H771" s="53"/>
      <c r="I771" s="53"/>
    </row>
    <row r="772" spans="5:9" x14ac:dyDescent="0.3">
      <c r="E772" s="53"/>
      <c r="F772" s="53"/>
      <c r="G772" s="53"/>
      <c r="H772" s="53"/>
      <c r="I772" s="53"/>
    </row>
    <row r="773" spans="5:9" x14ac:dyDescent="0.3">
      <c r="E773" s="53"/>
      <c r="F773" s="53"/>
      <c r="G773" s="53"/>
      <c r="H773" s="53"/>
      <c r="I773" s="53"/>
    </row>
    <row r="774" spans="5:9" x14ac:dyDescent="0.3">
      <c r="E774" s="53"/>
      <c r="F774" s="53"/>
      <c r="G774" s="53"/>
      <c r="H774" s="53"/>
      <c r="I774" s="53"/>
    </row>
    <row r="775" spans="5:9" x14ac:dyDescent="0.3">
      <c r="E775" s="53"/>
      <c r="F775" s="53"/>
      <c r="G775" s="53"/>
      <c r="H775" s="53"/>
      <c r="I775" s="53"/>
    </row>
    <row r="776" spans="5:9" x14ac:dyDescent="0.3">
      <c r="E776" s="53"/>
      <c r="F776" s="53"/>
      <c r="G776" s="53"/>
      <c r="H776" s="53"/>
      <c r="I776" s="53"/>
    </row>
    <row r="777" spans="5:9" x14ac:dyDescent="0.3">
      <c r="E777" s="53"/>
      <c r="F777" s="53"/>
      <c r="G777" s="53"/>
      <c r="H777" s="53"/>
      <c r="I777" s="53"/>
    </row>
    <row r="778" spans="5:9" x14ac:dyDescent="0.3">
      <c r="E778" s="53"/>
      <c r="F778" s="53"/>
      <c r="G778" s="53"/>
      <c r="H778" s="53"/>
      <c r="I778" s="53"/>
    </row>
    <row r="779" spans="5:9" x14ac:dyDescent="0.3">
      <c r="E779" s="53"/>
      <c r="F779" s="53"/>
      <c r="G779" s="53"/>
      <c r="H779" s="53"/>
      <c r="I779" s="53"/>
    </row>
    <row r="780" spans="5:9" x14ac:dyDescent="0.3">
      <c r="E780" s="53"/>
      <c r="F780" s="53"/>
      <c r="G780" s="53"/>
      <c r="H780" s="53"/>
      <c r="I780" s="53"/>
    </row>
    <row r="781" spans="5:9" x14ac:dyDescent="0.3">
      <c r="E781" s="53"/>
      <c r="F781" s="53"/>
      <c r="G781" s="53"/>
      <c r="H781" s="53"/>
      <c r="I781" s="53"/>
    </row>
    <row r="782" spans="5:9" x14ac:dyDescent="0.3">
      <c r="E782" s="53"/>
      <c r="F782" s="53"/>
      <c r="G782" s="53"/>
      <c r="H782" s="53"/>
      <c r="I782" s="53"/>
    </row>
    <row r="783" spans="5:9" x14ac:dyDescent="0.3">
      <c r="E783" s="53"/>
      <c r="F783" s="53"/>
      <c r="G783" s="53"/>
      <c r="H783" s="53"/>
      <c r="I783" s="53"/>
    </row>
    <row r="784" spans="5:9" x14ac:dyDescent="0.3">
      <c r="E784" s="53"/>
      <c r="F784" s="53"/>
      <c r="G784" s="53"/>
      <c r="H784" s="53"/>
      <c r="I784" s="53"/>
    </row>
    <row r="785" spans="5:9" x14ac:dyDescent="0.3">
      <c r="E785" s="53"/>
      <c r="F785" s="53"/>
      <c r="G785" s="53"/>
      <c r="H785" s="53"/>
      <c r="I785" s="53"/>
    </row>
    <row r="786" spans="5:9" x14ac:dyDescent="0.3">
      <c r="E786" s="53"/>
      <c r="F786" s="53"/>
      <c r="G786" s="53"/>
      <c r="H786" s="53"/>
      <c r="I786" s="53"/>
    </row>
    <row r="787" spans="5:9" x14ac:dyDescent="0.3">
      <c r="E787" s="53"/>
      <c r="F787" s="53"/>
      <c r="G787" s="53"/>
      <c r="H787" s="53"/>
      <c r="I787" s="53"/>
    </row>
    <row r="788" spans="5:9" x14ac:dyDescent="0.3">
      <c r="E788" s="53"/>
      <c r="F788" s="53"/>
      <c r="G788" s="53"/>
      <c r="H788" s="53"/>
      <c r="I788" s="53"/>
    </row>
    <row r="789" spans="5:9" x14ac:dyDescent="0.3">
      <c r="E789" s="53"/>
      <c r="F789" s="53"/>
      <c r="G789" s="53"/>
      <c r="H789" s="53"/>
      <c r="I789" s="53"/>
    </row>
    <row r="790" spans="5:9" x14ac:dyDescent="0.3">
      <c r="E790" s="53"/>
      <c r="F790" s="53"/>
      <c r="G790" s="53"/>
      <c r="H790" s="53"/>
      <c r="I790" s="53"/>
    </row>
    <row r="791" spans="5:9" x14ac:dyDescent="0.3">
      <c r="E791" s="53"/>
      <c r="F791" s="53"/>
      <c r="G791" s="53"/>
      <c r="H791" s="53"/>
      <c r="I791" s="53"/>
    </row>
    <row r="792" spans="5:9" x14ac:dyDescent="0.3">
      <c r="E792" s="53"/>
      <c r="F792" s="53"/>
      <c r="G792" s="53"/>
      <c r="H792" s="53"/>
      <c r="I792" s="53"/>
    </row>
    <row r="793" spans="5:9" x14ac:dyDescent="0.3">
      <c r="E793" s="53"/>
      <c r="F793" s="53"/>
      <c r="G793" s="53"/>
      <c r="H793" s="53"/>
      <c r="I793" s="53"/>
    </row>
    <row r="794" spans="5:9" x14ac:dyDescent="0.3">
      <c r="E794" s="53"/>
      <c r="F794" s="53"/>
      <c r="G794" s="53"/>
      <c r="H794" s="53"/>
      <c r="I794" s="53"/>
    </row>
    <row r="795" spans="5:9" x14ac:dyDescent="0.3">
      <c r="E795" s="53"/>
      <c r="F795" s="53"/>
      <c r="G795" s="53"/>
      <c r="H795" s="53"/>
      <c r="I795" s="53"/>
    </row>
    <row r="796" spans="5:9" x14ac:dyDescent="0.3">
      <c r="E796" s="53"/>
      <c r="F796" s="53"/>
      <c r="G796" s="53"/>
      <c r="H796" s="53"/>
      <c r="I796" s="53"/>
    </row>
    <row r="797" spans="5:9" x14ac:dyDescent="0.3">
      <c r="E797" s="53"/>
      <c r="F797" s="53"/>
      <c r="G797" s="53"/>
      <c r="H797" s="53"/>
      <c r="I797" s="53"/>
    </row>
    <row r="798" spans="5:9" x14ac:dyDescent="0.3">
      <c r="E798" s="53"/>
      <c r="F798" s="53"/>
      <c r="G798" s="53"/>
      <c r="H798" s="53"/>
      <c r="I798" s="53"/>
    </row>
    <row r="799" spans="5:9" x14ac:dyDescent="0.3">
      <c r="E799" s="53"/>
      <c r="F799" s="53"/>
      <c r="G799" s="53"/>
      <c r="H799" s="53"/>
      <c r="I799" s="53"/>
    </row>
    <row r="800" spans="5:9" x14ac:dyDescent="0.3">
      <c r="E800" s="53"/>
      <c r="F800" s="53"/>
      <c r="G800" s="53"/>
      <c r="H800" s="53"/>
      <c r="I800" s="53"/>
    </row>
    <row r="801" spans="5:9" x14ac:dyDescent="0.3">
      <c r="E801" s="53"/>
      <c r="F801" s="53"/>
      <c r="G801" s="53"/>
      <c r="H801" s="53"/>
      <c r="I801" s="53"/>
    </row>
    <row r="802" spans="5:9" x14ac:dyDescent="0.3">
      <c r="E802" s="53"/>
      <c r="F802" s="53"/>
      <c r="G802" s="53"/>
      <c r="H802" s="53"/>
      <c r="I802" s="53"/>
    </row>
    <row r="803" spans="5:9" x14ac:dyDescent="0.3">
      <c r="E803" s="53"/>
      <c r="F803" s="53"/>
      <c r="G803" s="53"/>
      <c r="H803" s="53"/>
      <c r="I803" s="53"/>
    </row>
    <row r="804" spans="5:9" x14ac:dyDescent="0.3">
      <c r="E804" s="53"/>
      <c r="F804" s="53"/>
      <c r="G804" s="53"/>
      <c r="H804" s="53"/>
      <c r="I804" s="53"/>
    </row>
    <row r="805" spans="5:9" x14ac:dyDescent="0.3">
      <c r="E805" s="53"/>
      <c r="F805" s="53"/>
      <c r="G805" s="53"/>
      <c r="H805" s="53"/>
      <c r="I805" s="53"/>
    </row>
    <row r="806" spans="5:9" x14ac:dyDescent="0.3">
      <c r="E806" s="53"/>
      <c r="F806" s="53"/>
      <c r="G806" s="53"/>
      <c r="H806" s="53"/>
      <c r="I806" s="53"/>
    </row>
    <row r="807" spans="5:9" x14ac:dyDescent="0.3">
      <c r="E807" s="53"/>
      <c r="F807" s="53"/>
      <c r="G807" s="53"/>
      <c r="H807" s="53"/>
      <c r="I807" s="53"/>
    </row>
    <row r="808" spans="5:9" x14ac:dyDescent="0.3">
      <c r="E808" s="53"/>
      <c r="F808" s="53"/>
      <c r="G808" s="53"/>
      <c r="H808" s="53"/>
      <c r="I808" s="53"/>
    </row>
    <row r="809" spans="5:9" x14ac:dyDescent="0.3">
      <c r="E809" s="53"/>
      <c r="F809" s="53"/>
      <c r="G809" s="53"/>
      <c r="H809" s="53"/>
      <c r="I809" s="53"/>
    </row>
    <row r="810" spans="5:9" x14ac:dyDescent="0.3">
      <c r="E810" s="53"/>
      <c r="F810" s="53"/>
      <c r="G810" s="53"/>
      <c r="H810" s="53"/>
      <c r="I810" s="53"/>
    </row>
    <row r="811" spans="5:9" x14ac:dyDescent="0.3">
      <c r="E811" s="53"/>
      <c r="F811" s="53"/>
      <c r="G811" s="53"/>
      <c r="H811" s="53"/>
      <c r="I811" s="53"/>
    </row>
    <row r="812" spans="5:9" x14ac:dyDescent="0.3">
      <c r="E812" s="53"/>
      <c r="F812" s="53"/>
      <c r="G812" s="53"/>
      <c r="H812" s="53"/>
      <c r="I812" s="53"/>
    </row>
    <row r="813" spans="5:9" x14ac:dyDescent="0.3">
      <c r="E813" s="53"/>
      <c r="F813" s="53"/>
      <c r="G813" s="53"/>
      <c r="H813" s="53"/>
      <c r="I813" s="53"/>
    </row>
    <row r="814" spans="5:9" x14ac:dyDescent="0.3">
      <c r="E814" s="53"/>
      <c r="F814" s="53"/>
      <c r="G814" s="53"/>
      <c r="H814" s="53"/>
      <c r="I814" s="53"/>
    </row>
    <row r="815" spans="5:9" x14ac:dyDescent="0.3">
      <c r="E815" s="53"/>
      <c r="F815" s="53"/>
      <c r="G815" s="53"/>
      <c r="H815" s="53"/>
      <c r="I815" s="53"/>
    </row>
    <row r="816" spans="5:9" x14ac:dyDescent="0.3">
      <c r="E816" s="53"/>
      <c r="F816" s="53"/>
      <c r="G816" s="53"/>
      <c r="H816" s="53"/>
      <c r="I816" s="53"/>
    </row>
    <row r="817" spans="5:9" x14ac:dyDescent="0.3">
      <c r="E817" s="53"/>
      <c r="F817" s="53"/>
      <c r="G817" s="53"/>
      <c r="H817" s="53"/>
      <c r="I817" s="53"/>
    </row>
    <row r="818" spans="5:9" x14ac:dyDescent="0.3">
      <c r="E818" s="53"/>
      <c r="F818" s="53"/>
      <c r="G818" s="53"/>
      <c r="H818" s="53"/>
      <c r="I818" s="53"/>
    </row>
    <row r="819" spans="5:9" x14ac:dyDescent="0.3">
      <c r="E819" s="53"/>
      <c r="F819" s="53"/>
      <c r="G819" s="53"/>
      <c r="H819" s="53"/>
      <c r="I819" s="53"/>
    </row>
    <row r="820" spans="5:9" x14ac:dyDescent="0.3">
      <c r="E820" s="53"/>
      <c r="F820" s="53"/>
      <c r="G820" s="53"/>
      <c r="H820" s="53"/>
      <c r="I820" s="53"/>
    </row>
    <row r="821" spans="5:9" x14ac:dyDescent="0.3">
      <c r="E821" s="53"/>
      <c r="F821" s="53"/>
      <c r="G821" s="53"/>
      <c r="H821" s="53"/>
      <c r="I821" s="53"/>
    </row>
    <row r="822" spans="5:9" x14ac:dyDescent="0.3">
      <c r="E822" s="53"/>
      <c r="F822" s="53"/>
      <c r="G822" s="53"/>
      <c r="H822" s="53"/>
      <c r="I822" s="53"/>
    </row>
    <row r="823" spans="5:9" x14ac:dyDescent="0.3">
      <c r="E823" s="53"/>
      <c r="F823" s="53"/>
      <c r="G823" s="53"/>
      <c r="H823" s="53"/>
      <c r="I823" s="53"/>
    </row>
    <row r="824" spans="5:9" x14ac:dyDescent="0.3">
      <c r="E824" s="53"/>
      <c r="F824" s="53"/>
      <c r="G824" s="53"/>
      <c r="H824" s="53"/>
      <c r="I824" s="53"/>
    </row>
    <row r="825" spans="5:9" x14ac:dyDescent="0.3">
      <c r="E825" s="53"/>
      <c r="F825" s="53"/>
      <c r="G825" s="53"/>
      <c r="H825" s="53"/>
      <c r="I825" s="53"/>
    </row>
    <row r="826" spans="5:9" x14ac:dyDescent="0.3">
      <c r="E826" s="53"/>
      <c r="F826" s="53"/>
      <c r="G826" s="53"/>
      <c r="H826" s="53"/>
      <c r="I826" s="53"/>
    </row>
    <row r="827" spans="5:9" x14ac:dyDescent="0.3">
      <c r="E827" s="53"/>
      <c r="F827" s="53"/>
      <c r="G827" s="53"/>
      <c r="H827" s="53"/>
      <c r="I827" s="53"/>
    </row>
    <row r="828" spans="5:9" x14ac:dyDescent="0.3">
      <c r="E828" s="53"/>
      <c r="F828" s="53"/>
      <c r="G828" s="53"/>
      <c r="H828" s="53"/>
      <c r="I828" s="53"/>
    </row>
    <row r="829" spans="5:9" x14ac:dyDescent="0.3">
      <c r="E829" s="53"/>
      <c r="F829" s="53"/>
      <c r="G829" s="53"/>
      <c r="H829" s="53"/>
      <c r="I829" s="53"/>
    </row>
    <row r="830" spans="5:9" x14ac:dyDescent="0.3">
      <c r="E830" s="53"/>
      <c r="F830" s="53"/>
      <c r="G830" s="53"/>
      <c r="H830" s="53"/>
      <c r="I830" s="53"/>
    </row>
    <row r="831" spans="5:9" x14ac:dyDescent="0.3">
      <c r="E831" s="53"/>
      <c r="F831" s="53"/>
      <c r="G831" s="53"/>
      <c r="H831" s="53"/>
      <c r="I831" s="53"/>
    </row>
    <row r="832" spans="5:9" x14ac:dyDescent="0.3">
      <c r="E832" s="53"/>
      <c r="F832" s="53"/>
      <c r="G832" s="53"/>
      <c r="H832" s="53"/>
      <c r="I832" s="53"/>
    </row>
    <row r="833" spans="5:9" x14ac:dyDescent="0.3">
      <c r="E833" s="53"/>
      <c r="F833" s="53"/>
      <c r="G833" s="53"/>
      <c r="H833" s="53"/>
      <c r="I833" s="53"/>
    </row>
    <row r="834" spans="5:9" x14ac:dyDescent="0.3">
      <c r="E834" s="53"/>
      <c r="F834" s="53"/>
      <c r="G834" s="53"/>
      <c r="H834" s="53"/>
      <c r="I834" s="53"/>
    </row>
    <row r="835" spans="5:9" x14ac:dyDescent="0.3">
      <c r="E835" s="53"/>
      <c r="F835" s="53"/>
      <c r="G835" s="53"/>
      <c r="H835" s="53"/>
      <c r="I835" s="53"/>
    </row>
    <row r="836" spans="5:9" x14ac:dyDescent="0.3">
      <c r="E836" s="53"/>
      <c r="F836" s="53"/>
      <c r="G836" s="53"/>
      <c r="H836" s="53"/>
      <c r="I836" s="53"/>
    </row>
    <row r="837" spans="5:9" x14ac:dyDescent="0.3">
      <c r="E837" s="53"/>
      <c r="F837" s="53"/>
      <c r="G837" s="53"/>
      <c r="H837" s="53"/>
      <c r="I837" s="53"/>
    </row>
    <row r="838" spans="5:9" x14ac:dyDescent="0.3">
      <c r="E838" s="53"/>
      <c r="F838" s="53"/>
      <c r="G838" s="53"/>
      <c r="H838" s="53"/>
      <c r="I838" s="53"/>
    </row>
    <row r="839" spans="5:9" x14ac:dyDescent="0.3">
      <c r="E839" s="53"/>
      <c r="F839" s="53"/>
      <c r="G839" s="53"/>
      <c r="H839" s="53"/>
      <c r="I839" s="53"/>
    </row>
    <row r="840" spans="5:9" x14ac:dyDescent="0.3">
      <c r="E840" s="53"/>
      <c r="F840" s="53"/>
      <c r="G840" s="53"/>
      <c r="H840" s="53"/>
      <c r="I840" s="53"/>
    </row>
    <row r="841" spans="5:9" x14ac:dyDescent="0.3">
      <c r="E841" s="53"/>
      <c r="F841" s="53"/>
      <c r="G841" s="53"/>
      <c r="H841" s="53"/>
      <c r="I841" s="53"/>
    </row>
    <row r="842" spans="5:9" x14ac:dyDescent="0.3">
      <c r="E842" s="53"/>
      <c r="F842" s="53"/>
      <c r="G842" s="53"/>
      <c r="H842" s="53"/>
      <c r="I842" s="53"/>
    </row>
    <row r="843" spans="5:9" x14ac:dyDescent="0.3">
      <c r="E843" s="53"/>
      <c r="F843" s="53"/>
      <c r="G843" s="53"/>
      <c r="H843" s="53"/>
      <c r="I843" s="53"/>
    </row>
    <row r="844" spans="5:9" x14ac:dyDescent="0.3">
      <c r="E844" s="53"/>
      <c r="F844" s="53"/>
      <c r="G844" s="53"/>
      <c r="H844" s="53"/>
      <c r="I844" s="53"/>
    </row>
    <row r="845" spans="5:9" x14ac:dyDescent="0.3">
      <c r="E845" s="53"/>
      <c r="F845" s="53"/>
      <c r="G845" s="53"/>
      <c r="H845" s="53"/>
      <c r="I845" s="53"/>
    </row>
    <row r="846" spans="5:9" x14ac:dyDescent="0.3">
      <c r="E846" s="53"/>
      <c r="F846" s="53"/>
      <c r="G846" s="53"/>
      <c r="H846" s="53"/>
      <c r="I846" s="53"/>
    </row>
    <row r="847" spans="5:9" x14ac:dyDescent="0.3">
      <c r="E847" s="53"/>
      <c r="F847" s="53"/>
      <c r="G847" s="53"/>
      <c r="H847" s="53"/>
      <c r="I847" s="53"/>
    </row>
    <row r="848" spans="5:9" x14ac:dyDescent="0.3">
      <c r="E848" s="53"/>
      <c r="F848" s="53"/>
      <c r="G848" s="53"/>
      <c r="H848" s="53"/>
      <c r="I848" s="53"/>
    </row>
    <row r="849" spans="5:9" x14ac:dyDescent="0.3">
      <c r="E849" s="53"/>
      <c r="F849" s="53"/>
      <c r="G849" s="53"/>
      <c r="H849" s="53"/>
      <c r="I849" s="53"/>
    </row>
    <row r="850" spans="5:9" x14ac:dyDescent="0.3">
      <c r="E850" s="53"/>
      <c r="F850" s="53"/>
      <c r="G850" s="53"/>
      <c r="H850" s="53"/>
      <c r="I850" s="53"/>
    </row>
    <row r="851" spans="5:9" x14ac:dyDescent="0.3">
      <c r="E851" s="53"/>
      <c r="F851" s="53"/>
      <c r="G851" s="53"/>
      <c r="H851" s="53"/>
      <c r="I851" s="53"/>
    </row>
    <row r="852" spans="5:9" x14ac:dyDescent="0.3">
      <c r="E852" s="53"/>
      <c r="F852" s="53"/>
      <c r="G852" s="53"/>
      <c r="H852" s="53"/>
      <c r="I852" s="53"/>
    </row>
    <row r="853" spans="5:9" x14ac:dyDescent="0.3">
      <c r="E853" s="53"/>
      <c r="F853" s="53"/>
      <c r="G853" s="53"/>
      <c r="H853" s="53"/>
      <c r="I853" s="53"/>
    </row>
    <row r="854" spans="5:9" x14ac:dyDescent="0.3">
      <c r="E854" s="53"/>
      <c r="F854" s="53"/>
      <c r="G854" s="53"/>
      <c r="H854" s="53"/>
      <c r="I854" s="53"/>
    </row>
    <row r="855" spans="5:9" x14ac:dyDescent="0.3">
      <c r="E855" s="53"/>
      <c r="F855" s="53"/>
      <c r="G855" s="53"/>
      <c r="H855" s="53"/>
      <c r="I855" s="53"/>
    </row>
    <row r="856" spans="5:9" x14ac:dyDescent="0.3">
      <c r="E856" s="53"/>
      <c r="F856" s="53"/>
      <c r="G856" s="53"/>
      <c r="H856" s="53"/>
      <c r="I856" s="53"/>
    </row>
    <row r="857" spans="5:9" x14ac:dyDescent="0.3">
      <c r="E857" s="53"/>
      <c r="F857" s="53"/>
      <c r="G857" s="53"/>
      <c r="H857" s="53"/>
      <c r="I857" s="53"/>
    </row>
    <row r="858" spans="5:9" x14ac:dyDescent="0.3">
      <c r="E858" s="53"/>
      <c r="F858" s="53"/>
      <c r="G858" s="53"/>
      <c r="H858" s="53"/>
      <c r="I858" s="53"/>
    </row>
    <row r="859" spans="5:9" x14ac:dyDescent="0.3">
      <c r="E859" s="53"/>
      <c r="F859" s="53"/>
      <c r="G859" s="53"/>
      <c r="H859" s="53"/>
      <c r="I859" s="53"/>
    </row>
    <row r="860" spans="5:9" x14ac:dyDescent="0.3">
      <c r="E860" s="53"/>
      <c r="F860" s="53"/>
      <c r="G860" s="53"/>
      <c r="H860" s="53"/>
      <c r="I860" s="53"/>
    </row>
    <row r="861" spans="5:9" x14ac:dyDescent="0.3">
      <c r="E861" s="53"/>
      <c r="F861" s="53"/>
      <c r="G861" s="53"/>
      <c r="H861" s="53"/>
      <c r="I861" s="53"/>
    </row>
    <row r="862" spans="5:9" x14ac:dyDescent="0.3">
      <c r="E862" s="53"/>
      <c r="F862" s="53"/>
      <c r="G862" s="53"/>
      <c r="H862" s="53"/>
      <c r="I862" s="53"/>
    </row>
    <row r="863" spans="5:9" x14ac:dyDescent="0.3">
      <c r="E863" s="53"/>
      <c r="F863" s="53"/>
      <c r="G863" s="53"/>
      <c r="H863" s="53"/>
      <c r="I863" s="53"/>
    </row>
    <row r="864" spans="5:9" x14ac:dyDescent="0.3">
      <c r="E864" s="53"/>
      <c r="F864" s="53"/>
      <c r="G864" s="53"/>
      <c r="H864" s="53"/>
      <c r="I864" s="53"/>
    </row>
    <row r="865" spans="5:9" x14ac:dyDescent="0.3">
      <c r="E865" s="53"/>
      <c r="F865" s="53"/>
      <c r="G865" s="53"/>
      <c r="H865" s="53"/>
      <c r="I865" s="53"/>
    </row>
    <row r="866" spans="5:9" x14ac:dyDescent="0.3">
      <c r="E866" s="53"/>
      <c r="F866" s="53"/>
      <c r="G866" s="53"/>
      <c r="H866" s="53"/>
      <c r="I866" s="53"/>
    </row>
    <row r="867" spans="5:9" x14ac:dyDescent="0.3">
      <c r="E867" s="53"/>
      <c r="F867" s="53"/>
      <c r="G867" s="53"/>
      <c r="H867" s="53"/>
      <c r="I867" s="53"/>
    </row>
    <row r="868" spans="5:9" x14ac:dyDescent="0.3">
      <c r="E868" s="53"/>
      <c r="F868" s="53"/>
      <c r="G868" s="53"/>
      <c r="H868" s="53"/>
      <c r="I868" s="53"/>
    </row>
    <row r="869" spans="5:9" x14ac:dyDescent="0.3">
      <c r="E869" s="53"/>
      <c r="F869" s="53"/>
      <c r="G869" s="53"/>
      <c r="H869" s="53"/>
      <c r="I869" s="53"/>
    </row>
    <row r="870" spans="5:9" x14ac:dyDescent="0.3">
      <c r="E870" s="53"/>
      <c r="F870" s="53"/>
      <c r="G870" s="53"/>
      <c r="H870" s="53"/>
      <c r="I870" s="53"/>
    </row>
    <row r="871" spans="5:9" x14ac:dyDescent="0.3">
      <c r="E871" s="53"/>
      <c r="F871" s="53"/>
      <c r="G871" s="53"/>
      <c r="H871" s="53"/>
      <c r="I871" s="53"/>
    </row>
    <row r="872" spans="5:9" x14ac:dyDescent="0.3">
      <c r="E872" s="53"/>
      <c r="F872" s="53"/>
      <c r="G872" s="53"/>
      <c r="H872" s="53"/>
      <c r="I872" s="53"/>
    </row>
    <row r="873" spans="5:9" x14ac:dyDescent="0.3">
      <c r="E873" s="53"/>
      <c r="F873" s="53"/>
      <c r="G873" s="53"/>
      <c r="H873" s="53"/>
      <c r="I873" s="53"/>
    </row>
    <row r="874" spans="5:9" x14ac:dyDescent="0.3">
      <c r="E874" s="53"/>
      <c r="F874" s="53"/>
      <c r="G874" s="53"/>
      <c r="H874" s="53"/>
      <c r="I874" s="53"/>
    </row>
    <row r="875" spans="5:9" x14ac:dyDescent="0.3">
      <c r="E875" s="53"/>
      <c r="F875" s="53"/>
      <c r="G875" s="53"/>
      <c r="H875" s="53"/>
      <c r="I875" s="53"/>
    </row>
    <row r="876" spans="5:9" x14ac:dyDescent="0.3">
      <c r="E876" s="53"/>
      <c r="F876" s="53"/>
      <c r="G876" s="53"/>
      <c r="H876" s="53"/>
      <c r="I876" s="53"/>
    </row>
    <row r="877" spans="5:9" x14ac:dyDescent="0.3">
      <c r="E877" s="53"/>
      <c r="F877" s="53"/>
      <c r="G877" s="53"/>
      <c r="H877" s="53"/>
      <c r="I877" s="53"/>
    </row>
    <row r="878" spans="5:9" x14ac:dyDescent="0.3">
      <c r="E878" s="53"/>
      <c r="F878" s="53"/>
      <c r="G878" s="53"/>
      <c r="H878" s="53"/>
      <c r="I878" s="53"/>
    </row>
    <row r="879" spans="5:9" x14ac:dyDescent="0.3">
      <c r="E879" s="53"/>
      <c r="F879" s="53"/>
      <c r="G879" s="53"/>
      <c r="H879" s="53"/>
      <c r="I879" s="53"/>
    </row>
    <row r="880" spans="5:9" x14ac:dyDescent="0.3">
      <c r="E880" s="53"/>
      <c r="F880" s="53"/>
      <c r="G880" s="53"/>
      <c r="H880" s="53"/>
      <c r="I880" s="53"/>
    </row>
    <row r="881" spans="5:9" x14ac:dyDescent="0.3">
      <c r="E881" s="53"/>
      <c r="F881" s="53"/>
      <c r="G881" s="53"/>
      <c r="H881" s="53"/>
      <c r="I881" s="53"/>
    </row>
    <row r="882" spans="5:9" x14ac:dyDescent="0.3">
      <c r="E882" s="53"/>
      <c r="F882" s="53"/>
      <c r="G882" s="53"/>
      <c r="H882" s="53"/>
      <c r="I882" s="53"/>
    </row>
    <row r="883" spans="5:9" x14ac:dyDescent="0.3">
      <c r="E883" s="53"/>
      <c r="F883" s="53"/>
      <c r="G883" s="53"/>
      <c r="H883" s="53"/>
      <c r="I883" s="53"/>
    </row>
    <row r="884" spans="5:9" x14ac:dyDescent="0.3">
      <c r="E884" s="53"/>
      <c r="F884" s="53"/>
      <c r="G884" s="53"/>
      <c r="H884" s="53"/>
      <c r="I884" s="53"/>
    </row>
    <row r="885" spans="5:9" x14ac:dyDescent="0.3">
      <c r="E885" s="53"/>
      <c r="F885" s="53"/>
      <c r="G885" s="53"/>
      <c r="H885" s="53"/>
      <c r="I885" s="53"/>
    </row>
    <row r="886" spans="5:9" x14ac:dyDescent="0.3">
      <c r="E886" s="53"/>
      <c r="F886" s="53"/>
      <c r="G886" s="53"/>
      <c r="H886" s="53"/>
      <c r="I886" s="53"/>
    </row>
    <row r="887" spans="5:9" x14ac:dyDescent="0.3">
      <c r="E887" s="53"/>
      <c r="F887" s="53"/>
      <c r="G887" s="53"/>
      <c r="H887" s="53"/>
      <c r="I887" s="53"/>
    </row>
    <row r="888" spans="5:9" x14ac:dyDescent="0.3">
      <c r="E888" s="53"/>
      <c r="F888" s="53"/>
      <c r="G888" s="53"/>
      <c r="H888" s="53"/>
      <c r="I888" s="53"/>
    </row>
    <row r="889" spans="5:9" x14ac:dyDescent="0.3">
      <c r="E889" s="53"/>
      <c r="F889" s="53"/>
      <c r="G889" s="53"/>
      <c r="H889" s="53"/>
      <c r="I889" s="53"/>
    </row>
    <row r="890" spans="5:9" x14ac:dyDescent="0.3">
      <c r="E890" s="53"/>
      <c r="F890" s="53"/>
      <c r="G890" s="53"/>
      <c r="H890" s="53"/>
      <c r="I890" s="53"/>
    </row>
    <row r="891" spans="5:9" x14ac:dyDescent="0.3">
      <c r="E891" s="53"/>
      <c r="F891" s="53"/>
      <c r="G891" s="53"/>
      <c r="H891" s="53"/>
      <c r="I891" s="53"/>
    </row>
    <row r="892" spans="5:9" x14ac:dyDescent="0.3">
      <c r="E892" s="53"/>
      <c r="F892" s="53"/>
      <c r="G892" s="53"/>
      <c r="H892" s="53"/>
      <c r="I892" s="53"/>
    </row>
    <row r="893" spans="5:9" x14ac:dyDescent="0.3">
      <c r="E893" s="53"/>
      <c r="F893" s="53"/>
      <c r="G893" s="53"/>
      <c r="H893" s="53"/>
      <c r="I893" s="53"/>
    </row>
    <row r="894" spans="5:9" x14ac:dyDescent="0.3">
      <c r="E894" s="53"/>
      <c r="F894" s="53"/>
      <c r="G894" s="53"/>
      <c r="H894" s="53"/>
      <c r="I894" s="53"/>
    </row>
    <row r="895" spans="5:9" x14ac:dyDescent="0.3">
      <c r="E895" s="53"/>
      <c r="F895" s="53"/>
      <c r="G895" s="53"/>
      <c r="H895" s="53"/>
      <c r="I895" s="53"/>
    </row>
    <row r="896" spans="5:9" x14ac:dyDescent="0.3">
      <c r="E896" s="53"/>
      <c r="F896" s="53"/>
      <c r="G896" s="53"/>
      <c r="H896" s="53"/>
      <c r="I896" s="53"/>
    </row>
    <row r="897" spans="5:9" x14ac:dyDescent="0.3">
      <c r="E897" s="53"/>
      <c r="F897" s="53"/>
      <c r="G897" s="53"/>
      <c r="H897" s="53"/>
      <c r="I897" s="53"/>
    </row>
    <row r="898" spans="5:9" x14ac:dyDescent="0.3">
      <c r="E898" s="53"/>
      <c r="F898" s="53"/>
      <c r="G898" s="53"/>
      <c r="H898" s="53"/>
      <c r="I898" s="53"/>
    </row>
    <row r="899" spans="5:9" x14ac:dyDescent="0.3">
      <c r="E899" s="53"/>
      <c r="F899" s="53"/>
      <c r="G899" s="53"/>
      <c r="H899" s="53"/>
      <c r="I899" s="53"/>
    </row>
    <row r="900" spans="5:9" x14ac:dyDescent="0.3">
      <c r="E900" s="53"/>
      <c r="F900" s="53"/>
      <c r="G900" s="53"/>
      <c r="H900" s="53"/>
      <c r="I900" s="53"/>
    </row>
    <row r="901" spans="5:9" x14ac:dyDescent="0.3">
      <c r="E901" s="53"/>
      <c r="F901" s="53"/>
      <c r="G901" s="53"/>
      <c r="H901" s="53"/>
      <c r="I901" s="53"/>
    </row>
    <row r="902" spans="5:9" x14ac:dyDescent="0.3">
      <c r="E902" s="53"/>
      <c r="F902" s="53"/>
      <c r="G902" s="53"/>
      <c r="H902" s="53"/>
      <c r="I902" s="53"/>
    </row>
    <row r="903" spans="5:9" x14ac:dyDescent="0.3">
      <c r="E903" s="53"/>
      <c r="F903" s="53"/>
      <c r="G903" s="53"/>
      <c r="H903" s="53"/>
      <c r="I903" s="53"/>
    </row>
    <row r="904" spans="5:9" x14ac:dyDescent="0.3">
      <c r="E904" s="53"/>
      <c r="F904" s="53"/>
      <c r="G904" s="53"/>
      <c r="H904" s="53"/>
      <c r="I904" s="53"/>
    </row>
    <row r="905" spans="5:9" x14ac:dyDescent="0.3">
      <c r="E905" s="53"/>
      <c r="F905" s="53"/>
      <c r="G905" s="53"/>
      <c r="H905" s="53"/>
      <c r="I905" s="53"/>
    </row>
    <row r="906" spans="5:9" x14ac:dyDescent="0.3">
      <c r="E906" s="53"/>
      <c r="F906" s="53"/>
      <c r="G906" s="53"/>
      <c r="H906" s="53"/>
      <c r="I906" s="53"/>
    </row>
    <row r="907" spans="5:9" x14ac:dyDescent="0.3">
      <c r="E907" s="53"/>
      <c r="F907" s="53"/>
      <c r="G907" s="53"/>
      <c r="H907" s="53"/>
      <c r="I907" s="53"/>
    </row>
    <row r="908" spans="5:9" x14ac:dyDescent="0.3">
      <c r="E908" s="53"/>
      <c r="F908" s="53"/>
      <c r="G908" s="53"/>
      <c r="H908" s="53"/>
      <c r="I908" s="53"/>
    </row>
    <row r="909" spans="5:9" x14ac:dyDescent="0.3">
      <c r="E909" s="53"/>
      <c r="F909" s="53"/>
      <c r="G909" s="53"/>
      <c r="H909" s="53"/>
      <c r="I909" s="53"/>
    </row>
    <row r="910" spans="5:9" x14ac:dyDescent="0.3">
      <c r="E910" s="53"/>
      <c r="F910" s="53"/>
      <c r="G910" s="53"/>
      <c r="H910" s="53"/>
      <c r="I910" s="53"/>
    </row>
    <row r="911" spans="5:9" x14ac:dyDescent="0.3">
      <c r="E911" s="53"/>
      <c r="F911" s="53"/>
      <c r="G911" s="53"/>
      <c r="H911" s="53"/>
      <c r="I911" s="53"/>
    </row>
    <row r="912" spans="5:9" x14ac:dyDescent="0.3">
      <c r="E912" s="53"/>
      <c r="F912" s="53"/>
      <c r="G912" s="53"/>
      <c r="H912" s="53"/>
      <c r="I912" s="53"/>
    </row>
    <row r="913" spans="5:9" x14ac:dyDescent="0.3">
      <c r="E913" s="53"/>
      <c r="F913" s="53"/>
      <c r="G913" s="53"/>
      <c r="H913" s="53"/>
      <c r="I913" s="53"/>
    </row>
    <row r="914" spans="5:9" x14ac:dyDescent="0.3">
      <c r="E914" s="53"/>
      <c r="F914" s="53"/>
      <c r="G914" s="53"/>
      <c r="H914" s="53"/>
      <c r="I914" s="53"/>
    </row>
    <row r="915" spans="5:9" x14ac:dyDescent="0.3">
      <c r="E915" s="53"/>
      <c r="F915" s="53"/>
      <c r="G915" s="53"/>
      <c r="H915" s="53"/>
      <c r="I915" s="53"/>
    </row>
    <row r="916" spans="5:9" x14ac:dyDescent="0.3">
      <c r="E916" s="53"/>
      <c r="F916" s="53"/>
      <c r="G916" s="53"/>
      <c r="H916" s="53"/>
      <c r="I916" s="53"/>
    </row>
    <row r="917" spans="5:9" x14ac:dyDescent="0.3">
      <c r="E917" s="53"/>
      <c r="F917" s="53"/>
      <c r="G917" s="53"/>
      <c r="H917" s="53"/>
      <c r="I917" s="53"/>
    </row>
    <row r="918" spans="5:9" x14ac:dyDescent="0.3">
      <c r="E918" s="53"/>
      <c r="F918" s="53"/>
      <c r="G918" s="53"/>
      <c r="H918" s="53"/>
      <c r="I918" s="53"/>
    </row>
    <row r="919" spans="5:9" x14ac:dyDescent="0.3">
      <c r="E919" s="53"/>
      <c r="F919" s="53"/>
      <c r="G919" s="53"/>
      <c r="H919" s="53"/>
      <c r="I919" s="53"/>
    </row>
    <row r="920" spans="5:9" x14ac:dyDescent="0.3">
      <c r="E920" s="53"/>
      <c r="F920" s="53"/>
      <c r="G920" s="53"/>
      <c r="H920" s="53"/>
      <c r="I920" s="53"/>
    </row>
    <row r="921" spans="5:9" x14ac:dyDescent="0.3">
      <c r="E921" s="53"/>
      <c r="F921" s="53"/>
      <c r="G921" s="53"/>
      <c r="H921" s="53"/>
      <c r="I921" s="53"/>
    </row>
    <row r="922" spans="5:9" x14ac:dyDescent="0.3">
      <c r="E922" s="53"/>
      <c r="F922" s="53"/>
      <c r="G922" s="53"/>
      <c r="H922" s="53"/>
      <c r="I922" s="53"/>
    </row>
    <row r="923" spans="5:9" x14ac:dyDescent="0.3">
      <c r="E923" s="53"/>
      <c r="F923" s="53"/>
      <c r="G923" s="53"/>
      <c r="H923" s="53"/>
      <c r="I923" s="53"/>
    </row>
    <row r="924" spans="5:9" x14ac:dyDescent="0.3">
      <c r="E924" s="53"/>
      <c r="F924" s="53"/>
      <c r="G924" s="53"/>
      <c r="H924" s="53"/>
      <c r="I924" s="53"/>
    </row>
    <row r="925" spans="5:9" x14ac:dyDescent="0.3">
      <c r="E925" s="53"/>
      <c r="F925" s="53"/>
      <c r="G925" s="53"/>
      <c r="H925" s="53"/>
      <c r="I925" s="53"/>
    </row>
    <row r="926" spans="5:9" x14ac:dyDescent="0.3">
      <c r="E926" s="53"/>
      <c r="F926" s="53"/>
      <c r="G926" s="53"/>
      <c r="H926" s="53"/>
      <c r="I926" s="53"/>
    </row>
    <row r="927" spans="5:9" x14ac:dyDescent="0.3">
      <c r="E927" s="53"/>
      <c r="F927" s="53"/>
      <c r="G927" s="53"/>
      <c r="H927" s="53"/>
      <c r="I927" s="53"/>
    </row>
    <row r="928" spans="5:9" x14ac:dyDescent="0.3">
      <c r="E928" s="53"/>
      <c r="F928" s="53"/>
      <c r="G928" s="53"/>
      <c r="H928" s="53"/>
      <c r="I928" s="53"/>
    </row>
    <row r="929" spans="5:9" x14ac:dyDescent="0.3">
      <c r="E929" s="53"/>
      <c r="F929" s="53"/>
      <c r="G929" s="53"/>
      <c r="H929" s="53"/>
      <c r="I929" s="53"/>
    </row>
    <row r="930" spans="5:9" x14ac:dyDescent="0.3">
      <c r="E930" s="53"/>
      <c r="F930" s="53"/>
      <c r="G930" s="53"/>
      <c r="H930" s="53"/>
      <c r="I930" s="53"/>
    </row>
    <row r="931" spans="5:9" x14ac:dyDescent="0.3">
      <c r="E931" s="53"/>
      <c r="F931" s="53"/>
      <c r="G931" s="53"/>
      <c r="H931" s="53"/>
      <c r="I931" s="53"/>
    </row>
    <row r="932" spans="5:9" x14ac:dyDescent="0.3">
      <c r="E932" s="53"/>
      <c r="F932" s="53"/>
      <c r="G932" s="53"/>
      <c r="H932" s="53"/>
      <c r="I932" s="53"/>
    </row>
    <row r="933" spans="5:9" x14ac:dyDescent="0.3">
      <c r="E933" s="53"/>
      <c r="F933" s="53"/>
      <c r="G933" s="53"/>
      <c r="H933" s="53"/>
      <c r="I933" s="53"/>
    </row>
    <row r="934" spans="5:9" x14ac:dyDescent="0.3">
      <c r="E934" s="53"/>
      <c r="F934" s="53"/>
      <c r="G934" s="53"/>
      <c r="H934" s="53"/>
      <c r="I934" s="53"/>
    </row>
    <row r="935" spans="5:9" x14ac:dyDescent="0.3">
      <c r="E935" s="53"/>
      <c r="F935" s="53"/>
      <c r="G935" s="53"/>
      <c r="H935" s="53"/>
      <c r="I935" s="53"/>
    </row>
    <row r="936" spans="5:9" x14ac:dyDescent="0.3">
      <c r="E936" s="53"/>
      <c r="F936" s="53"/>
      <c r="G936" s="53"/>
      <c r="H936" s="53"/>
      <c r="I936" s="53"/>
    </row>
    <row r="937" spans="5:9" x14ac:dyDescent="0.3">
      <c r="E937" s="53"/>
      <c r="F937" s="53"/>
      <c r="G937" s="53"/>
      <c r="H937" s="53"/>
      <c r="I937" s="53"/>
    </row>
    <row r="938" spans="5:9" x14ac:dyDescent="0.3">
      <c r="E938" s="53"/>
      <c r="F938" s="53"/>
      <c r="G938" s="53"/>
      <c r="H938" s="53"/>
      <c r="I938" s="53"/>
    </row>
    <row r="939" spans="5:9" x14ac:dyDescent="0.3">
      <c r="E939" s="53"/>
      <c r="F939" s="53"/>
      <c r="G939" s="53"/>
      <c r="H939" s="53"/>
      <c r="I939" s="53"/>
    </row>
    <row r="940" spans="5:9" x14ac:dyDescent="0.3">
      <c r="E940" s="53"/>
      <c r="F940" s="53"/>
      <c r="G940" s="53"/>
      <c r="H940" s="53"/>
      <c r="I940" s="53"/>
    </row>
    <row r="941" spans="5:9" x14ac:dyDescent="0.3">
      <c r="E941" s="53"/>
      <c r="F941" s="53"/>
      <c r="G941" s="53"/>
      <c r="H941" s="53"/>
      <c r="I941" s="53"/>
    </row>
    <row r="942" spans="5:9" x14ac:dyDescent="0.3">
      <c r="E942" s="53"/>
      <c r="F942" s="53"/>
      <c r="G942" s="53"/>
      <c r="H942" s="53"/>
      <c r="I942" s="53"/>
    </row>
    <row r="943" spans="5:9" x14ac:dyDescent="0.3">
      <c r="E943" s="53"/>
      <c r="F943" s="53"/>
      <c r="G943" s="53"/>
      <c r="H943" s="53"/>
      <c r="I943" s="53"/>
    </row>
    <row r="944" spans="5:9" x14ac:dyDescent="0.3">
      <c r="E944" s="53"/>
      <c r="F944" s="53"/>
      <c r="G944" s="53"/>
      <c r="H944" s="53"/>
      <c r="I944" s="53"/>
    </row>
    <row r="945" spans="5:9" x14ac:dyDescent="0.3">
      <c r="E945" s="53"/>
      <c r="F945" s="53"/>
      <c r="G945" s="53"/>
      <c r="H945" s="53"/>
      <c r="I945" s="53"/>
    </row>
    <row r="946" spans="5:9" x14ac:dyDescent="0.3">
      <c r="E946" s="53"/>
      <c r="F946" s="53"/>
      <c r="G946" s="53"/>
      <c r="H946" s="53"/>
      <c r="I946" s="53"/>
    </row>
    <row r="947" spans="5:9" x14ac:dyDescent="0.3">
      <c r="E947" s="53"/>
      <c r="F947" s="53"/>
      <c r="G947" s="53"/>
      <c r="H947" s="53"/>
      <c r="I947" s="53"/>
    </row>
    <row r="948" spans="5:9" x14ac:dyDescent="0.3">
      <c r="E948" s="53"/>
      <c r="F948" s="53"/>
      <c r="G948" s="53"/>
      <c r="H948" s="53"/>
      <c r="I948" s="53"/>
    </row>
    <row r="949" spans="5:9" x14ac:dyDescent="0.3">
      <c r="E949" s="53"/>
      <c r="F949" s="53"/>
      <c r="G949" s="53"/>
      <c r="H949" s="53"/>
      <c r="I949" s="53"/>
    </row>
    <row r="950" spans="5:9" x14ac:dyDescent="0.3">
      <c r="E950" s="53"/>
      <c r="F950" s="53"/>
      <c r="G950" s="53"/>
      <c r="H950" s="53"/>
      <c r="I950" s="53"/>
    </row>
    <row r="951" spans="5:9" x14ac:dyDescent="0.3">
      <c r="E951" s="53"/>
      <c r="F951" s="53"/>
      <c r="G951" s="53"/>
      <c r="H951" s="53"/>
      <c r="I951" s="53"/>
    </row>
    <row r="952" spans="5:9" x14ac:dyDescent="0.3">
      <c r="E952" s="53"/>
      <c r="F952" s="53"/>
      <c r="G952" s="53"/>
      <c r="H952" s="53"/>
      <c r="I952" s="53"/>
    </row>
    <row r="953" spans="5:9" x14ac:dyDescent="0.3">
      <c r="E953" s="53"/>
      <c r="F953" s="53"/>
      <c r="G953" s="53"/>
      <c r="H953" s="53"/>
      <c r="I953" s="53"/>
    </row>
    <row r="954" spans="5:9" x14ac:dyDescent="0.3">
      <c r="E954" s="53"/>
      <c r="F954" s="53"/>
      <c r="G954" s="53"/>
      <c r="H954" s="53"/>
      <c r="I954" s="53"/>
    </row>
    <row r="955" spans="5:9" x14ac:dyDescent="0.3">
      <c r="E955" s="53"/>
      <c r="F955" s="53"/>
      <c r="G955" s="53"/>
      <c r="H955" s="53"/>
      <c r="I955" s="53"/>
    </row>
    <row r="956" spans="5:9" x14ac:dyDescent="0.3">
      <c r="E956" s="53"/>
      <c r="F956" s="53"/>
      <c r="G956" s="53"/>
      <c r="H956" s="53"/>
      <c r="I956" s="53"/>
    </row>
    <row r="957" spans="5:9" x14ac:dyDescent="0.3">
      <c r="E957" s="53"/>
      <c r="F957" s="53"/>
      <c r="G957" s="53"/>
      <c r="H957" s="53"/>
      <c r="I957" s="53"/>
    </row>
    <row r="958" spans="5:9" x14ac:dyDescent="0.3">
      <c r="E958" s="53"/>
      <c r="F958" s="53"/>
      <c r="G958" s="53"/>
      <c r="H958" s="53"/>
      <c r="I958" s="53"/>
    </row>
    <row r="959" spans="5:9" x14ac:dyDescent="0.3">
      <c r="E959" s="53"/>
      <c r="F959" s="53"/>
      <c r="G959" s="53"/>
      <c r="H959" s="53"/>
      <c r="I959" s="53"/>
    </row>
    <row r="960" spans="5:9" x14ac:dyDescent="0.3">
      <c r="E960" s="53"/>
      <c r="F960" s="53"/>
      <c r="G960" s="53"/>
      <c r="H960" s="53"/>
      <c r="I960" s="53"/>
    </row>
    <row r="961" spans="5:9" x14ac:dyDescent="0.3">
      <c r="E961" s="53"/>
      <c r="F961" s="53"/>
      <c r="G961" s="53"/>
      <c r="H961" s="53"/>
      <c r="I961" s="53"/>
    </row>
    <row r="962" spans="5:9" x14ac:dyDescent="0.3">
      <c r="E962" s="53"/>
      <c r="F962" s="53"/>
      <c r="G962" s="53"/>
      <c r="H962" s="53"/>
      <c r="I962" s="53"/>
    </row>
    <row r="963" spans="5:9" x14ac:dyDescent="0.3">
      <c r="E963" s="53"/>
      <c r="F963" s="53"/>
      <c r="G963" s="53"/>
      <c r="H963" s="53"/>
      <c r="I963" s="53"/>
    </row>
    <row r="964" spans="5:9" x14ac:dyDescent="0.3">
      <c r="E964" s="53"/>
      <c r="F964" s="53"/>
      <c r="G964" s="53"/>
      <c r="H964" s="53"/>
      <c r="I964" s="53"/>
    </row>
    <row r="965" spans="5:9" x14ac:dyDescent="0.3">
      <c r="E965" s="53"/>
      <c r="F965" s="53"/>
      <c r="G965" s="53"/>
      <c r="H965" s="53"/>
      <c r="I965" s="53"/>
    </row>
    <row r="966" spans="5:9" x14ac:dyDescent="0.3">
      <c r="E966" s="53"/>
      <c r="F966" s="53"/>
      <c r="G966" s="53"/>
      <c r="H966" s="53"/>
      <c r="I966" s="53"/>
    </row>
    <row r="967" spans="5:9" x14ac:dyDescent="0.3">
      <c r="E967" s="53"/>
      <c r="F967" s="53"/>
      <c r="G967" s="53"/>
      <c r="H967" s="53"/>
      <c r="I967" s="53"/>
    </row>
    <row r="968" spans="5:9" x14ac:dyDescent="0.3">
      <c r="E968" s="53"/>
      <c r="F968" s="53"/>
      <c r="G968" s="53"/>
      <c r="H968" s="53"/>
      <c r="I968" s="53"/>
    </row>
    <row r="969" spans="5:9" x14ac:dyDescent="0.3">
      <c r="E969" s="53"/>
      <c r="F969" s="53"/>
      <c r="G969" s="53"/>
      <c r="H969" s="53"/>
      <c r="I969" s="53"/>
    </row>
    <row r="970" spans="5:9" x14ac:dyDescent="0.3">
      <c r="E970" s="53"/>
      <c r="F970" s="53"/>
      <c r="G970" s="53"/>
      <c r="H970" s="53"/>
      <c r="I970" s="53"/>
    </row>
    <row r="971" spans="5:9" x14ac:dyDescent="0.3">
      <c r="E971" s="53"/>
      <c r="F971" s="53"/>
      <c r="G971" s="53"/>
      <c r="H971" s="53"/>
      <c r="I971" s="53"/>
    </row>
    <row r="972" spans="5:9" x14ac:dyDescent="0.3">
      <c r="E972" s="53"/>
      <c r="F972" s="53"/>
      <c r="G972" s="53"/>
      <c r="H972" s="53"/>
      <c r="I972" s="53"/>
    </row>
    <row r="973" spans="5:9" x14ac:dyDescent="0.3">
      <c r="E973" s="53"/>
      <c r="F973" s="53"/>
      <c r="G973" s="53"/>
      <c r="H973" s="53"/>
      <c r="I973" s="53"/>
    </row>
    <row r="974" spans="5:9" x14ac:dyDescent="0.3">
      <c r="E974" s="53"/>
      <c r="F974" s="53"/>
      <c r="G974" s="53"/>
      <c r="H974" s="53"/>
      <c r="I974" s="53"/>
    </row>
    <row r="975" spans="5:9" x14ac:dyDescent="0.3">
      <c r="E975" s="53"/>
      <c r="F975" s="53"/>
      <c r="G975" s="53"/>
      <c r="H975" s="53"/>
      <c r="I975" s="53"/>
    </row>
    <row r="976" spans="5:9" x14ac:dyDescent="0.3">
      <c r="E976" s="53"/>
      <c r="F976" s="53"/>
      <c r="G976" s="53"/>
      <c r="H976" s="53"/>
      <c r="I976" s="53"/>
    </row>
    <row r="977" spans="5:9" x14ac:dyDescent="0.3">
      <c r="E977" s="53"/>
      <c r="F977" s="53"/>
      <c r="G977" s="53"/>
      <c r="H977" s="53"/>
      <c r="I977" s="53"/>
    </row>
    <row r="978" spans="5:9" x14ac:dyDescent="0.3">
      <c r="E978" s="53"/>
      <c r="F978" s="53"/>
      <c r="G978" s="53"/>
      <c r="H978" s="53"/>
      <c r="I978" s="53"/>
    </row>
    <row r="979" spans="5:9" x14ac:dyDescent="0.3">
      <c r="E979" s="53"/>
      <c r="F979" s="53"/>
      <c r="G979" s="53"/>
      <c r="H979" s="53"/>
      <c r="I979" s="53"/>
    </row>
    <row r="980" spans="5:9" x14ac:dyDescent="0.3">
      <c r="E980" s="53"/>
      <c r="F980" s="53"/>
      <c r="G980" s="53"/>
      <c r="H980" s="53"/>
      <c r="I980" s="53"/>
    </row>
    <row r="981" spans="5:9" x14ac:dyDescent="0.3">
      <c r="E981" s="53"/>
      <c r="F981" s="53"/>
      <c r="G981" s="53"/>
      <c r="H981" s="53"/>
      <c r="I981" s="53"/>
    </row>
    <row r="982" spans="5:9" x14ac:dyDescent="0.3">
      <c r="E982" s="53"/>
      <c r="F982" s="53"/>
      <c r="G982" s="53"/>
      <c r="H982" s="53"/>
      <c r="I982" s="53"/>
    </row>
    <row r="983" spans="5:9" x14ac:dyDescent="0.3">
      <c r="E983" s="53"/>
      <c r="F983" s="53"/>
      <c r="G983" s="53"/>
      <c r="H983" s="53"/>
      <c r="I983" s="53"/>
    </row>
    <row r="984" spans="5:9" x14ac:dyDescent="0.3">
      <c r="E984" s="53"/>
      <c r="F984" s="53"/>
      <c r="G984" s="53"/>
      <c r="H984" s="53"/>
      <c r="I984" s="53"/>
    </row>
    <row r="985" spans="5:9" x14ac:dyDescent="0.3">
      <c r="E985" s="53"/>
      <c r="F985" s="53"/>
      <c r="G985" s="53"/>
      <c r="H985" s="53"/>
      <c r="I985" s="53"/>
    </row>
    <row r="986" spans="5:9" x14ac:dyDescent="0.3">
      <c r="E986" s="53"/>
      <c r="F986" s="53"/>
      <c r="G986" s="53"/>
      <c r="H986" s="53"/>
      <c r="I986" s="53"/>
    </row>
    <row r="987" spans="5:9" x14ac:dyDescent="0.3">
      <c r="E987" s="53"/>
      <c r="F987" s="53"/>
      <c r="G987" s="53"/>
      <c r="H987" s="53"/>
      <c r="I987" s="53"/>
    </row>
    <row r="988" spans="5:9" x14ac:dyDescent="0.3">
      <c r="E988" s="53"/>
      <c r="F988" s="53"/>
      <c r="G988" s="53"/>
      <c r="H988" s="53"/>
      <c r="I988" s="53"/>
    </row>
    <row r="989" spans="5:9" x14ac:dyDescent="0.3">
      <c r="E989" s="53"/>
      <c r="F989" s="53"/>
      <c r="G989" s="53"/>
      <c r="H989" s="53"/>
      <c r="I989" s="53"/>
    </row>
    <row r="990" spans="5:9" x14ac:dyDescent="0.3">
      <c r="E990" s="53"/>
      <c r="F990" s="53"/>
      <c r="G990" s="53"/>
      <c r="H990" s="53"/>
      <c r="I990" s="53"/>
    </row>
    <row r="991" spans="5:9" x14ac:dyDescent="0.3">
      <c r="E991" s="53"/>
      <c r="F991" s="53"/>
      <c r="G991" s="53"/>
      <c r="H991" s="53"/>
      <c r="I991" s="53"/>
    </row>
    <row r="992" spans="5:9" x14ac:dyDescent="0.3">
      <c r="E992" s="53"/>
      <c r="F992" s="53"/>
      <c r="G992" s="53"/>
      <c r="H992" s="53"/>
      <c r="I992" s="53"/>
    </row>
    <row r="993" spans="5:9" x14ac:dyDescent="0.3">
      <c r="E993" s="53"/>
      <c r="F993" s="53"/>
      <c r="G993" s="53"/>
      <c r="H993" s="53"/>
      <c r="I993" s="53"/>
    </row>
    <row r="994" spans="5:9" x14ac:dyDescent="0.3">
      <c r="E994" s="53"/>
      <c r="F994" s="53"/>
      <c r="G994" s="53"/>
      <c r="H994" s="53"/>
      <c r="I994" s="53"/>
    </row>
    <row r="995" spans="5:9" x14ac:dyDescent="0.3">
      <c r="E995" s="53"/>
      <c r="F995" s="53"/>
      <c r="G995" s="53"/>
      <c r="H995" s="53"/>
      <c r="I995" s="53"/>
    </row>
    <row r="996" spans="5:9" x14ac:dyDescent="0.3">
      <c r="E996" s="53"/>
      <c r="F996" s="53"/>
      <c r="G996" s="53"/>
      <c r="H996" s="53"/>
      <c r="I996" s="53"/>
    </row>
    <row r="997" spans="5:9" x14ac:dyDescent="0.3">
      <c r="E997" s="53"/>
      <c r="F997" s="53"/>
      <c r="G997" s="53"/>
      <c r="H997" s="53"/>
      <c r="I997" s="53"/>
    </row>
    <row r="998" spans="5:9" x14ac:dyDescent="0.3">
      <c r="E998" s="53"/>
      <c r="F998" s="53"/>
      <c r="G998" s="53"/>
      <c r="H998" s="53"/>
      <c r="I998" s="53"/>
    </row>
    <row r="999" spans="5:9" x14ac:dyDescent="0.3">
      <c r="E999" s="53"/>
      <c r="F999" s="53"/>
      <c r="G999" s="53"/>
      <c r="H999" s="53"/>
      <c r="I999" s="53"/>
    </row>
    <row r="1000" spans="5:9" x14ac:dyDescent="0.3">
      <c r="E1000" s="53"/>
      <c r="F1000" s="53"/>
      <c r="G1000" s="53"/>
      <c r="H1000" s="53"/>
      <c r="I1000" s="53"/>
    </row>
    <row r="1001" spans="5:9" x14ac:dyDescent="0.3">
      <c r="E1001" s="53"/>
      <c r="F1001" s="53"/>
      <c r="G1001" s="53"/>
      <c r="H1001" s="53"/>
      <c r="I1001" s="53"/>
    </row>
    <row r="1002" spans="5:9" x14ac:dyDescent="0.3">
      <c r="E1002" s="53"/>
      <c r="F1002" s="53"/>
      <c r="G1002" s="53"/>
      <c r="H1002" s="53"/>
      <c r="I1002" s="53"/>
    </row>
    <row r="1003" spans="5:9" x14ac:dyDescent="0.3">
      <c r="E1003" s="53"/>
      <c r="F1003" s="53"/>
      <c r="G1003" s="53"/>
      <c r="H1003" s="53"/>
      <c r="I1003" s="53"/>
    </row>
    <row r="1004" spans="5:9" x14ac:dyDescent="0.3">
      <c r="E1004" s="53"/>
      <c r="F1004" s="53"/>
      <c r="G1004" s="53"/>
      <c r="H1004" s="53"/>
      <c r="I1004" s="53"/>
    </row>
    <row r="1005" spans="5:9" x14ac:dyDescent="0.3">
      <c r="E1005" s="53"/>
      <c r="F1005" s="53"/>
      <c r="G1005" s="53"/>
      <c r="H1005" s="53"/>
      <c r="I1005" s="53"/>
    </row>
    <row r="1006" spans="5:9" x14ac:dyDescent="0.3">
      <c r="E1006" s="53"/>
      <c r="F1006" s="53"/>
      <c r="G1006" s="53"/>
      <c r="H1006" s="53"/>
      <c r="I1006" s="53"/>
    </row>
    <row r="1007" spans="5:9" x14ac:dyDescent="0.3">
      <c r="E1007" s="53"/>
      <c r="F1007" s="53"/>
      <c r="G1007" s="53"/>
      <c r="H1007" s="53"/>
      <c r="I1007" s="53"/>
    </row>
    <row r="1008" spans="5:9" x14ac:dyDescent="0.3">
      <c r="E1008" s="53"/>
      <c r="F1008" s="53"/>
      <c r="G1008" s="53"/>
      <c r="H1008" s="53"/>
      <c r="I1008" s="53"/>
    </row>
    <row r="1009" spans="5:9" x14ac:dyDescent="0.3">
      <c r="E1009" s="53"/>
      <c r="F1009" s="53"/>
      <c r="G1009" s="53"/>
      <c r="H1009" s="53"/>
      <c r="I1009" s="53"/>
    </row>
    <row r="1010" spans="5:9" x14ac:dyDescent="0.3">
      <c r="E1010" s="53"/>
      <c r="F1010" s="53"/>
      <c r="G1010" s="53"/>
      <c r="H1010" s="53"/>
      <c r="I1010" s="53"/>
    </row>
    <row r="1011" spans="5:9" x14ac:dyDescent="0.3">
      <c r="E1011" s="53"/>
      <c r="F1011" s="53"/>
      <c r="G1011" s="53"/>
      <c r="H1011" s="53"/>
      <c r="I1011" s="53"/>
    </row>
    <row r="1012" spans="5:9" x14ac:dyDescent="0.3">
      <c r="E1012" s="53"/>
      <c r="F1012" s="53"/>
      <c r="G1012" s="53"/>
      <c r="H1012" s="53"/>
      <c r="I1012" s="53"/>
    </row>
    <row r="1013" spans="5:9" x14ac:dyDescent="0.3">
      <c r="E1013" s="53"/>
      <c r="F1013" s="53"/>
      <c r="G1013" s="53"/>
      <c r="H1013" s="53"/>
      <c r="I1013" s="53"/>
    </row>
    <row r="1014" spans="5:9" x14ac:dyDescent="0.3">
      <c r="E1014" s="53"/>
      <c r="F1014" s="53"/>
      <c r="G1014" s="53"/>
      <c r="H1014" s="53"/>
      <c r="I1014" s="53"/>
    </row>
    <row r="1015" spans="5:9" x14ac:dyDescent="0.3">
      <c r="E1015" s="53"/>
      <c r="F1015" s="53"/>
      <c r="G1015" s="53"/>
      <c r="H1015" s="53"/>
      <c r="I1015" s="53"/>
    </row>
    <row r="1016" spans="5:9" x14ac:dyDescent="0.3">
      <c r="E1016" s="53"/>
      <c r="F1016" s="53"/>
      <c r="G1016" s="53"/>
      <c r="H1016" s="53"/>
      <c r="I1016" s="53"/>
    </row>
    <row r="1017" spans="5:9" x14ac:dyDescent="0.3">
      <c r="E1017" s="53"/>
      <c r="F1017" s="53"/>
      <c r="G1017" s="53"/>
      <c r="H1017" s="53"/>
      <c r="I1017" s="53"/>
    </row>
    <row r="1018" spans="5:9" x14ac:dyDescent="0.3">
      <c r="E1018" s="53"/>
      <c r="F1018" s="53"/>
      <c r="G1018" s="53"/>
      <c r="H1018" s="53"/>
      <c r="I1018" s="53"/>
    </row>
    <row r="1019" spans="5:9" x14ac:dyDescent="0.3">
      <c r="E1019" s="53"/>
      <c r="F1019" s="53"/>
      <c r="G1019" s="53"/>
      <c r="H1019" s="53"/>
      <c r="I1019" s="53"/>
    </row>
    <row r="1020" spans="5:9" x14ac:dyDescent="0.3">
      <c r="E1020" s="53"/>
      <c r="F1020" s="53"/>
      <c r="G1020" s="53"/>
      <c r="H1020" s="53"/>
      <c r="I1020" s="53"/>
    </row>
    <row r="1021" spans="5:9" x14ac:dyDescent="0.3">
      <c r="E1021" s="53"/>
      <c r="F1021" s="53"/>
      <c r="G1021" s="53"/>
      <c r="H1021" s="53"/>
      <c r="I1021" s="53"/>
    </row>
    <row r="1022" spans="5:9" x14ac:dyDescent="0.3">
      <c r="E1022" s="53"/>
      <c r="F1022" s="53"/>
      <c r="G1022" s="53"/>
      <c r="H1022" s="53"/>
      <c r="I1022" s="53"/>
    </row>
    <row r="1023" spans="5:9" x14ac:dyDescent="0.3">
      <c r="E1023" s="53"/>
      <c r="F1023" s="53"/>
      <c r="G1023" s="53"/>
      <c r="H1023" s="53"/>
      <c r="I1023" s="53"/>
    </row>
    <row r="1024" spans="5:9" x14ac:dyDescent="0.3">
      <c r="E1024" s="53"/>
      <c r="F1024" s="53"/>
      <c r="G1024" s="53"/>
      <c r="H1024" s="53"/>
      <c r="I1024" s="53"/>
    </row>
    <row r="1025" spans="5:9" x14ac:dyDescent="0.3">
      <c r="E1025" s="53"/>
      <c r="F1025" s="53"/>
      <c r="G1025" s="53"/>
      <c r="H1025" s="53"/>
      <c r="I1025" s="53"/>
    </row>
    <row r="1026" spans="5:9" x14ac:dyDescent="0.3">
      <c r="E1026" s="53"/>
      <c r="F1026" s="53"/>
      <c r="G1026" s="53"/>
      <c r="H1026" s="53"/>
      <c r="I1026" s="53"/>
    </row>
    <row r="1027" spans="5:9" x14ac:dyDescent="0.3">
      <c r="E1027" s="53"/>
      <c r="F1027" s="53"/>
      <c r="G1027" s="53"/>
      <c r="H1027" s="53"/>
      <c r="I1027" s="53"/>
    </row>
    <row r="1028" spans="5:9" x14ac:dyDescent="0.3">
      <c r="E1028" s="53"/>
      <c r="F1028" s="53"/>
      <c r="G1028" s="53"/>
      <c r="H1028" s="53"/>
      <c r="I1028" s="53"/>
    </row>
    <row r="1029" spans="5:9" x14ac:dyDescent="0.3">
      <c r="E1029" s="53"/>
      <c r="F1029" s="53"/>
      <c r="G1029" s="53"/>
      <c r="H1029" s="53"/>
      <c r="I1029" s="53"/>
    </row>
    <row r="1030" spans="5:9" x14ac:dyDescent="0.3">
      <c r="E1030" s="53"/>
      <c r="F1030" s="53"/>
      <c r="G1030" s="53"/>
      <c r="H1030" s="53"/>
      <c r="I1030" s="53"/>
    </row>
    <row r="1031" spans="5:9" x14ac:dyDescent="0.3">
      <c r="E1031" s="53"/>
      <c r="F1031" s="53"/>
      <c r="G1031" s="53"/>
      <c r="H1031" s="53"/>
      <c r="I1031" s="53"/>
    </row>
    <row r="1032" spans="5:9" x14ac:dyDescent="0.3">
      <c r="E1032" s="53"/>
      <c r="F1032" s="53"/>
      <c r="G1032" s="53"/>
      <c r="H1032" s="53"/>
      <c r="I1032" s="53"/>
    </row>
  </sheetData>
  <customSheetViews>
    <customSheetView guid="{B7519FF1-05A6-4A79-8E47-A233872313D4}" scale="75" fitToPage="1">
      <selection activeCell="A11" sqref="A11"/>
      <rowBreaks count="1" manualBreakCount="1">
        <brk id="59" max="65535" man="1"/>
      </rowBreaks>
      <pageMargins left="1" right="0.75" top="1" bottom="1" header="0.5" footer="0.5"/>
      <pageSetup scale="71" orientation="portrait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71" orientation="portrait" horizontalDpi="300" verticalDpi="300" r:id="rId2"/>
  <headerFooter alignWithMargins="0">
    <oddHeader>&amp;R&amp;"Times New Roman,Bold"&amp;10KyPSC Case No. 2021-00190
STAFF-DR-01-049 Attachment 2
Page &amp;P of &amp;N</oddHeader>
  </headerFooter>
  <rowBreaks count="1" manualBreakCount="1">
    <brk id="5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41"/>
  <dimension ref="A1:U37"/>
  <sheetViews>
    <sheetView tabSelected="1" view="pageBreakPreview" zoomScale="60" zoomScaleNormal="75" workbookViewId="0">
      <selection activeCell="P13" sqref="P13"/>
    </sheetView>
  </sheetViews>
  <sheetFormatPr defaultColWidth="9.75" defaultRowHeight="15.6" x14ac:dyDescent="0.3"/>
  <cols>
    <col min="1" max="1" width="4.25" style="25" customWidth="1"/>
    <col min="2" max="2" width="0.4140625" style="25" customWidth="1"/>
    <col min="3" max="3" width="8.58203125" style="25" customWidth="1"/>
    <col min="4" max="4" width="35.08203125" style="25" customWidth="1"/>
    <col min="5" max="5" width="0.33203125" style="25" customWidth="1"/>
    <col min="6" max="6" width="13.75" style="25" customWidth="1"/>
    <col min="7" max="7" width="0.4140625" style="25" customWidth="1"/>
    <col min="8" max="8" width="14.75" style="25" customWidth="1"/>
    <col min="9" max="9" width="0.33203125" style="25" customWidth="1"/>
    <col min="10" max="10" width="15.6640625" style="25" customWidth="1"/>
    <col min="11" max="11" width="0.33203125" style="25" customWidth="1"/>
    <col min="12" max="12" width="10.08203125" style="25" customWidth="1"/>
    <col min="13" max="13" width="0.4140625" style="25" customWidth="1"/>
    <col min="14" max="14" width="13.75" style="25" customWidth="1"/>
    <col min="15" max="15" width="0.33203125" style="25" customWidth="1"/>
    <col min="16" max="16" width="14.75" style="25" customWidth="1"/>
    <col min="17" max="17" width="0.4140625" style="25" customWidth="1"/>
    <col min="18" max="18" width="15.75" style="25" customWidth="1"/>
    <col min="19" max="19" width="0.4140625" style="25" customWidth="1"/>
    <col min="20" max="20" width="12.08203125" style="25" customWidth="1"/>
    <col min="21" max="72" width="9.75" style="25"/>
    <col min="73" max="73" width="20.75" style="25" customWidth="1"/>
    <col min="74" max="16384" width="9.75" style="25"/>
  </cols>
  <sheetData>
    <row r="1" spans="1:20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3">
      <c r="A3" s="20" t="s">
        <v>300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">
      <c r="A6" s="24" t="str">
        <f>DATA_TYPE</f>
        <v>DATA: ___ BASE PERIOD   _X_FORECASTED PERIOD</v>
      </c>
      <c r="R6" s="26" t="s">
        <v>104</v>
      </c>
      <c r="S6" s="26"/>
    </row>
    <row r="7" spans="1:20" x14ac:dyDescent="0.3">
      <c r="A7" s="24" t="str">
        <f>FILING_TYPE</f>
        <v>TYPE OF FILING: _X_ ORIGINAL   ___UPDATED  ___ REVISED</v>
      </c>
      <c r="R7" s="26" t="s">
        <v>89</v>
      </c>
      <c r="S7" s="26"/>
    </row>
    <row r="8" spans="1:20" x14ac:dyDescent="0.3">
      <c r="A8" s="26" t="s">
        <v>98</v>
      </c>
      <c r="R8" s="26" t="s">
        <v>1</v>
      </c>
      <c r="S8" s="26"/>
    </row>
    <row r="9" spans="1:20" x14ac:dyDescent="0.3">
      <c r="A9" s="177" t="str">
        <f>TIME</f>
        <v>12 MONTHS FORECASTED</v>
      </c>
      <c r="F9" s="184" t="str">
        <f>INPUT!D4</f>
        <v>INCLUDES ALL RIDERS</v>
      </c>
      <c r="R9" s="24" t="str">
        <f>WIT</f>
        <v>J.L. Kern</v>
      </c>
      <c r="S9" s="26"/>
    </row>
    <row r="10" spans="1:20" x14ac:dyDescent="0.3">
      <c r="A10" s="20" t="s">
        <v>301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20"/>
      <c r="T10" s="19"/>
    </row>
    <row r="11" spans="1:20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x14ac:dyDescent="0.3">
      <c r="J12" s="176" t="s">
        <v>301</v>
      </c>
      <c r="K12" s="176"/>
      <c r="L12" s="176"/>
      <c r="M12" s="176"/>
      <c r="N12" s="176" t="s">
        <v>107</v>
      </c>
      <c r="O12" s="176"/>
      <c r="R12" s="176"/>
      <c r="S12" s="176"/>
      <c r="T12" s="176"/>
    </row>
    <row r="13" spans="1:20" x14ac:dyDescent="0.3">
      <c r="J13" s="176" t="s">
        <v>9</v>
      </c>
      <c r="K13" s="176"/>
      <c r="L13" s="176" t="s">
        <v>5</v>
      </c>
      <c r="M13" s="176"/>
      <c r="N13" s="176" t="s">
        <v>108</v>
      </c>
      <c r="O13" s="176"/>
      <c r="R13" s="176" t="s">
        <v>301</v>
      </c>
      <c r="S13" s="176"/>
      <c r="T13" s="176"/>
    </row>
    <row r="14" spans="1:20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31" t="s">
        <v>112</v>
      </c>
      <c r="K14" s="176"/>
      <c r="L14" s="176" t="s">
        <v>105</v>
      </c>
      <c r="M14" s="176"/>
      <c r="N14" s="176" t="s">
        <v>109</v>
      </c>
      <c r="O14" s="176"/>
      <c r="P14" s="31" t="s">
        <v>112</v>
      </c>
      <c r="Q14" s="176"/>
      <c r="R14" s="176" t="s">
        <v>6</v>
      </c>
      <c r="S14" s="176"/>
      <c r="T14" s="176" t="s">
        <v>107</v>
      </c>
    </row>
    <row r="15" spans="1:20" x14ac:dyDescent="0.3">
      <c r="A15" s="176" t="s">
        <v>19</v>
      </c>
      <c r="C15" s="176" t="s">
        <v>20</v>
      </c>
      <c r="D15" s="176" t="s">
        <v>21</v>
      </c>
      <c r="E15" s="176"/>
      <c r="F15" s="176" t="s">
        <v>50</v>
      </c>
      <c r="H15" s="176" t="s">
        <v>23</v>
      </c>
      <c r="I15" s="176"/>
      <c r="J15" s="176" t="s">
        <v>6</v>
      </c>
      <c r="K15" s="176"/>
      <c r="L15" s="176" t="s">
        <v>15</v>
      </c>
      <c r="M15" s="176"/>
      <c r="N15" s="31" t="s">
        <v>112</v>
      </c>
      <c r="O15" s="176"/>
      <c r="P15" s="176" t="s">
        <v>6</v>
      </c>
      <c r="Q15" s="176"/>
      <c r="R15" s="176" t="s">
        <v>8</v>
      </c>
      <c r="S15" s="176"/>
      <c r="T15" s="176" t="s">
        <v>108</v>
      </c>
    </row>
    <row r="16" spans="1:20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9" t="s">
        <v>34</v>
      </c>
      <c r="K16" s="188"/>
      <c r="L16" s="189" t="s">
        <v>106</v>
      </c>
      <c r="M16" s="188"/>
      <c r="N16" s="189" t="s">
        <v>36</v>
      </c>
      <c r="O16" s="188"/>
      <c r="P16" s="188" t="s">
        <v>37</v>
      </c>
      <c r="Q16" s="188"/>
      <c r="R16" s="189" t="s">
        <v>38</v>
      </c>
      <c r="S16" s="188"/>
      <c r="T16" s="189" t="s">
        <v>39</v>
      </c>
    </row>
    <row r="17" spans="1:2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1" x14ac:dyDescent="0.3">
      <c r="H18" s="189" t="s">
        <v>115</v>
      </c>
      <c r="I18" s="188"/>
      <c r="J18" s="188" t="s">
        <v>46</v>
      </c>
      <c r="K18" s="188"/>
      <c r="L18" s="189" t="s">
        <v>114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S18" s="188"/>
      <c r="T18" s="188" t="s">
        <v>47</v>
      </c>
    </row>
    <row r="19" spans="1:21" x14ac:dyDescent="0.3">
      <c r="A19" s="176">
        <v>1</v>
      </c>
      <c r="C19" s="26" t="s">
        <v>48</v>
      </c>
      <c r="D19" s="27" t="s">
        <v>226</v>
      </c>
      <c r="E19" s="26"/>
      <c r="F19" s="32">
        <f>'Rate RS'!X79</f>
        <v>1130041</v>
      </c>
      <c r="G19" s="21"/>
      <c r="H19" s="32">
        <f>'Rate RS'!Z79</f>
        <v>6481479</v>
      </c>
      <c r="I19" s="32"/>
      <c r="J19" s="32">
        <f>'Rate RS'!AD79</f>
        <v>52365407</v>
      </c>
      <c r="K19" s="32"/>
      <c r="L19" s="111">
        <f>IF(H19=0,"-",ROUND(J19/H19,4))</f>
        <v>8.0792000000000002</v>
      </c>
      <c r="M19" s="48"/>
      <c r="N19" s="92">
        <f>IF(ABS(J19/$J$34*100)&lt;0.005,"-",ROUND(J19/$J$34*100,2))-0.01</f>
        <v>70.47999999999999</v>
      </c>
      <c r="O19" s="44"/>
      <c r="P19" s="32">
        <f>'Rate RS'!AL79</f>
        <v>26327768</v>
      </c>
      <c r="Q19" s="32"/>
      <c r="R19" s="32">
        <f>J19+P19</f>
        <v>78693175</v>
      </c>
      <c r="S19" s="32"/>
      <c r="T19" s="92">
        <f t="shared" ref="T19:T33" si="0">IF(ABS(R19/$R$34*100)&lt;0.005,"-",ROUND(R19/$R$34*100,2))</f>
        <v>68.58</v>
      </c>
      <c r="U19" s="21"/>
    </row>
    <row r="20" spans="1:21" x14ac:dyDescent="0.3">
      <c r="A20" s="176">
        <v>2</v>
      </c>
      <c r="C20" s="26" t="s">
        <v>119</v>
      </c>
      <c r="D20" s="27" t="s">
        <v>227</v>
      </c>
      <c r="E20" s="26"/>
      <c r="F20" s="32">
        <f>'Rate GS COM'!X77</f>
        <v>78612</v>
      </c>
      <c r="G20" s="21"/>
      <c r="H20" s="32">
        <f>'Rate GS COM'!Z77</f>
        <v>2857007</v>
      </c>
      <c r="I20" s="32"/>
      <c r="J20" s="32">
        <f>'Rate GS COM'!AD77</f>
        <v>12285346</v>
      </c>
      <c r="K20" s="32"/>
      <c r="L20" s="111">
        <f t="shared" ref="L20:L33" si="1">IF(H20=0,"-",ROUND(J20/H20,4))</f>
        <v>4.3000999999999996</v>
      </c>
      <c r="M20" s="48"/>
      <c r="N20" s="92">
        <f t="shared" ref="N20:N33" si="2">IF(ABS(J20/$J$34*100)&lt;0.005,"-",ROUND(J20/$J$34*100,2))</f>
        <v>16.54</v>
      </c>
      <c r="O20" s="44"/>
      <c r="P20" s="32">
        <f>'Rate GS COM'!AL77</f>
        <v>11605162</v>
      </c>
      <c r="Q20" s="32"/>
      <c r="R20" s="32">
        <f t="shared" ref="R20:R33" si="3">J20+P20</f>
        <v>23890508</v>
      </c>
      <c r="S20" s="32"/>
      <c r="T20" s="92">
        <f t="shared" si="0"/>
        <v>20.82</v>
      </c>
      <c r="U20" s="21"/>
    </row>
    <row r="21" spans="1:21" x14ac:dyDescent="0.3">
      <c r="A21" s="176">
        <v>3</v>
      </c>
      <c r="C21" s="26" t="s">
        <v>119</v>
      </c>
      <c r="D21" s="27" t="s">
        <v>228</v>
      </c>
      <c r="E21" s="26"/>
      <c r="F21" s="37">
        <f>'Rate GS IND'!X82</f>
        <v>2547</v>
      </c>
      <c r="H21" s="37">
        <f>'Rate GS IND'!Z82</f>
        <v>290082</v>
      </c>
      <c r="I21" s="37"/>
      <c r="J21" s="37">
        <f>'Rate GS IND'!AD82</f>
        <v>975637</v>
      </c>
      <c r="K21" s="37"/>
      <c r="L21" s="111">
        <f t="shared" si="1"/>
        <v>3.3633000000000002</v>
      </c>
      <c r="M21" s="46"/>
      <c r="N21" s="92">
        <f t="shared" si="2"/>
        <v>1.31</v>
      </c>
      <c r="O21" s="70"/>
      <c r="P21" s="37">
        <f>'Rate GS IND'!AL82</f>
        <v>1178313</v>
      </c>
      <c r="Q21" s="37"/>
      <c r="R21" s="37">
        <f t="shared" si="3"/>
        <v>2153950</v>
      </c>
      <c r="S21" s="37"/>
      <c r="T21" s="92">
        <f t="shared" si="0"/>
        <v>1.88</v>
      </c>
    </row>
    <row r="22" spans="1:21" x14ac:dyDescent="0.3">
      <c r="A22" s="176">
        <v>4</v>
      </c>
      <c r="C22" s="26" t="s">
        <v>119</v>
      </c>
      <c r="D22" s="26" t="s">
        <v>229</v>
      </c>
      <c r="E22" s="26"/>
      <c r="F22" s="37">
        <f>'Rate GS OPA'!X79</f>
        <v>2861</v>
      </c>
      <c r="H22" s="37">
        <f>'Rate GS OPA'!Z79</f>
        <v>330383</v>
      </c>
      <c r="I22" s="37"/>
      <c r="J22" s="37">
        <f>'Rate GS OPA'!AD79</f>
        <v>1109189</v>
      </c>
      <c r="K22" s="37"/>
      <c r="L22" s="111">
        <f t="shared" si="1"/>
        <v>3.3573</v>
      </c>
      <c r="M22" s="46"/>
      <c r="N22" s="92">
        <f t="shared" si="2"/>
        <v>1.49</v>
      </c>
      <c r="O22" s="70"/>
      <c r="P22" s="37">
        <f>'Rate GS OPA'!AL79</f>
        <v>1342016</v>
      </c>
      <c r="Q22" s="37"/>
      <c r="R22" s="37">
        <f t="shared" si="3"/>
        <v>2451205</v>
      </c>
      <c r="S22" s="37"/>
      <c r="T22" s="92">
        <f t="shared" si="0"/>
        <v>2.14</v>
      </c>
    </row>
    <row r="23" spans="1:21" x14ac:dyDescent="0.3">
      <c r="A23" s="176">
        <v>5</v>
      </c>
      <c r="C23" s="26" t="s">
        <v>299</v>
      </c>
      <c r="D23" s="26" t="s">
        <v>170</v>
      </c>
      <c r="E23" s="26"/>
      <c r="F23" s="37">
        <f>'Rate FT-LG'!X71</f>
        <v>1092</v>
      </c>
      <c r="H23" s="37">
        <f>'Rate FT-LG'!Z71</f>
        <v>2736182</v>
      </c>
      <c r="I23" s="37"/>
      <c r="J23" s="37">
        <f>'Rate FT-LG'!AD71</f>
        <v>5452147</v>
      </c>
      <c r="K23" s="37"/>
      <c r="L23" s="111">
        <f t="shared" si="1"/>
        <v>1.9925999999999999</v>
      </c>
      <c r="M23" s="46"/>
      <c r="N23" s="92">
        <f t="shared" si="2"/>
        <v>7.34</v>
      </c>
      <c r="O23" s="70"/>
      <c r="P23" s="37">
        <f>'Rate FT-LG'!AL71</f>
        <v>-7935</v>
      </c>
      <c r="Q23" s="37"/>
      <c r="R23" s="165">
        <f t="shared" si="3"/>
        <v>5444212</v>
      </c>
      <c r="S23" s="37"/>
      <c r="T23" s="92">
        <f t="shared" si="0"/>
        <v>4.74</v>
      </c>
    </row>
    <row r="24" spans="1:21" x14ac:dyDescent="0.3">
      <c r="A24" s="176">
        <v>6</v>
      </c>
      <c r="C24" s="26" t="s">
        <v>156</v>
      </c>
      <c r="D24" s="26" t="s">
        <v>164</v>
      </c>
      <c r="E24" s="26"/>
      <c r="F24" s="37">
        <f>'Rate IT'!X74</f>
        <v>264</v>
      </c>
      <c r="H24" s="37">
        <f>'Rate IT'!Z74</f>
        <v>1672200</v>
      </c>
      <c r="I24" s="37"/>
      <c r="J24" s="37">
        <f>'Rate IT'!AD74</f>
        <v>1782710</v>
      </c>
      <c r="K24" s="37"/>
      <c r="L24" s="111">
        <f>IF(H24=0,"-",ROUND(J24/H24,4))</f>
        <v>1.0661</v>
      </c>
      <c r="M24" s="46"/>
      <c r="N24" s="92">
        <f t="shared" si="2"/>
        <v>2.4</v>
      </c>
      <c r="O24" s="70"/>
      <c r="P24" s="37">
        <f>'Rate IT'!AL74</f>
        <v>0</v>
      </c>
      <c r="Q24" s="37"/>
      <c r="R24" s="165">
        <f>J24+P24</f>
        <v>1782710</v>
      </c>
      <c r="S24" s="37"/>
      <c r="T24" s="92">
        <f t="shared" si="0"/>
        <v>1.55</v>
      </c>
    </row>
    <row r="25" spans="1:21" x14ac:dyDescent="0.3">
      <c r="A25" s="176">
        <v>7</v>
      </c>
      <c r="C25" s="26"/>
      <c r="D25" s="27" t="s">
        <v>139</v>
      </c>
      <c r="E25" s="26"/>
      <c r="F25" s="37">
        <f>'SCH M-2.2'!F37</f>
        <v>0</v>
      </c>
      <c r="H25" s="37">
        <f>'SCH M-2.2'!H37</f>
        <v>0</v>
      </c>
      <c r="I25" s="37"/>
      <c r="J25" s="37">
        <f>'SCH M-2.2'!L37</f>
        <v>0</v>
      </c>
      <c r="K25" s="37"/>
      <c r="L25" s="111" t="str">
        <f>IF(H25=0,"-",ROUND(J25/H25,4))</f>
        <v>-</v>
      </c>
      <c r="M25" s="46"/>
      <c r="N25" s="92" t="str">
        <f t="shared" si="2"/>
        <v>-</v>
      </c>
      <c r="O25" s="70"/>
      <c r="P25" s="37">
        <f>'SCH M-2.2'!T37</f>
        <v>0</v>
      </c>
      <c r="Q25" s="37"/>
      <c r="R25" s="37">
        <f t="shared" si="3"/>
        <v>0</v>
      </c>
      <c r="S25" s="37"/>
      <c r="T25" s="92" t="str">
        <f t="shared" si="0"/>
        <v>-</v>
      </c>
    </row>
    <row r="26" spans="1:21" x14ac:dyDescent="0.3">
      <c r="A26" s="176">
        <v>8</v>
      </c>
      <c r="C26" s="26"/>
      <c r="D26" s="27" t="s">
        <v>140</v>
      </c>
      <c r="E26" s="26"/>
      <c r="F26" s="37">
        <f>'SCH M-2.2'!F38</f>
        <v>0</v>
      </c>
      <c r="H26" s="37">
        <f>'SCH M-2.2'!H38</f>
        <v>0</v>
      </c>
      <c r="I26" s="37"/>
      <c r="J26" s="37">
        <f>'SCH M-2.2'!L38</f>
        <v>27420</v>
      </c>
      <c r="K26" s="37"/>
      <c r="L26" s="111" t="str">
        <f t="shared" si="1"/>
        <v>-</v>
      </c>
      <c r="M26" s="46"/>
      <c r="N26" s="92">
        <f t="shared" si="2"/>
        <v>0.04</v>
      </c>
      <c r="O26" s="70"/>
      <c r="P26" s="37">
        <f>'SCH M-2.2'!T38</f>
        <v>0</v>
      </c>
      <c r="Q26" s="37"/>
      <c r="R26" s="37">
        <f t="shared" si="3"/>
        <v>27420</v>
      </c>
      <c r="S26" s="37"/>
      <c r="T26" s="92">
        <f t="shared" si="0"/>
        <v>0.02</v>
      </c>
    </row>
    <row r="27" spans="1:21" x14ac:dyDescent="0.3">
      <c r="A27" s="176">
        <v>9</v>
      </c>
      <c r="C27" s="26"/>
      <c r="D27" s="27" t="s">
        <v>180</v>
      </c>
      <c r="E27" s="26"/>
      <c r="F27" s="37">
        <f>'SCH M-2.2'!F39</f>
        <v>0</v>
      </c>
      <c r="H27" s="37">
        <f>'SCH M-2.2'!H39</f>
        <v>0</v>
      </c>
      <c r="I27" s="37"/>
      <c r="J27" s="37">
        <f>'SCH M-2.2'!L39</f>
        <v>23364</v>
      </c>
      <c r="K27" s="37"/>
      <c r="L27" s="111" t="str">
        <f t="shared" si="1"/>
        <v>-</v>
      </c>
      <c r="M27" s="46"/>
      <c r="N27" s="92">
        <f t="shared" si="2"/>
        <v>0.03</v>
      </c>
      <c r="O27" s="70"/>
      <c r="P27" s="37">
        <f>'SCH M-2.2'!T39</f>
        <v>0</v>
      </c>
      <c r="Q27" s="37"/>
      <c r="R27" s="37">
        <f t="shared" si="3"/>
        <v>23364</v>
      </c>
      <c r="S27" s="37"/>
      <c r="T27" s="92">
        <f t="shared" si="0"/>
        <v>0.02</v>
      </c>
    </row>
    <row r="28" spans="1:21" x14ac:dyDescent="0.3">
      <c r="A28" s="176">
        <v>10</v>
      </c>
      <c r="C28" s="26"/>
      <c r="D28" s="27" t="s">
        <v>311</v>
      </c>
      <c r="E28" s="26"/>
      <c r="F28" s="37">
        <f>'SCH M-2.2'!F40</f>
        <v>0</v>
      </c>
      <c r="G28" s="37"/>
      <c r="H28" s="37">
        <f>'SCH M-2.2'!H40</f>
        <v>0</v>
      </c>
      <c r="I28" s="37"/>
      <c r="J28" s="37">
        <f>'SCH M-2.2'!L40</f>
        <v>684</v>
      </c>
      <c r="K28" s="37"/>
      <c r="L28" s="111" t="str">
        <f t="shared" si="1"/>
        <v>-</v>
      </c>
      <c r="M28" s="46"/>
      <c r="N28" s="92" t="str">
        <f t="shared" si="2"/>
        <v>-</v>
      </c>
      <c r="O28" s="70"/>
      <c r="P28" s="37">
        <f>'SCH M-2.2'!T40</f>
        <v>0</v>
      </c>
      <c r="Q28" s="37"/>
      <c r="R28" s="37">
        <f t="shared" si="3"/>
        <v>684</v>
      </c>
      <c r="S28" s="37"/>
      <c r="T28" s="92" t="str">
        <f t="shared" si="0"/>
        <v>-</v>
      </c>
    </row>
    <row r="29" spans="1:21" x14ac:dyDescent="0.3">
      <c r="A29" s="176">
        <v>11</v>
      </c>
      <c r="C29" s="26"/>
      <c r="D29" s="26" t="s">
        <v>128</v>
      </c>
      <c r="E29" s="26"/>
      <c r="F29" s="37">
        <f>'SCH M-2.2'!F41</f>
        <v>0</v>
      </c>
      <c r="G29" s="37"/>
      <c r="H29" s="37">
        <f>'SCH M-2.2'!H41</f>
        <v>4158</v>
      </c>
      <c r="I29" s="37"/>
      <c r="J29" s="37">
        <f>'SCH M-2.2'!L41</f>
        <v>10875</v>
      </c>
      <c r="K29" s="37"/>
      <c r="L29" s="111">
        <f t="shared" si="1"/>
        <v>2.6154000000000002</v>
      </c>
      <c r="M29" s="46"/>
      <c r="N29" s="92">
        <f t="shared" si="2"/>
        <v>0.01</v>
      </c>
      <c r="O29" s="70"/>
      <c r="P29" s="37">
        <f>'SCH M-2.2'!T41</f>
        <v>16890</v>
      </c>
      <c r="Q29" s="37"/>
      <c r="R29" s="37">
        <f t="shared" si="3"/>
        <v>27765</v>
      </c>
      <c r="S29" s="37"/>
      <c r="T29" s="92">
        <f t="shared" si="0"/>
        <v>0.02</v>
      </c>
    </row>
    <row r="30" spans="1:21" x14ac:dyDescent="0.3">
      <c r="A30" s="176">
        <v>12</v>
      </c>
      <c r="C30" s="26"/>
      <c r="D30" s="26" t="s">
        <v>312</v>
      </c>
      <c r="E30" s="26"/>
      <c r="F30" s="37">
        <f>'SCH M-2.2'!F42</f>
        <v>0</v>
      </c>
      <c r="G30" s="37"/>
      <c r="H30" s="37">
        <f>'SCH M-2.2'!H42</f>
        <v>0</v>
      </c>
      <c r="I30" s="37"/>
      <c r="J30" s="37">
        <f>'SCH M-2.2'!L42</f>
        <v>258228</v>
      </c>
      <c r="K30" s="37"/>
      <c r="L30" s="111" t="str">
        <f t="shared" si="1"/>
        <v>-</v>
      </c>
      <c r="M30" s="46"/>
      <c r="N30" s="92">
        <f t="shared" si="2"/>
        <v>0.35</v>
      </c>
      <c r="O30" s="70"/>
      <c r="P30" s="37">
        <f>'SCH M-2.2'!T42</f>
        <v>0</v>
      </c>
      <c r="Q30" s="37"/>
      <c r="R30" s="37">
        <f t="shared" si="3"/>
        <v>258228</v>
      </c>
      <c r="S30" s="37"/>
      <c r="T30" s="92">
        <f t="shared" si="0"/>
        <v>0.23</v>
      </c>
    </row>
    <row r="31" spans="1:21" x14ac:dyDescent="0.3">
      <c r="A31" s="176">
        <v>13</v>
      </c>
      <c r="C31" s="26"/>
      <c r="D31" s="26" t="s">
        <v>233</v>
      </c>
      <c r="E31" s="26"/>
      <c r="F31" s="37">
        <f>'SCH M-2.2'!F43</f>
        <v>0</v>
      </c>
      <c r="G31" s="37"/>
      <c r="H31" s="37">
        <f>'SCH M-2.2'!H43</f>
        <v>0</v>
      </c>
      <c r="I31" s="37"/>
      <c r="J31" s="37">
        <f>'SCH M-2.2'!L43</f>
        <v>0</v>
      </c>
      <c r="K31" s="37"/>
      <c r="L31" s="111" t="str">
        <f t="shared" si="1"/>
        <v>-</v>
      </c>
      <c r="M31" s="46"/>
      <c r="N31" s="92" t="str">
        <f t="shared" si="2"/>
        <v>-</v>
      </c>
      <c r="O31" s="70"/>
      <c r="P31" s="37">
        <f>'SCH M-2.2'!T43</f>
        <v>0</v>
      </c>
      <c r="Q31" s="37"/>
      <c r="R31" s="37">
        <f t="shared" si="3"/>
        <v>0</v>
      </c>
      <c r="S31" s="37"/>
      <c r="T31" s="92" t="str">
        <f t="shared" si="0"/>
        <v>-</v>
      </c>
    </row>
    <row r="32" spans="1:21" x14ac:dyDescent="0.3">
      <c r="A32" s="176">
        <v>14</v>
      </c>
      <c r="C32" s="26"/>
      <c r="D32" s="26" t="s">
        <v>234</v>
      </c>
      <c r="E32" s="26"/>
      <c r="F32" s="37">
        <f>'SCH M-2.2'!F44</f>
        <v>0</v>
      </c>
      <c r="G32" s="37"/>
      <c r="H32" s="37">
        <f>'SCH M-2.2'!H44</f>
        <v>0</v>
      </c>
      <c r="I32" s="37"/>
      <c r="J32" s="37">
        <f>'SCH M-2.2'!L44</f>
        <v>0</v>
      </c>
      <c r="K32" s="37"/>
      <c r="L32" s="111" t="str">
        <f t="shared" ref="L32" si="4">IF(H32=0,"-",ROUND(J32/H32,4))</f>
        <v>-</v>
      </c>
      <c r="M32" s="46"/>
      <c r="N32" s="92" t="str">
        <f t="shared" si="2"/>
        <v>-</v>
      </c>
      <c r="O32" s="70"/>
      <c r="P32" s="37">
        <f>'SCH M-2.2'!T44</f>
        <v>0</v>
      </c>
      <c r="Q32" s="37"/>
      <c r="R32" s="37">
        <f t="shared" ref="R32" si="5">J32+P32</f>
        <v>0</v>
      </c>
      <c r="S32" s="37"/>
      <c r="T32" s="92" t="str">
        <f t="shared" si="0"/>
        <v>-</v>
      </c>
    </row>
    <row r="33" spans="1:20" x14ac:dyDescent="0.3">
      <c r="A33" s="176">
        <v>15</v>
      </c>
      <c r="C33" s="26"/>
      <c r="D33" s="26" t="s">
        <v>230</v>
      </c>
      <c r="E33" s="26"/>
      <c r="F33" s="37">
        <f>'SCH M-2.2'!F45</f>
        <v>0</v>
      </c>
      <c r="H33" s="37">
        <f>'SCH M-2.2'!H45</f>
        <v>0</v>
      </c>
      <c r="I33" s="37"/>
      <c r="J33" s="37">
        <f>'SCH M-2.2'!L45</f>
        <v>528</v>
      </c>
      <c r="K33" s="37"/>
      <c r="L33" s="111" t="str">
        <f t="shared" si="1"/>
        <v>-</v>
      </c>
      <c r="M33" s="46"/>
      <c r="N33" s="92" t="str">
        <f t="shared" si="2"/>
        <v>-</v>
      </c>
      <c r="O33" s="70"/>
      <c r="P33" s="36">
        <f>'SCH M-2.2'!T45</f>
        <v>0</v>
      </c>
      <c r="Q33" s="37"/>
      <c r="R33" s="37">
        <f t="shared" si="3"/>
        <v>528</v>
      </c>
      <c r="S33" s="37"/>
      <c r="T33" s="92" t="str">
        <f t="shared" si="0"/>
        <v>-</v>
      </c>
    </row>
    <row r="34" spans="1:20" ht="22.5" customHeight="1" thickBot="1" x14ac:dyDescent="0.35">
      <c r="A34" s="176">
        <v>16</v>
      </c>
      <c r="C34" s="26" t="s">
        <v>55</v>
      </c>
      <c r="F34" s="84">
        <f>SUM(F19:F33)</f>
        <v>1215417</v>
      </c>
      <c r="H34" s="84">
        <f>SUM(H19:H33)</f>
        <v>14371491</v>
      </c>
      <c r="I34" s="37"/>
      <c r="J34" s="84">
        <f>SUM(J19:J33)</f>
        <v>74291535</v>
      </c>
      <c r="K34" s="37"/>
      <c r="L34" s="112">
        <f>IF(H34=0,"-",ROUND(J34/H34,4))</f>
        <v>5.1694000000000004</v>
      </c>
      <c r="M34" s="46"/>
      <c r="N34" s="132">
        <f>SUM(N19:N33)</f>
        <v>99.99</v>
      </c>
      <c r="O34" s="70"/>
      <c r="P34" s="84">
        <f>SUM(P19:P33)</f>
        <v>40462214</v>
      </c>
      <c r="Q34" s="37"/>
      <c r="R34" s="84">
        <f>SUM(R19:R33)</f>
        <v>114753749</v>
      </c>
      <c r="S34" s="37"/>
      <c r="T34" s="132">
        <f>SUM(T19:T33)</f>
        <v>99.999999999999986</v>
      </c>
    </row>
    <row r="35" spans="1:20" ht="16.2" thickTop="1" x14ac:dyDescent="0.3"/>
    <row r="36" spans="1:20" x14ac:dyDescent="0.3">
      <c r="C36" s="27" t="s">
        <v>110</v>
      </c>
    </row>
    <row r="37" spans="1:20" x14ac:dyDescent="0.3">
      <c r="A37" s="26"/>
      <c r="H37" s="53"/>
    </row>
  </sheetData>
  <customSheetViews>
    <customSheetView guid="{B7519FF1-05A6-4A79-8E47-A233872313D4}" scale="75" fitToPage="1" topLeftCell="A6">
      <selection activeCell="F9" sqref="F9"/>
      <pageMargins left="1" right="0.5" top="1" bottom="0" header="0.5" footer="0.5"/>
      <pageSetup scale="63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1" orientation="landscape" horizontalDpi="300" verticalDpi="300" r:id="rId2"/>
  <headerFooter alignWithMargins="0">
    <oddHeader>&amp;R&amp;"Times New Roman,Bold"&amp;10KyPSC Case No. 2021-00190
STAFF-DR-01-049 Attachment 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4"/>
  <dimension ref="A1:AM931"/>
  <sheetViews>
    <sheetView tabSelected="1" view="pageBreakPreview" zoomScale="60" zoomScaleNormal="75" workbookViewId="0">
      <selection activeCell="P13" sqref="P13"/>
    </sheetView>
  </sheetViews>
  <sheetFormatPr defaultColWidth="9.75" defaultRowHeight="15.6" x14ac:dyDescent="0.3"/>
  <cols>
    <col min="1" max="1" width="4.25" style="25" customWidth="1"/>
    <col min="2" max="2" width="0.4140625" style="25" customWidth="1"/>
    <col min="3" max="3" width="10.6640625" style="25" customWidth="1"/>
    <col min="4" max="4" width="26" style="25" customWidth="1"/>
    <col min="5" max="5" width="0.33203125" style="25" customWidth="1"/>
    <col min="6" max="6" width="13.75" style="25" customWidth="1"/>
    <col min="7" max="7" width="0.4140625" style="25" customWidth="1"/>
    <col min="8" max="8" width="15.6640625" style="25" customWidth="1"/>
    <col min="9" max="9" width="0.33203125" style="25" customWidth="1"/>
    <col min="10" max="10" width="8.75" style="25" customWidth="1"/>
    <col min="11" max="11" width="0.33203125" style="25" customWidth="1"/>
    <col min="12" max="12" width="15.6640625" style="25" customWidth="1"/>
    <col min="13" max="13" width="0.33203125" style="25" customWidth="1"/>
    <col min="14" max="14" width="11.75" style="25" customWidth="1"/>
    <col min="15" max="15" width="0.4140625" style="25" customWidth="1"/>
    <col min="16" max="16" width="15.75" style="25" customWidth="1"/>
    <col min="17" max="17" width="0.33203125" style="25" customWidth="1"/>
    <col min="18" max="18" width="13.9140625" style="25" customWidth="1"/>
    <col min="19" max="19" width="0.33203125" style="25" customWidth="1"/>
    <col min="20" max="20" width="14.4140625" style="25" customWidth="1"/>
    <col min="21" max="21" width="0.4140625" style="25" customWidth="1"/>
    <col min="22" max="22" width="15.75" style="25" customWidth="1"/>
    <col min="23" max="23" width="0.4140625" style="25" customWidth="1"/>
    <col min="24" max="24" width="11.75" style="25" customWidth="1"/>
    <col min="25" max="76" width="9.75" style="25"/>
    <col min="77" max="77" width="20.75" style="25" customWidth="1"/>
    <col min="78" max="16384" width="9.75" style="25"/>
  </cols>
  <sheetData>
    <row r="1" spans="1:24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4" t="str">
        <f>DATA_TYPE</f>
        <v>DATA: ___ BASE PERIOD   _X_FORECASTED PERIOD</v>
      </c>
      <c r="V6" s="26" t="s">
        <v>88</v>
      </c>
      <c r="W6" s="26"/>
    </row>
    <row r="7" spans="1:24" x14ac:dyDescent="0.3">
      <c r="A7" s="24" t="str">
        <f>FILING_TYPE</f>
        <v>TYPE OF FILING: _X_ ORIGINAL   ___UPDATED  ___ REVISED</v>
      </c>
      <c r="V7" s="27" t="s">
        <v>179</v>
      </c>
      <c r="W7" s="26"/>
    </row>
    <row r="8" spans="1:24" x14ac:dyDescent="0.3">
      <c r="A8" s="26" t="s">
        <v>98</v>
      </c>
      <c r="V8" s="26" t="s">
        <v>1</v>
      </c>
      <c r="W8" s="26"/>
    </row>
    <row r="9" spans="1:24" x14ac:dyDescent="0.3">
      <c r="A9" s="26" t="str">
        <f>TIME</f>
        <v>12 MONTHS FORECASTED</v>
      </c>
      <c r="F9" s="184" t="str">
        <f>INPUT!D4</f>
        <v>INCLUDES ALL RIDERS</v>
      </c>
      <c r="V9" s="24" t="str">
        <f>WIT</f>
        <v>J.L. Kern</v>
      </c>
      <c r="W9" s="26"/>
    </row>
    <row r="10" spans="1:24" x14ac:dyDescent="0.3">
      <c r="A10" s="20" t="s">
        <v>84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19"/>
    </row>
    <row r="11" spans="1:24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x14ac:dyDescent="0.3">
      <c r="L12" s="176" t="s">
        <v>5</v>
      </c>
      <c r="M12" s="176"/>
      <c r="N12" s="176" t="s">
        <v>4</v>
      </c>
      <c r="O12" s="176"/>
      <c r="P12" s="176" t="s">
        <v>6</v>
      </c>
      <c r="Q12" s="176"/>
      <c r="R12" s="176" t="s">
        <v>7</v>
      </c>
      <c r="S12" s="176"/>
      <c r="V12" s="176" t="s">
        <v>5</v>
      </c>
      <c r="W12" s="176"/>
      <c r="X12" s="176" t="s">
        <v>8</v>
      </c>
    </row>
    <row r="13" spans="1:24" x14ac:dyDescent="0.3">
      <c r="J13" s="176" t="s">
        <v>11</v>
      </c>
      <c r="K13" s="176"/>
      <c r="L13" s="176" t="s">
        <v>9</v>
      </c>
      <c r="M13" s="176"/>
      <c r="N13" s="176" t="s">
        <v>10</v>
      </c>
      <c r="O13" s="176"/>
      <c r="P13" s="176" t="s">
        <v>12</v>
      </c>
      <c r="Q13" s="176"/>
      <c r="R13" s="176" t="s">
        <v>13</v>
      </c>
      <c r="S13" s="176"/>
      <c r="V13" s="176" t="s">
        <v>8</v>
      </c>
      <c r="W13" s="176"/>
      <c r="X13" s="176" t="s">
        <v>6</v>
      </c>
    </row>
    <row r="14" spans="1:24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5</v>
      </c>
      <c r="K14" s="176"/>
      <c r="L14" s="31" t="s">
        <v>112</v>
      </c>
      <c r="M14" s="176"/>
      <c r="N14" s="31" t="s">
        <v>112</v>
      </c>
      <c r="O14" s="176"/>
      <c r="P14" s="31" t="s">
        <v>113</v>
      </c>
      <c r="Q14" s="176"/>
      <c r="R14" s="31" t="s">
        <v>113</v>
      </c>
      <c r="S14" s="176"/>
      <c r="T14" s="31" t="s">
        <v>112</v>
      </c>
      <c r="U14" s="176"/>
      <c r="V14" s="176" t="s">
        <v>6</v>
      </c>
      <c r="W14" s="176"/>
      <c r="X14" s="176" t="s">
        <v>18</v>
      </c>
    </row>
    <row r="15" spans="1:24" x14ac:dyDescent="0.3">
      <c r="A15" s="176" t="s">
        <v>19</v>
      </c>
      <c r="C15" s="176" t="s">
        <v>20</v>
      </c>
      <c r="D15" s="176" t="s">
        <v>21</v>
      </c>
      <c r="E15" s="176"/>
      <c r="F15" s="31" t="s">
        <v>22</v>
      </c>
      <c r="H15" s="31" t="s">
        <v>117</v>
      </c>
      <c r="I15" s="176"/>
      <c r="J15" s="176" t="s">
        <v>24</v>
      </c>
      <c r="K15" s="176"/>
      <c r="L15" s="176" t="s">
        <v>199</v>
      </c>
      <c r="M15" s="176"/>
      <c r="N15" s="176" t="s">
        <v>6</v>
      </c>
      <c r="O15" s="176"/>
      <c r="P15" s="188" t="s">
        <v>26</v>
      </c>
      <c r="Q15" s="188"/>
      <c r="R15" s="188" t="s">
        <v>27</v>
      </c>
      <c r="S15" s="176"/>
      <c r="T15" s="31" t="s">
        <v>116</v>
      </c>
      <c r="U15" s="176"/>
      <c r="V15" s="188" t="s">
        <v>28</v>
      </c>
      <c r="W15" s="188"/>
      <c r="X15" s="188" t="s">
        <v>29</v>
      </c>
    </row>
    <row r="16" spans="1:24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39</v>
      </c>
      <c r="K16" s="188"/>
      <c r="L16" s="188" t="s">
        <v>40</v>
      </c>
      <c r="M16" s="188"/>
      <c r="N16" s="188" t="s">
        <v>41</v>
      </c>
      <c r="O16" s="188"/>
      <c r="P16" s="188" t="s">
        <v>42</v>
      </c>
      <c r="Q16" s="188"/>
      <c r="R16" s="188" t="s">
        <v>43</v>
      </c>
      <c r="S16" s="188"/>
      <c r="T16" s="188" t="s">
        <v>37</v>
      </c>
      <c r="U16" s="188"/>
      <c r="V16" s="188" t="s">
        <v>44</v>
      </c>
      <c r="W16" s="188"/>
      <c r="X16" s="188" t="s">
        <v>45</v>
      </c>
    </row>
    <row r="17" spans="1:3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3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47</v>
      </c>
      <c r="S18" s="188"/>
      <c r="T18" s="188" t="s">
        <v>46</v>
      </c>
      <c r="U18" s="188"/>
      <c r="V18" s="188" t="s">
        <v>46</v>
      </c>
      <c r="W18" s="188"/>
      <c r="X18" s="188" t="s">
        <v>47</v>
      </c>
    </row>
    <row r="19" spans="1:39" x14ac:dyDescent="0.3">
      <c r="A19" s="25">
        <v>1</v>
      </c>
      <c r="C19" s="190" t="s">
        <v>145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39" x14ac:dyDescent="0.3">
      <c r="A20" s="24">
        <v>2</v>
      </c>
      <c r="C20" s="26" t="s">
        <v>48</v>
      </c>
      <c r="D20" s="27" t="s">
        <v>49</v>
      </c>
      <c r="E20" s="26"/>
      <c r="F20" s="36">
        <f>'Rate RS'!X79</f>
        <v>1130041</v>
      </c>
      <c r="G20" s="53"/>
      <c r="H20" s="36">
        <f>'Rate RS'!Z79</f>
        <v>6481479</v>
      </c>
      <c r="I20" s="37"/>
      <c r="J20" s="90">
        <f>ROUND((L20/H20),4)</f>
        <v>8.0792000000000002</v>
      </c>
      <c r="K20" s="46"/>
      <c r="L20" s="36">
        <f>'Rate RS'!AD79</f>
        <v>52365407</v>
      </c>
      <c r="M20" s="37"/>
      <c r="N20" s="82">
        <f>ROUND((L20/L$21)*100,2)</f>
        <v>100</v>
      </c>
      <c r="O20" s="46"/>
      <c r="P20" s="36">
        <f>'Rate RS'!AH79</f>
        <v>9956674</v>
      </c>
      <c r="Q20" s="37"/>
      <c r="R20" s="78">
        <f>IF(L20=0,"0.0 ",ROUND((P20/L20)*100,1))</f>
        <v>19</v>
      </c>
      <c r="S20" s="70"/>
      <c r="T20" s="36">
        <f>'Rate RS'!AL79</f>
        <v>26327768</v>
      </c>
      <c r="U20" s="37"/>
      <c r="V20" s="36">
        <f>'Rate RS'!AN79</f>
        <v>78693175</v>
      </c>
      <c r="W20" s="37"/>
      <c r="X20" s="115">
        <f>IF(V20=0,"0.0 ",ROUND((P20/V20)*100,1))</f>
        <v>12.7</v>
      </c>
    </row>
    <row r="21" spans="1:39" ht="22.5" customHeight="1" x14ac:dyDescent="0.3">
      <c r="A21" s="24">
        <v>3</v>
      </c>
      <c r="C21" s="21"/>
      <c r="D21" s="191" t="s">
        <v>150</v>
      </c>
      <c r="F21" s="116">
        <f>F20</f>
        <v>1130041</v>
      </c>
      <c r="G21" s="53"/>
      <c r="H21" s="116">
        <f>H20</f>
        <v>6481479</v>
      </c>
      <c r="I21" s="37"/>
      <c r="J21" s="90">
        <f>ROUND((L21/H21),4)</f>
        <v>8.0792000000000002</v>
      </c>
      <c r="K21" s="46"/>
      <c r="L21" s="116">
        <f>L20</f>
        <v>52365407</v>
      </c>
      <c r="M21" s="37"/>
      <c r="N21" s="117">
        <f>ROUND((L21/$L48)*100,2)+0.01</f>
        <v>70.5</v>
      </c>
      <c r="O21" s="46"/>
      <c r="P21" s="116">
        <f>P20</f>
        <v>9956674</v>
      </c>
      <c r="Q21" s="37"/>
      <c r="R21" s="78">
        <f>IF(L21=0,"0.0 ",ROUND((P21/L21)*100,1))</f>
        <v>19</v>
      </c>
      <c r="S21" s="70"/>
      <c r="T21" s="116">
        <f>T20</f>
        <v>26327768</v>
      </c>
      <c r="U21" s="37"/>
      <c r="V21" s="116">
        <f>V20</f>
        <v>78693175</v>
      </c>
      <c r="W21" s="37"/>
      <c r="X21" s="115">
        <f>IF(V21=0,"0.0 ",ROUND((P21/V21)*100,1))</f>
        <v>12.7</v>
      </c>
    </row>
    <row r="22" spans="1:39" x14ac:dyDescent="0.3">
      <c r="A22" s="175"/>
      <c r="F22" s="37"/>
      <c r="G22" s="53"/>
      <c r="H22" s="37"/>
      <c r="I22" s="37"/>
      <c r="J22" s="80"/>
      <c r="K22" s="46"/>
      <c r="L22" s="37"/>
      <c r="M22" s="37"/>
      <c r="N22" s="81"/>
      <c r="O22" s="46"/>
      <c r="P22" s="53"/>
      <c r="R22" s="70"/>
      <c r="S22" s="70"/>
      <c r="T22" s="37"/>
      <c r="U22" s="37"/>
      <c r="V22" s="37"/>
      <c r="W22" s="37"/>
      <c r="X22" s="103"/>
    </row>
    <row r="23" spans="1:39" x14ac:dyDescent="0.3">
      <c r="A23" s="24">
        <v>4</v>
      </c>
      <c r="C23" s="26" t="s">
        <v>119</v>
      </c>
      <c r="D23" s="26" t="s">
        <v>120</v>
      </c>
      <c r="E23" s="26"/>
      <c r="F23" s="37">
        <f>'Rate GS COM'!X77</f>
        <v>78612</v>
      </c>
      <c r="G23" s="53"/>
      <c r="H23" s="37">
        <f>'Rate GS COM'!Z77</f>
        <v>2857007</v>
      </c>
      <c r="I23" s="37"/>
      <c r="J23" s="90">
        <f>ROUND((L23/H23),4)</f>
        <v>4.3000999999999996</v>
      </c>
      <c r="K23" s="46"/>
      <c r="L23" s="37">
        <f>'Rate GS COM'!AD77</f>
        <v>12285346</v>
      </c>
      <c r="M23" s="37"/>
      <c r="N23" s="81">
        <f>ROUND((L23/$L26)*100,2)</f>
        <v>85.49</v>
      </c>
      <c r="O23" s="46"/>
      <c r="P23" s="37">
        <f>'Rate GS COM'!AH77</f>
        <v>3533900</v>
      </c>
      <c r="Q23" s="37"/>
      <c r="R23" s="78">
        <f>IF(L23=0,"0.0 ",ROUND((P23/L23)*100,1))</f>
        <v>28.8</v>
      </c>
      <c r="S23" s="70"/>
      <c r="T23" s="37">
        <f>'Rate GS COM'!AL77</f>
        <v>11605162</v>
      </c>
      <c r="U23" s="37"/>
      <c r="V23" s="37">
        <f>'Rate GS COM'!AN77</f>
        <v>23890508</v>
      </c>
      <c r="W23" s="37"/>
      <c r="X23" s="115">
        <f>IF(V23=0,"0.0 ",ROUND((P23/V23)*100,1))</f>
        <v>14.8</v>
      </c>
    </row>
    <row r="24" spans="1:39" x14ac:dyDescent="0.3">
      <c r="A24" s="24">
        <v>5</v>
      </c>
      <c r="C24" s="26" t="s">
        <v>119</v>
      </c>
      <c r="D24" s="26" t="s">
        <v>126</v>
      </c>
      <c r="E24" s="26"/>
      <c r="F24" s="37">
        <f>'Rate GS IND'!X82</f>
        <v>2547</v>
      </c>
      <c r="G24" s="53"/>
      <c r="H24" s="37">
        <f>'Rate GS IND'!Z82</f>
        <v>290082</v>
      </c>
      <c r="I24" s="37"/>
      <c r="J24" s="90">
        <f>ROUND((L24/H24),4)</f>
        <v>3.3633000000000002</v>
      </c>
      <c r="K24" s="46"/>
      <c r="L24" s="37">
        <f>'Rate GS IND'!AD82</f>
        <v>975637</v>
      </c>
      <c r="M24" s="37"/>
      <c r="N24" s="81">
        <f>ROUND((L24/$L26)*100,2)</f>
        <v>6.79</v>
      </c>
      <c r="O24" s="46"/>
      <c r="P24" s="37">
        <f>'Rate GS IND'!AH82</f>
        <v>315331</v>
      </c>
      <c r="Q24" s="37"/>
      <c r="R24" s="78">
        <f>IF(L24=0,"0.0 ",ROUND((P24/L24)*100,1))</f>
        <v>32.299999999999997</v>
      </c>
      <c r="S24" s="70"/>
      <c r="T24" s="37">
        <f>'Rate GS IND'!AL82</f>
        <v>1178313</v>
      </c>
      <c r="U24" s="37"/>
      <c r="V24" s="37">
        <f>'Rate GS IND'!AN82</f>
        <v>2153950</v>
      </c>
      <c r="W24" s="37"/>
      <c r="X24" s="115">
        <f>IF(V24=0,"0.0 ",ROUND((P24/V24)*100,1))</f>
        <v>14.6</v>
      </c>
    </row>
    <row r="25" spans="1:39" x14ac:dyDescent="0.3">
      <c r="A25" s="24">
        <v>6</v>
      </c>
      <c r="C25" s="26" t="s">
        <v>119</v>
      </c>
      <c r="D25" s="26" t="s">
        <v>148</v>
      </c>
      <c r="E25" s="26"/>
      <c r="F25" s="36">
        <f>'Rate GS OPA'!X79</f>
        <v>2861</v>
      </c>
      <c r="G25" s="53"/>
      <c r="H25" s="36">
        <f>'Rate GS OPA'!Z79</f>
        <v>330383</v>
      </c>
      <c r="I25" s="37"/>
      <c r="J25" s="90">
        <f>ROUND((L25/H25),4)</f>
        <v>3.3573</v>
      </c>
      <c r="K25" s="46"/>
      <c r="L25" s="36">
        <f>'Rate GS OPA'!AD79</f>
        <v>1109189</v>
      </c>
      <c r="M25" s="37"/>
      <c r="N25" s="82">
        <f>ROUND((L25/$L26)*100,2)</f>
        <v>7.72</v>
      </c>
      <c r="O25" s="46"/>
      <c r="P25" s="36">
        <f>'Rate GS OPA'!AH79</f>
        <v>358821</v>
      </c>
      <c r="Q25" s="37"/>
      <c r="R25" s="78">
        <f>IF(L25=0,"0.0 ",ROUND((P25/L25)*100,1))</f>
        <v>32.299999999999997</v>
      </c>
      <c r="S25" s="70"/>
      <c r="T25" s="36">
        <f>'Rate GS OPA'!AL79</f>
        <v>1342016</v>
      </c>
      <c r="U25" s="37"/>
      <c r="V25" s="36">
        <f>'Rate GS OPA'!AN79</f>
        <v>2451205</v>
      </c>
      <c r="W25" s="37"/>
      <c r="X25" s="115">
        <f>IF(V25=0,"0.0 ",ROUND((P25/V25)*100,1))</f>
        <v>14.6</v>
      </c>
    </row>
    <row r="26" spans="1:39" ht="22.5" customHeight="1" x14ac:dyDescent="0.3">
      <c r="A26" s="24">
        <v>7</v>
      </c>
      <c r="C26" s="21"/>
      <c r="D26" s="177" t="s">
        <v>149</v>
      </c>
      <c r="E26" s="26"/>
      <c r="F26" s="116">
        <f>SUM(F23:F25)</f>
        <v>84020</v>
      </c>
      <c r="G26" s="53"/>
      <c r="H26" s="116">
        <f>SUM(H23:H25)</f>
        <v>3477472</v>
      </c>
      <c r="I26" s="37"/>
      <c r="J26" s="90">
        <f>ROUND((L26/H26),4)</f>
        <v>4.1323999999999996</v>
      </c>
      <c r="K26" s="46"/>
      <c r="L26" s="116">
        <f>SUM(L23:L25)</f>
        <v>14370172</v>
      </c>
      <c r="M26" s="37"/>
      <c r="N26" s="117">
        <f>ROUND((L26/$L48)*100,2)</f>
        <v>19.34</v>
      </c>
      <c r="O26" s="46"/>
      <c r="P26" s="116">
        <f>SUM(P23:P25)</f>
        <v>4208052</v>
      </c>
      <c r="Q26" s="37"/>
      <c r="R26" s="78">
        <f>IF(L26=0,"0.0 ",ROUND((P26/L26)*100,1))</f>
        <v>29.3</v>
      </c>
      <c r="S26" s="70"/>
      <c r="T26" s="116">
        <f>SUM(T23:T25)</f>
        <v>14125491</v>
      </c>
      <c r="U26" s="37"/>
      <c r="V26" s="116">
        <f>SUM(V23:V25)</f>
        <v>28495663</v>
      </c>
      <c r="W26" s="37"/>
      <c r="X26" s="115">
        <f>IF(V26=0,"0.0 ",ROUND((P26/V26)*100,1))</f>
        <v>14.8</v>
      </c>
    </row>
    <row r="27" spans="1:39" x14ac:dyDescent="0.3">
      <c r="A27" s="24"/>
      <c r="C27" s="26"/>
      <c r="D27" s="26"/>
      <c r="E27" s="26"/>
      <c r="F27" s="37"/>
      <c r="G27" s="53"/>
      <c r="H27" s="37"/>
      <c r="I27" s="37"/>
      <c r="J27" s="80"/>
      <c r="K27" s="46"/>
      <c r="L27" s="37"/>
      <c r="M27" s="37"/>
      <c r="N27" s="81"/>
      <c r="O27" s="46"/>
      <c r="P27" s="37"/>
      <c r="Q27" s="37"/>
      <c r="R27" s="70"/>
      <c r="S27" s="70"/>
      <c r="T27" s="37"/>
      <c r="U27" s="37"/>
      <c r="V27" s="37"/>
      <c r="W27" s="37"/>
      <c r="X27" s="103"/>
    </row>
    <row r="28" spans="1:39" ht="16.2" thickBot="1" x14ac:dyDescent="0.35">
      <c r="A28" s="24">
        <v>8</v>
      </c>
      <c r="C28" s="191" t="s">
        <v>154</v>
      </c>
      <c r="D28" s="26"/>
      <c r="E28" s="26"/>
      <c r="F28" s="40">
        <f>F21+F26</f>
        <v>1214061</v>
      </c>
      <c r="G28" s="53"/>
      <c r="H28" s="40">
        <f>H21+H26</f>
        <v>9958951</v>
      </c>
      <c r="I28" s="37"/>
      <c r="J28" s="90">
        <f>ROUND((L28/H28),4)</f>
        <v>6.7011000000000003</v>
      </c>
      <c r="K28" s="46"/>
      <c r="L28" s="40">
        <f>L21+L26</f>
        <v>66735579</v>
      </c>
      <c r="M28" s="37"/>
      <c r="N28" s="83">
        <f>100-N33-N46</f>
        <v>89.83</v>
      </c>
      <c r="O28" s="46"/>
      <c r="P28" s="40">
        <f>P21+P26</f>
        <v>14164726</v>
      </c>
      <c r="Q28" s="37"/>
      <c r="R28" s="78">
        <f>IF(L28=0,"0.0 ",ROUND((P28/L28)*100,1))</f>
        <v>21.2</v>
      </c>
      <c r="S28" s="70"/>
      <c r="T28" s="40">
        <f>T21+T26</f>
        <v>40453259</v>
      </c>
      <c r="U28" s="37"/>
      <c r="V28" s="40">
        <f>V21+V26</f>
        <v>107188838</v>
      </c>
      <c r="W28" s="37"/>
      <c r="X28" s="115">
        <f>IF(V28=0,"0.0 ",ROUND((P28/V28)*100,1))</f>
        <v>13.2</v>
      </c>
    </row>
    <row r="29" spans="1:39" ht="16.2" thickTop="1" x14ac:dyDescent="0.3">
      <c r="A29" s="175"/>
      <c r="F29" s="37"/>
      <c r="G29" s="53"/>
      <c r="H29" s="37"/>
      <c r="I29" s="37"/>
      <c r="J29" s="80"/>
      <c r="K29" s="46"/>
      <c r="L29" s="37"/>
      <c r="M29" s="37"/>
      <c r="N29" s="81"/>
      <c r="O29" s="46"/>
      <c r="P29" s="53"/>
      <c r="R29" s="70"/>
      <c r="S29" s="70"/>
      <c r="T29" s="37"/>
      <c r="U29" s="37"/>
      <c r="V29" s="37"/>
      <c r="W29" s="37"/>
      <c r="X29" s="103"/>
    </row>
    <row r="30" spans="1:39" x14ac:dyDescent="0.3">
      <c r="A30" s="24">
        <v>9</v>
      </c>
      <c r="C30" s="192" t="s">
        <v>151</v>
      </c>
      <c r="D30" s="26"/>
      <c r="E30" s="26"/>
      <c r="F30" s="37"/>
      <c r="G30" s="53"/>
      <c r="H30" s="37"/>
      <c r="I30" s="37"/>
      <c r="J30" s="80"/>
      <c r="K30" s="46"/>
      <c r="L30" s="37"/>
      <c r="M30" s="37"/>
      <c r="N30" s="81"/>
      <c r="O30" s="46"/>
      <c r="P30" s="37"/>
      <c r="Q30" s="37"/>
      <c r="R30" s="70"/>
      <c r="S30" s="70"/>
      <c r="T30" s="37"/>
      <c r="U30" s="37"/>
      <c r="V30" s="37"/>
      <c r="W30" s="37"/>
      <c r="X30" s="103"/>
    </row>
    <row r="31" spans="1:39" x14ac:dyDescent="0.3">
      <c r="A31" s="24">
        <v>10</v>
      </c>
      <c r="B31" s="21"/>
      <c r="C31" s="26" t="s">
        <v>299</v>
      </c>
      <c r="D31" s="27" t="s">
        <v>171</v>
      </c>
      <c r="E31" s="26"/>
      <c r="F31" s="32">
        <f>'Rate FT-LG'!X71</f>
        <v>1092</v>
      </c>
      <c r="G31" s="32"/>
      <c r="H31" s="32">
        <f>'Rate FT-LG'!Z71</f>
        <v>2736182</v>
      </c>
      <c r="I31" s="32"/>
      <c r="J31" s="114">
        <f>ROUND((L31/H31),4)</f>
        <v>1.9925999999999999</v>
      </c>
      <c r="K31" s="48"/>
      <c r="L31" s="32">
        <f>'Rate FT-LG'!AD71</f>
        <v>5452147</v>
      </c>
      <c r="M31" s="32"/>
      <c r="N31" s="113">
        <f>ROUND((L31/L$33)*100,2)</f>
        <v>75.36</v>
      </c>
      <c r="O31" s="48"/>
      <c r="P31" s="32">
        <f>'Rate FT-LG'!AH71</f>
        <v>856152</v>
      </c>
      <c r="Q31" s="32"/>
      <c r="R31" s="108">
        <f>IF(L31=0,"0.0 ",ROUND((P31/L31)*100,1))</f>
        <v>15.7</v>
      </c>
      <c r="S31" s="44"/>
      <c r="T31" s="32">
        <f>'Rate FT-LG'!AL71</f>
        <v>-7935</v>
      </c>
      <c r="U31" s="32"/>
      <c r="V31" s="32">
        <f>'Rate FT-LG'!AN71</f>
        <v>5444212</v>
      </c>
      <c r="W31" s="32"/>
      <c r="X31" s="115">
        <f>IF(V31=0,"0.0 ",ROUND((P31/V31)*100,1))</f>
        <v>15.7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x14ac:dyDescent="0.3">
      <c r="A32" s="24">
        <v>11</v>
      </c>
      <c r="B32" s="21"/>
      <c r="C32" s="25" t="s">
        <v>156</v>
      </c>
      <c r="D32" s="26" t="s">
        <v>303</v>
      </c>
      <c r="E32" s="26"/>
      <c r="F32" s="37">
        <f>'Rate IT'!X74</f>
        <v>264</v>
      </c>
      <c r="G32" s="37"/>
      <c r="H32" s="37">
        <f>'Rate IT'!Z74</f>
        <v>1672200</v>
      </c>
      <c r="I32" s="37"/>
      <c r="J32" s="90">
        <f>ROUND((L32/H32),4)</f>
        <v>1.0661</v>
      </c>
      <c r="K32" s="46"/>
      <c r="L32" s="37">
        <f>'Rate IT'!AD74</f>
        <v>1782710</v>
      </c>
      <c r="M32" s="37"/>
      <c r="N32" s="81">
        <f>ROUND((L32/L$33)*100,2)</f>
        <v>24.64</v>
      </c>
      <c r="O32" s="46"/>
      <c r="P32" s="37">
        <f>'Rate IT'!AH74</f>
        <v>266047</v>
      </c>
      <c r="Q32" s="37"/>
      <c r="R32" s="78">
        <f>IF(L32=0,"0.0 ",ROUND((P32/L32)*100,1))</f>
        <v>14.9</v>
      </c>
      <c r="S32" s="70"/>
      <c r="T32" s="37">
        <f>'Rate IT'!AL74</f>
        <v>0</v>
      </c>
      <c r="U32" s="37"/>
      <c r="V32" s="37">
        <f>'Rate IT'!AN74</f>
        <v>1782710</v>
      </c>
      <c r="W32" s="37"/>
      <c r="X32" s="115">
        <f>IF(V32=0,"0.0 ",ROUND((P32/V32)*100,1))</f>
        <v>14.9</v>
      </c>
    </row>
    <row r="33" spans="1:24" ht="22.5" customHeight="1" thickBot="1" x14ac:dyDescent="0.35">
      <c r="A33" s="24">
        <v>12</v>
      </c>
      <c r="C33" s="191" t="s">
        <v>152</v>
      </c>
      <c r="E33" s="26"/>
      <c r="F33" s="84">
        <f>SUM(F31:F32)</f>
        <v>1356</v>
      </c>
      <c r="G33" s="53"/>
      <c r="H33" s="84">
        <f>SUM(H31:H32)</f>
        <v>4408382</v>
      </c>
      <c r="I33" s="37"/>
      <c r="J33" s="90">
        <f>ROUND((L33/H33),4)</f>
        <v>1.6412</v>
      </c>
      <c r="K33" s="46"/>
      <c r="L33" s="84">
        <f>SUM(L31:L32)</f>
        <v>7234857</v>
      </c>
      <c r="M33" s="37"/>
      <c r="N33" s="85">
        <f>ROUND((L33/L$48)*100,2)</f>
        <v>9.74</v>
      </c>
      <c r="O33" s="46"/>
      <c r="P33" s="84">
        <f>SUM(P31:P32)</f>
        <v>1122199</v>
      </c>
      <c r="Q33" s="37"/>
      <c r="R33" s="78">
        <f>IF(L33=0,"0.0 ",ROUND((P33/L33)*100,1))</f>
        <v>15.5</v>
      </c>
      <c r="S33" s="70"/>
      <c r="T33" s="84">
        <f>SUM(T31:T32)</f>
        <v>-7935</v>
      </c>
      <c r="U33" s="37"/>
      <c r="V33" s="84">
        <f>SUM(V31:V32)</f>
        <v>7226922</v>
      </c>
      <c r="W33" s="37"/>
      <c r="X33" s="115">
        <f>IF(V33=0,"0.0 ",ROUND((P33/V33)*100,1))</f>
        <v>15.5</v>
      </c>
    </row>
    <row r="34" spans="1:24" ht="25.5" customHeight="1" thickTop="1" thickBot="1" x14ac:dyDescent="0.35">
      <c r="A34" s="24">
        <v>13</v>
      </c>
      <c r="C34" s="133" t="s">
        <v>200</v>
      </c>
      <c r="D34" s="184"/>
      <c r="E34" s="26"/>
      <c r="F34" s="134">
        <f>F28+F33</f>
        <v>1215417</v>
      </c>
      <c r="G34" s="53"/>
      <c r="H34" s="134">
        <f>H28+H33</f>
        <v>14367333</v>
      </c>
      <c r="I34" s="37"/>
      <c r="J34" s="90">
        <f>ROUND((L34/H34),4)</f>
        <v>5.1485000000000003</v>
      </c>
      <c r="K34" s="46"/>
      <c r="L34" s="134">
        <f>L28+L33</f>
        <v>73970436</v>
      </c>
      <c r="M34" s="37"/>
      <c r="N34" s="146">
        <f>N28+N33</f>
        <v>99.57</v>
      </c>
      <c r="O34" s="46"/>
      <c r="P34" s="134">
        <f>P28+P33</f>
        <v>15286925</v>
      </c>
      <c r="Q34" s="37"/>
      <c r="R34" s="108">
        <f>IF(L34=0,"0.0 ",ROUND((P34/L34)*100,1))</f>
        <v>20.7</v>
      </c>
      <c r="S34" s="70"/>
      <c r="T34" s="134">
        <f>T28+T33</f>
        <v>40445324</v>
      </c>
      <c r="U34" s="37"/>
      <c r="V34" s="134">
        <f>V28+V33</f>
        <v>114415760</v>
      </c>
      <c r="W34" s="37"/>
      <c r="X34" s="115">
        <f>IF(V34=0,"0.0 ",ROUND((P34/V34)*100,1))</f>
        <v>13.4</v>
      </c>
    </row>
    <row r="35" spans="1:24" ht="16.2" thickTop="1" x14ac:dyDescent="0.3">
      <c r="E35" s="26"/>
      <c r="F35" s="37"/>
      <c r="G35" s="53"/>
      <c r="H35" s="37"/>
      <c r="I35" s="37"/>
      <c r="J35" s="80"/>
      <c r="K35" s="46"/>
      <c r="L35" s="37"/>
      <c r="M35" s="37"/>
      <c r="N35" s="81"/>
      <c r="O35" s="46"/>
      <c r="P35" s="37"/>
      <c r="Q35" s="37"/>
      <c r="R35" s="70"/>
      <c r="S35" s="70"/>
      <c r="T35" s="37"/>
      <c r="U35" s="37"/>
      <c r="V35" s="37"/>
      <c r="W35" s="37"/>
      <c r="X35" s="103"/>
    </row>
    <row r="36" spans="1:24" x14ac:dyDescent="0.3">
      <c r="A36" s="24">
        <v>14</v>
      </c>
      <c r="C36" s="183" t="s">
        <v>153</v>
      </c>
      <c r="E36" s="26"/>
      <c r="F36" s="37"/>
      <c r="G36" s="53"/>
      <c r="H36" s="37"/>
      <c r="I36" s="37"/>
      <c r="J36" s="80"/>
      <c r="K36" s="46"/>
      <c r="L36" s="37"/>
      <c r="M36" s="37"/>
      <c r="N36" s="81"/>
      <c r="O36" s="46"/>
      <c r="P36" s="37"/>
      <c r="Q36" s="37"/>
      <c r="R36" s="70"/>
      <c r="S36" s="70"/>
      <c r="T36" s="37"/>
      <c r="U36" s="37"/>
      <c r="V36" s="37"/>
      <c r="W36" s="37"/>
      <c r="X36" s="103"/>
    </row>
    <row r="37" spans="1:24" x14ac:dyDescent="0.3">
      <c r="A37" s="24">
        <v>15</v>
      </c>
      <c r="C37" s="27" t="s">
        <v>139</v>
      </c>
      <c r="D37" s="21"/>
      <c r="E37" s="26"/>
      <c r="F37" s="32">
        <v>0</v>
      </c>
      <c r="G37" s="55"/>
      <c r="H37" s="32">
        <v>0</v>
      </c>
      <c r="I37" s="37"/>
      <c r="J37" s="90"/>
      <c r="K37" s="46"/>
      <c r="L37" s="161">
        <v>0</v>
      </c>
      <c r="M37" s="37"/>
      <c r="N37" s="81">
        <f t="shared" ref="N37:N45" si="0">ROUND((L37/L$46)*100,2)</f>
        <v>0</v>
      </c>
      <c r="O37" s="46"/>
      <c r="P37" s="32">
        <f>'SCH M-2.3'!L37-'SCH M-2.2'!L37</f>
        <v>0</v>
      </c>
      <c r="Q37" s="37"/>
      <c r="R37" s="78"/>
      <c r="S37" s="70"/>
      <c r="T37" s="32">
        <v>0</v>
      </c>
      <c r="U37" s="32"/>
      <c r="V37" s="161">
        <f t="shared" ref="V37:V45" si="1">L37+T37</f>
        <v>0</v>
      </c>
      <c r="W37" s="37"/>
      <c r="X37" s="115"/>
    </row>
    <row r="38" spans="1:24" x14ac:dyDescent="0.3">
      <c r="A38" s="24">
        <v>16</v>
      </c>
      <c r="C38" s="27" t="s">
        <v>140</v>
      </c>
      <c r="D38" s="21"/>
      <c r="F38" s="32">
        <v>0</v>
      </c>
      <c r="G38" s="55"/>
      <c r="H38" s="32">
        <v>0</v>
      </c>
      <c r="I38" s="37"/>
      <c r="J38" s="90"/>
      <c r="K38" s="46"/>
      <c r="L38" s="161">
        <v>27420</v>
      </c>
      <c r="M38" s="37"/>
      <c r="N38" s="81">
        <f t="shared" si="0"/>
        <v>8.5399999999999991</v>
      </c>
      <c r="O38" s="46"/>
      <c r="P38" s="32">
        <f>'SCH M-2.3'!L38-'SCH M-2.2'!L38</f>
        <v>0</v>
      </c>
      <c r="Q38" s="37"/>
      <c r="R38" s="78"/>
      <c r="S38" s="70"/>
      <c r="T38" s="32">
        <v>0</v>
      </c>
      <c r="U38" s="32"/>
      <c r="V38" s="161">
        <f t="shared" si="1"/>
        <v>27420</v>
      </c>
      <c r="W38" s="37"/>
      <c r="X38" s="115"/>
    </row>
    <row r="39" spans="1:24" x14ac:dyDescent="0.3">
      <c r="A39" s="24">
        <v>17</v>
      </c>
      <c r="C39" s="27" t="s">
        <v>180</v>
      </c>
      <c r="D39" s="21"/>
      <c r="F39" s="32">
        <v>0</v>
      </c>
      <c r="G39" s="55"/>
      <c r="H39" s="32">
        <v>0</v>
      </c>
      <c r="I39" s="37"/>
      <c r="J39" s="90"/>
      <c r="K39" s="193"/>
      <c r="L39" s="161">
        <v>23364</v>
      </c>
      <c r="M39" s="37"/>
      <c r="N39" s="81">
        <f t="shared" si="0"/>
        <v>7.28</v>
      </c>
      <c r="O39" s="37"/>
      <c r="P39" s="32">
        <f>'SCH M-2.3'!L39-'SCH M-2.2'!L39</f>
        <v>4673</v>
      </c>
      <c r="Q39" s="37"/>
      <c r="R39" s="78"/>
      <c r="T39" s="32">
        <v>0</v>
      </c>
      <c r="U39" s="32"/>
      <c r="V39" s="161">
        <f t="shared" si="1"/>
        <v>23364</v>
      </c>
      <c r="W39" s="37"/>
      <c r="X39" s="115"/>
    </row>
    <row r="40" spans="1:24" x14ac:dyDescent="0.3">
      <c r="A40" s="24">
        <v>18</v>
      </c>
      <c r="C40" s="27" t="s">
        <v>311</v>
      </c>
      <c r="D40" s="21"/>
      <c r="E40" s="26"/>
      <c r="F40" s="32">
        <v>0</v>
      </c>
      <c r="G40" s="55"/>
      <c r="H40" s="32">
        <v>0</v>
      </c>
      <c r="J40" s="90"/>
      <c r="L40" s="161">
        <v>684</v>
      </c>
      <c r="M40" s="37"/>
      <c r="N40" s="81">
        <f t="shared" si="0"/>
        <v>0.21</v>
      </c>
      <c r="O40" s="46"/>
      <c r="P40" s="32">
        <f>'SCH M-2.3'!L40-'SCH M-2.2'!L40</f>
        <v>0</v>
      </c>
      <c r="Q40" s="37"/>
      <c r="R40" s="78"/>
      <c r="S40" s="70"/>
      <c r="T40" s="32">
        <v>0</v>
      </c>
      <c r="U40" s="32"/>
      <c r="V40" s="161">
        <f t="shared" si="1"/>
        <v>684</v>
      </c>
      <c r="W40" s="37"/>
      <c r="X40" s="115"/>
    </row>
    <row r="41" spans="1:24" x14ac:dyDescent="0.3">
      <c r="A41" s="24">
        <v>19</v>
      </c>
      <c r="C41" s="26" t="s">
        <v>128</v>
      </c>
      <c r="D41" s="21"/>
      <c r="E41" s="26"/>
      <c r="F41" s="37">
        <v>0</v>
      </c>
      <c r="H41" s="37">
        <v>4158</v>
      </c>
      <c r="J41" s="90"/>
      <c r="L41" s="161">
        <f>ROUND(V41-(H41*EGC),0)</f>
        <v>10875</v>
      </c>
      <c r="M41" s="37"/>
      <c r="N41" s="81">
        <f>ROUND((L41/L$46)*100,2)</f>
        <v>3.39</v>
      </c>
      <c r="O41" s="46"/>
      <c r="P41" s="32">
        <f>'SCH M-2.3'!L41-'SCH M-2.2'!L41</f>
        <v>4131.6866443851468</v>
      </c>
      <c r="Q41" s="37"/>
      <c r="R41" s="78"/>
      <c r="S41" s="70"/>
      <c r="T41" s="32">
        <f>V41-L41</f>
        <v>16890</v>
      </c>
      <c r="U41" s="32"/>
      <c r="V41" s="161">
        <v>27765</v>
      </c>
      <c r="W41" s="37"/>
      <c r="X41" s="115"/>
    </row>
    <row r="42" spans="1:24" x14ac:dyDescent="0.3">
      <c r="A42" s="24">
        <v>20</v>
      </c>
      <c r="C42" s="26" t="s">
        <v>312</v>
      </c>
      <c r="D42" s="21"/>
      <c r="E42" s="26"/>
      <c r="F42" s="32">
        <v>0</v>
      </c>
      <c r="G42" s="55"/>
      <c r="H42" s="32">
        <v>0</v>
      </c>
      <c r="I42" s="37"/>
      <c r="J42" s="90"/>
      <c r="K42" s="46"/>
      <c r="L42" s="161">
        <v>258228</v>
      </c>
      <c r="M42" s="37"/>
      <c r="N42" s="81">
        <f t="shared" si="0"/>
        <v>80.42</v>
      </c>
      <c r="O42" s="46"/>
      <c r="P42" s="32">
        <f>'SCH M-2.3'!L42-'SCH M-2.2'!L42</f>
        <v>-67567.036599999876</v>
      </c>
      <c r="Q42" s="37"/>
      <c r="R42" s="78"/>
      <c r="S42" s="70"/>
      <c r="T42" s="32">
        <v>0</v>
      </c>
      <c r="U42" s="32"/>
      <c r="V42" s="161">
        <f t="shared" si="1"/>
        <v>258228</v>
      </c>
      <c r="W42" s="37"/>
      <c r="X42" s="115"/>
    </row>
    <row r="43" spans="1:24" x14ac:dyDescent="0.3">
      <c r="A43" s="24">
        <v>21</v>
      </c>
      <c r="C43" s="26" t="s">
        <v>233</v>
      </c>
      <c r="D43" s="21"/>
      <c r="E43" s="26"/>
      <c r="F43" s="32">
        <v>0</v>
      </c>
      <c r="G43" s="55"/>
      <c r="H43" s="32">
        <v>0</v>
      </c>
      <c r="I43" s="37"/>
      <c r="J43" s="90"/>
      <c r="K43" s="46"/>
      <c r="L43" s="161">
        <v>0</v>
      </c>
      <c r="M43" s="37"/>
      <c r="N43" s="81">
        <f t="shared" si="0"/>
        <v>0</v>
      </c>
      <c r="O43" s="46"/>
      <c r="P43" s="32">
        <f>'SCH M-2.3'!L43-'SCH M-2.2'!L43</f>
        <v>0</v>
      </c>
      <c r="Q43" s="37"/>
      <c r="R43" s="78"/>
      <c r="S43" s="70"/>
      <c r="T43" s="32">
        <v>0</v>
      </c>
      <c r="U43" s="32"/>
      <c r="V43" s="161">
        <f t="shared" si="1"/>
        <v>0</v>
      </c>
      <c r="W43" s="37"/>
      <c r="X43" s="115"/>
    </row>
    <row r="44" spans="1:24" x14ac:dyDescent="0.3">
      <c r="A44" s="24">
        <v>22</v>
      </c>
      <c r="C44" s="26" t="s">
        <v>234</v>
      </c>
      <c r="D44" s="21"/>
      <c r="E44" s="26"/>
      <c r="F44" s="32">
        <v>0</v>
      </c>
      <c r="G44" s="55"/>
      <c r="H44" s="32">
        <v>0</v>
      </c>
      <c r="I44" s="37"/>
      <c r="J44" s="90"/>
      <c r="K44" s="46"/>
      <c r="L44" s="161">
        <v>0</v>
      </c>
      <c r="M44" s="37"/>
      <c r="N44" s="81">
        <f t="shared" si="0"/>
        <v>0</v>
      </c>
      <c r="O44" s="46"/>
      <c r="P44" s="32">
        <f>'SCH M-2.3'!L44-'SCH M-2.2'!L44</f>
        <v>0</v>
      </c>
      <c r="Q44" s="37"/>
      <c r="R44" s="78"/>
      <c r="S44" s="70"/>
      <c r="T44" s="32">
        <v>0</v>
      </c>
      <c r="U44" s="32"/>
      <c r="V44" s="161">
        <f t="shared" ref="V44" si="2">L44+T44</f>
        <v>0</v>
      </c>
      <c r="W44" s="37"/>
      <c r="X44" s="115"/>
    </row>
    <row r="45" spans="1:24" x14ac:dyDescent="0.3">
      <c r="A45" s="24">
        <v>23</v>
      </c>
      <c r="C45" s="26" t="s">
        <v>53</v>
      </c>
      <c r="D45" s="21"/>
      <c r="F45" s="36">
        <v>0</v>
      </c>
      <c r="G45" s="55"/>
      <c r="H45" s="36">
        <v>0</v>
      </c>
      <c r="I45" s="37"/>
      <c r="J45" s="90"/>
      <c r="K45" s="46"/>
      <c r="L45" s="162">
        <v>528</v>
      </c>
      <c r="M45" s="37"/>
      <c r="N45" s="82">
        <f t="shared" si="0"/>
        <v>0.16</v>
      </c>
      <c r="O45" s="46"/>
      <c r="P45" s="32">
        <f>'SCH M-2.3'!L45-'SCH M-2.2'!L45</f>
        <v>0</v>
      </c>
      <c r="Q45" s="37"/>
      <c r="R45" s="78"/>
      <c r="S45" s="70"/>
      <c r="T45" s="36">
        <v>0</v>
      </c>
      <c r="U45" s="32"/>
      <c r="V45" s="162">
        <f t="shared" si="1"/>
        <v>528</v>
      </c>
      <c r="W45" s="37"/>
      <c r="X45" s="115"/>
    </row>
    <row r="46" spans="1:24" ht="22.5" customHeight="1" thickBot="1" x14ac:dyDescent="0.35">
      <c r="A46" s="24">
        <v>24</v>
      </c>
      <c r="C46" s="177" t="s">
        <v>54</v>
      </c>
      <c r="F46" s="84">
        <f>SUM(F37:F45)</f>
        <v>0</v>
      </c>
      <c r="G46" s="53"/>
      <c r="H46" s="84">
        <f>SUM(H37:H45)</f>
        <v>4158</v>
      </c>
      <c r="I46" s="37"/>
      <c r="J46" s="90"/>
      <c r="K46" s="46"/>
      <c r="L46" s="164">
        <f>SUM(L37:L45)</f>
        <v>321099</v>
      </c>
      <c r="M46" s="37"/>
      <c r="N46" s="85">
        <f>ROUND((L46/L$48)*100,2)</f>
        <v>0.43</v>
      </c>
      <c r="O46" s="46"/>
      <c r="P46" s="84">
        <f>SUM(P37:P45)</f>
        <v>-58762.349955614729</v>
      </c>
      <c r="R46" s="78">
        <f>IF(L46=0,"0.0 ",ROUND((P46/L46)*100,1))</f>
        <v>-18.3</v>
      </c>
      <c r="S46" s="70"/>
      <c r="T46" s="84">
        <f>SUM(T37:T45)</f>
        <v>16890</v>
      </c>
      <c r="U46" s="32"/>
      <c r="V46" s="164">
        <f>SUM(V37:V45)</f>
        <v>337989</v>
      </c>
      <c r="W46" s="37"/>
      <c r="X46" s="115">
        <f>IF(V46=0,"0.0 ",ROUND((P46/V46)*100,1))</f>
        <v>-17.399999999999999</v>
      </c>
    </row>
    <row r="47" spans="1:24" ht="16.2" thickTop="1" x14ac:dyDescent="0.3">
      <c r="E47" s="26"/>
      <c r="F47" s="37"/>
      <c r="G47" s="53"/>
      <c r="H47" s="37"/>
      <c r="I47" s="37"/>
      <c r="J47" s="90"/>
      <c r="K47" s="46"/>
      <c r="L47" s="72"/>
      <c r="M47" s="72"/>
      <c r="N47" s="81"/>
      <c r="O47" s="46"/>
      <c r="P47" s="37"/>
      <c r="Q47" s="37"/>
      <c r="R47" s="70"/>
      <c r="S47" s="70"/>
      <c r="T47" s="37"/>
      <c r="U47" s="37"/>
      <c r="V47" s="37"/>
      <c r="W47" s="37"/>
      <c r="X47" s="103"/>
    </row>
    <row r="48" spans="1:24" ht="23.25" customHeight="1" thickBot="1" x14ac:dyDescent="0.35">
      <c r="A48" s="24">
        <v>25</v>
      </c>
      <c r="C48" s="191" t="s">
        <v>155</v>
      </c>
      <c r="E48" s="26"/>
      <c r="F48" s="40">
        <f>F28+F33+F46</f>
        <v>1215417</v>
      </c>
      <c r="G48" s="53"/>
      <c r="H48" s="40">
        <f>H28+H33+H46</f>
        <v>14371491</v>
      </c>
      <c r="I48" s="37"/>
      <c r="J48" s="90">
        <f>ROUND((L48/H48),4)</f>
        <v>5.1694000000000004</v>
      </c>
      <c r="K48" s="46"/>
      <c r="L48" s="40">
        <f>L28+L33+L46</f>
        <v>74291535</v>
      </c>
      <c r="M48" s="72"/>
      <c r="N48" s="83">
        <v>100</v>
      </c>
      <c r="O48" s="46"/>
      <c r="P48" s="40">
        <f>P28+P33+P46</f>
        <v>15228162.650044385</v>
      </c>
      <c r="Q48" s="37"/>
      <c r="R48" s="70">
        <f>IF(L48=0,"0.0 ",ROUND((P48/L48)*100,1))</f>
        <v>20.5</v>
      </c>
      <c r="S48" s="70"/>
      <c r="T48" s="40">
        <f>T28+T33+T46</f>
        <v>40462214</v>
      </c>
      <c r="U48" s="37"/>
      <c r="V48" s="40">
        <f>V28+V33+V46</f>
        <v>114753749</v>
      </c>
      <c r="W48" s="37"/>
      <c r="X48" s="115">
        <f>IF(V48=0,"0.0 ",ROUND((P48/V48)*100,1))</f>
        <v>13.3</v>
      </c>
    </row>
    <row r="49" spans="1:24" ht="16.2" thickTop="1" x14ac:dyDescent="0.3">
      <c r="F49" s="53"/>
      <c r="G49" s="53"/>
      <c r="H49" s="53"/>
      <c r="L49" s="53"/>
      <c r="P49" s="53"/>
      <c r="R49" s="56"/>
      <c r="T49" s="53"/>
      <c r="U49" s="53"/>
      <c r="V49" s="53"/>
      <c r="X49" s="104"/>
    </row>
    <row r="50" spans="1:24" x14ac:dyDescent="0.3">
      <c r="C50" s="27" t="s">
        <v>181</v>
      </c>
      <c r="F50" s="53"/>
      <c r="G50" s="53"/>
      <c r="H50" s="53"/>
      <c r="L50" s="53"/>
      <c r="P50" s="53"/>
      <c r="R50" s="56"/>
      <c r="T50" s="53"/>
      <c r="U50" s="53"/>
      <c r="V50" s="53"/>
      <c r="X50" s="104"/>
    </row>
    <row r="51" spans="1:24" x14ac:dyDescent="0.3">
      <c r="A51" s="26"/>
      <c r="C51" s="42" t="s">
        <v>118</v>
      </c>
      <c r="F51" s="53"/>
      <c r="G51" s="53"/>
      <c r="H51" s="53"/>
      <c r="L51" s="53"/>
      <c r="P51" s="53"/>
      <c r="R51" s="56"/>
      <c r="T51" s="53"/>
      <c r="U51" s="53"/>
      <c r="V51" s="53"/>
      <c r="X51" s="104"/>
    </row>
    <row r="52" spans="1:24" x14ac:dyDescent="0.3">
      <c r="C52" s="26" t="str">
        <f>"(3) REFLECTS AVERAGE EXPECTED GAS COST OF "&amp;TEXT(EGC,"$0.000")&amp;"/MCF."</f>
        <v>(3) REFLECTS AVERAGE EXPECTED GAS COST OF $4.062/MCF.</v>
      </c>
      <c r="F52" s="53"/>
      <c r="G52" s="53"/>
      <c r="H52" s="53"/>
      <c r="J52" s="194"/>
      <c r="L52" s="53"/>
      <c r="P52" s="53"/>
      <c r="R52" s="56"/>
      <c r="T52" s="53"/>
      <c r="U52" s="53"/>
      <c r="V52" s="53"/>
      <c r="X52" s="104"/>
    </row>
    <row r="53" spans="1:24" x14ac:dyDescent="0.3">
      <c r="C53" s="130"/>
      <c r="F53" s="53"/>
      <c r="G53" s="53"/>
      <c r="H53" s="53"/>
      <c r="L53" s="53"/>
      <c r="P53" s="53"/>
      <c r="R53" s="56"/>
      <c r="T53" s="53"/>
      <c r="U53" s="53"/>
      <c r="V53" s="53"/>
      <c r="X53" s="104"/>
    </row>
    <row r="54" spans="1:24" x14ac:dyDescent="0.3">
      <c r="F54" s="53"/>
      <c r="G54" s="53"/>
      <c r="H54" s="53"/>
      <c r="L54" s="53"/>
      <c r="P54" s="53"/>
      <c r="R54" s="56"/>
      <c r="T54" s="53"/>
      <c r="U54" s="53"/>
      <c r="V54" s="53"/>
      <c r="X54" s="104"/>
    </row>
    <row r="55" spans="1:24" x14ac:dyDescent="0.3">
      <c r="F55" s="53"/>
      <c r="G55" s="53"/>
      <c r="H55" s="53"/>
      <c r="L55" s="53"/>
      <c r="P55" s="53"/>
      <c r="R55" s="56"/>
      <c r="T55" s="53"/>
      <c r="U55" s="53"/>
      <c r="V55" s="53"/>
      <c r="X55" s="104"/>
    </row>
    <row r="56" spans="1:24" x14ac:dyDescent="0.3">
      <c r="F56" s="53"/>
      <c r="G56" s="53"/>
      <c r="H56" s="53"/>
      <c r="L56" s="53"/>
      <c r="P56" s="53"/>
      <c r="R56" s="56"/>
      <c r="T56" s="53"/>
      <c r="U56" s="53"/>
      <c r="V56" s="53"/>
      <c r="X56" s="104"/>
    </row>
    <row r="57" spans="1:24" x14ac:dyDescent="0.3">
      <c r="F57" s="53"/>
      <c r="G57" s="53"/>
      <c r="H57" s="53"/>
      <c r="L57" s="53"/>
      <c r="P57" s="53"/>
      <c r="R57" s="56"/>
      <c r="T57" s="53"/>
      <c r="U57" s="53"/>
      <c r="V57" s="53"/>
      <c r="X57" s="104"/>
    </row>
    <row r="58" spans="1:24" x14ac:dyDescent="0.3">
      <c r="F58" s="53"/>
      <c r="G58" s="53"/>
      <c r="H58" s="53"/>
      <c r="L58" s="53"/>
      <c r="P58" s="53"/>
      <c r="R58" s="56"/>
      <c r="T58" s="53"/>
      <c r="U58" s="53"/>
      <c r="V58" s="53"/>
    </row>
    <row r="59" spans="1:24" x14ac:dyDescent="0.3">
      <c r="F59" s="53"/>
      <c r="G59" s="53"/>
      <c r="H59" s="53"/>
      <c r="L59" s="53"/>
      <c r="P59" s="53"/>
      <c r="R59" s="56"/>
      <c r="T59" s="53"/>
      <c r="U59" s="53"/>
      <c r="V59" s="53"/>
    </row>
    <row r="60" spans="1:24" x14ac:dyDescent="0.3">
      <c r="F60" s="53"/>
      <c r="G60" s="53"/>
      <c r="H60" s="53"/>
      <c r="L60" s="53"/>
      <c r="P60" s="53"/>
      <c r="T60" s="53"/>
      <c r="U60" s="53"/>
      <c r="V60" s="53"/>
    </row>
    <row r="61" spans="1:24" x14ac:dyDescent="0.3">
      <c r="F61" s="53"/>
      <c r="G61" s="53"/>
      <c r="H61" s="53"/>
      <c r="L61" s="53"/>
      <c r="P61" s="53"/>
      <c r="T61" s="53"/>
      <c r="U61" s="53"/>
      <c r="V61" s="53"/>
    </row>
    <row r="62" spans="1:24" x14ac:dyDescent="0.3">
      <c r="F62" s="53"/>
      <c r="G62" s="53"/>
      <c r="H62" s="53"/>
      <c r="L62" s="53"/>
      <c r="P62" s="53"/>
      <c r="T62" s="53"/>
      <c r="U62" s="53"/>
      <c r="V62" s="53"/>
    </row>
    <row r="63" spans="1:24" x14ac:dyDescent="0.3">
      <c r="F63" s="53"/>
      <c r="G63" s="53"/>
      <c r="H63" s="53"/>
      <c r="L63" s="53"/>
      <c r="P63" s="53"/>
      <c r="T63" s="53"/>
      <c r="U63" s="53"/>
      <c r="V63" s="53"/>
    </row>
    <row r="64" spans="1:24" x14ac:dyDescent="0.3">
      <c r="F64" s="53"/>
      <c r="G64" s="53"/>
      <c r="H64" s="53"/>
      <c r="L64" s="53"/>
      <c r="P64" s="53"/>
      <c r="T64" s="53"/>
      <c r="U64" s="53"/>
      <c r="V64" s="53"/>
    </row>
    <row r="65" spans="6:22" x14ac:dyDescent="0.3">
      <c r="F65" s="53"/>
      <c r="G65" s="53"/>
      <c r="H65" s="53"/>
      <c r="L65" s="53"/>
      <c r="P65" s="53"/>
      <c r="T65" s="53"/>
      <c r="U65" s="53"/>
      <c r="V65" s="53"/>
    </row>
    <row r="66" spans="6:22" x14ac:dyDescent="0.3">
      <c r="F66" s="53"/>
      <c r="G66" s="53"/>
      <c r="H66" s="53"/>
      <c r="L66" s="53"/>
      <c r="P66" s="53"/>
      <c r="T66" s="53"/>
      <c r="U66" s="53"/>
      <c r="V66" s="53"/>
    </row>
    <row r="67" spans="6:22" x14ac:dyDescent="0.3">
      <c r="F67" s="53"/>
      <c r="G67" s="53"/>
      <c r="H67" s="53"/>
      <c r="L67" s="53"/>
      <c r="P67" s="53"/>
      <c r="T67" s="53"/>
      <c r="U67" s="53"/>
      <c r="V67" s="53"/>
    </row>
    <row r="68" spans="6:22" x14ac:dyDescent="0.3">
      <c r="F68" s="53"/>
      <c r="G68" s="53"/>
      <c r="H68" s="53"/>
      <c r="L68" s="53"/>
      <c r="P68" s="53"/>
      <c r="T68" s="53"/>
      <c r="U68" s="53"/>
      <c r="V68" s="53"/>
    </row>
    <row r="69" spans="6:22" x14ac:dyDescent="0.3">
      <c r="F69" s="53"/>
      <c r="G69" s="53"/>
      <c r="H69" s="53"/>
      <c r="L69" s="53"/>
      <c r="P69" s="53"/>
      <c r="T69" s="53"/>
      <c r="U69" s="53"/>
      <c r="V69" s="53"/>
    </row>
    <row r="70" spans="6:22" x14ac:dyDescent="0.3">
      <c r="F70" s="53"/>
      <c r="G70" s="53"/>
      <c r="H70" s="53"/>
      <c r="P70" s="53"/>
      <c r="T70" s="53"/>
      <c r="U70" s="53"/>
      <c r="V70" s="53"/>
    </row>
    <row r="71" spans="6:22" x14ac:dyDescent="0.3">
      <c r="F71" s="53"/>
      <c r="G71" s="53"/>
      <c r="H71" s="53"/>
      <c r="P71" s="53"/>
      <c r="T71" s="53"/>
      <c r="U71" s="53"/>
      <c r="V71" s="53"/>
    </row>
    <row r="72" spans="6:22" x14ac:dyDescent="0.3">
      <c r="F72" s="53"/>
      <c r="G72" s="53"/>
      <c r="H72" s="53"/>
      <c r="P72" s="53"/>
      <c r="T72" s="53"/>
      <c r="U72" s="53"/>
      <c r="V72" s="53"/>
    </row>
    <row r="73" spans="6:22" x14ac:dyDescent="0.3">
      <c r="F73" s="53"/>
      <c r="G73" s="53"/>
      <c r="H73" s="53"/>
      <c r="P73" s="53"/>
      <c r="T73" s="53"/>
      <c r="U73" s="53"/>
      <c r="V73" s="53"/>
    </row>
    <row r="74" spans="6:22" x14ac:dyDescent="0.3">
      <c r="F74" s="53"/>
      <c r="G74" s="53"/>
      <c r="H74" s="53"/>
      <c r="P74" s="53"/>
      <c r="T74" s="53"/>
      <c r="U74" s="53"/>
      <c r="V74" s="53"/>
    </row>
    <row r="75" spans="6:22" x14ac:dyDescent="0.3">
      <c r="F75" s="53"/>
      <c r="G75" s="53"/>
      <c r="H75" s="53"/>
      <c r="P75" s="53"/>
      <c r="T75" s="53"/>
      <c r="U75" s="53"/>
      <c r="V75" s="53"/>
    </row>
    <row r="76" spans="6:22" x14ac:dyDescent="0.3">
      <c r="F76" s="53"/>
      <c r="G76" s="53"/>
      <c r="H76" s="53"/>
      <c r="P76" s="53"/>
      <c r="T76" s="53"/>
      <c r="U76" s="53"/>
      <c r="V76" s="53"/>
    </row>
    <row r="77" spans="6:22" x14ac:dyDescent="0.3">
      <c r="F77" s="53"/>
      <c r="G77" s="53"/>
      <c r="H77" s="53"/>
      <c r="P77" s="53"/>
      <c r="T77" s="53"/>
      <c r="U77" s="53"/>
      <c r="V77" s="53"/>
    </row>
    <row r="78" spans="6:22" x14ac:dyDescent="0.3">
      <c r="F78" s="53"/>
      <c r="G78" s="53"/>
      <c r="H78" s="53"/>
      <c r="P78" s="53"/>
      <c r="T78" s="53"/>
      <c r="U78" s="53"/>
      <c r="V78" s="53"/>
    </row>
    <row r="79" spans="6:22" x14ac:dyDescent="0.3">
      <c r="F79" s="53"/>
      <c r="G79" s="53"/>
      <c r="H79" s="53"/>
      <c r="P79" s="53"/>
      <c r="T79" s="53"/>
      <c r="U79" s="53"/>
      <c r="V79" s="53"/>
    </row>
    <row r="80" spans="6:22" x14ac:dyDescent="0.3">
      <c r="F80" s="53"/>
      <c r="G80" s="53"/>
      <c r="H80" s="53"/>
      <c r="P80" s="53"/>
      <c r="T80" s="53"/>
      <c r="U80" s="53"/>
      <c r="V80" s="53"/>
    </row>
    <row r="81" spans="6:22" x14ac:dyDescent="0.3">
      <c r="F81" s="53"/>
      <c r="G81" s="53"/>
      <c r="H81" s="53"/>
      <c r="P81" s="53"/>
      <c r="T81" s="53"/>
      <c r="U81" s="53"/>
      <c r="V81" s="53"/>
    </row>
    <row r="82" spans="6:22" x14ac:dyDescent="0.3">
      <c r="F82" s="53"/>
      <c r="G82" s="53"/>
      <c r="H82" s="53"/>
      <c r="P82" s="53"/>
      <c r="T82" s="53"/>
      <c r="U82" s="53"/>
      <c r="V82" s="53"/>
    </row>
    <row r="83" spans="6:22" x14ac:dyDescent="0.3">
      <c r="F83" s="53"/>
      <c r="G83" s="53"/>
      <c r="H83" s="53"/>
      <c r="P83" s="53"/>
      <c r="T83" s="53"/>
      <c r="U83" s="53"/>
      <c r="V83" s="53"/>
    </row>
    <row r="84" spans="6:22" x14ac:dyDescent="0.3">
      <c r="F84" s="53"/>
      <c r="G84" s="53"/>
      <c r="H84" s="53"/>
      <c r="P84" s="53"/>
      <c r="T84" s="53"/>
      <c r="U84" s="53"/>
      <c r="V84" s="53"/>
    </row>
    <row r="85" spans="6:22" x14ac:dyDescent="0.3">
      <c r="F85" s="53"/>
      <c r="G85" s="53"/>
      <c r="H85" s="53"/>
      <c r="P85" s="53"/>
      <c r="T85" s="53"/>
      <c r="U85" s="53"/>
      <c r="V85" s="53"/>
    </row>
    <row r="86" spans="6:22" x14ac:dyDescent="0.3">
      <c r="F86" s="53"/>
      <c r="G86" s="53"/>
      <c r="H86" s="53"/>
      <c r="P86" s="53"/>
      <c r="T86" s="53"/>
      <c r="U86" s="53"/>
      <c r="V86" s="53"/>
    </row>
    <row r="87" spans="6:22" x14ac:dyDescent="0.3">
      <c r="F87" s="53"/>
      <c r="G87" s="53"/>
      <c r="H87" s="53"/>
      <c r="P87" s="53"/>
      <c r="T87" s="53"/>
      <c r="U87" s="53"/>
      <c r="V87" s="53"/>
    </row>
    <row r="88" spans="6:22" x14ac:dyDescent="0.3">
      <c r="F88" s="53"/>
      <c r="G88" s="53"/>
      <c r="H88" s="53"/>
      <c r="P88" s="53"/>
      <c r="T88" s="53"/>
      <c r="U88" s="53"/>
      <c r="V88" s="53"/>
    </row>
    <row r="89" spans="6:22" x14ac:dyDescent="0.3">
      <c r="F89" s="53"/>
      <c r="G89" s="53"/>
      <c r="H89" s="53"/>
      <c r="P89" s="53"/>
      <c r="T89" s="53"/>
      <c r="U89" s="53"/>
      <c r="V89" s="53"/>
    </row>
    <row r="90" spans="6:22" x14ac:dyDescent="0.3">
      <c r="F90" s="53"/>
      <c r="G90" s="53"/>
      <c r="H90" s="53"/>
      <c r="P90" s="53"/>
      <c r="T90" s="53"/>
      <c r="U90" s="53"/>
      <c r="V90" s="53"/>
    </row>
    <row r="91" spans="6:22" x14ac:dyDescent="0.3">
      <c r="F91" s="53"/>
      <c r="G91" s="53"/>
      <c r="H91" s="53"/>
      <c r="P91" s="53"/>
      <c r="T91" s="53"/>
      <c r="U91" s="53"/>
      <c r="V91" s="53"/>
    </row>
    <row r="92" spans="6:22" x14ac:dyDescent="0.3">
      <c r="F92" s="53"/>
      <c r="G92" s="53"/>
      <c r="H92" s="53"/>
      <c r="P92" s="53"/>
      <c r="T92" s="53"/>
      <c r="U92" s="53"/>
      <c r="V92" s="53"/>
    </row>
    <row r="93" spans="6:22" x14ac:dyDescent="0.3">
      <c r="F93" s="53"/>
      <c r="G93" s="53"/>
      <c r="H93" s="53"/>
      <c r="P93" s="53"/>
      <c r="T93" s="53"/>
      <c r="U93" s="53"/>
      <c r="V93" s="53"/>
    </row>
    <row r="94" spans="6:22" x14ac:dyDescent="0.3">
      <c r="F94" s="53"/>
      <c r="G94" s="53"/>
      <c r="H94" s="53"/>
      <c r="P94" s="53"/>
      <c r="T94" s="53"/>
      <c r="U94" s="53"/>
      <c r="V94" s="53"/>
    </row>
    <row r="95" spans="6:22" x14ac:dyDescent="0.3">
      <c r="F95" s="53"/>
      <c r="G95" s="53"/>
      <c r="H95" s="53"/>
      <c r="P95" s="53"/>
      <c r="T95" s="53"/>
      <c r="U95" s="53"/>
      <c r="V95" s="53"/>
    </row>
    <row r="96" spans="6:22" x14ac:dyDescent="0.3">
      <c r="F96" s="53"/>
      <c r="G96" s="53"/>
      <c r="H96" s="53"/>
      <c r="P96" s="53"/>
      <c r="T96" s="53"/>
      <c r="U96" s="53"/>
      <c r="V96" s="53"/>
    </row>
    <row r="97" spans="6:22" x14ac:dyDescent="0.3">
      <c r="F97" s="53"/>
      <c r="G97" s="53"/>
      <c r="H97" s="53"/>
      <c r="P97" s="53"/>
      <c r="T97" s="53"/>
      <c r="U97" s="53"/>
      <c r="V97" s="53"/>
    </row>
    <row r="98" spans="6:22" x14ac:dyDescent="0.3">
      <c r="F98" s="53"/>
      <c r="G98" s="53"/>
      <c r="H98" s="53"/>
      <c r="P98" s="53"/>
      <c r="T98" s="53"/>
      <c r="U98" s="53"/>
      <c r="V98" s="53"/>
    </row>
    <row r="99" spans="6:22" x14ac:dyDescent="0.3">
      <c r="F99" s="53"/>
      <c r="G99" s="53"/>
      <c r="H99" s="53"/>
      <c r="P99" s="53"/>
      <c r="T99" s="53"/>
      <c r="U99" s="53"/>
      <c r="V99" s="53"/>
    </row>
    <row r="100" spans="6:22" x14ac:dyDescent="0.3">
      <c r="F100" s="53"/>
      <c r="G100" s="53"/>
      <c r="H100" s="53"/>
      <c r="P100" s="53"/>
      <c r="T100" s="53"/>
      <c r="U100" s="53"/>
      <c r="V100" s="53"/>
    </row>
    <row r="101" spans="6:22" x14ac:dyDescent="0.3">
      <c r="F101" s="53"/>
      <c r="G101" s="53"/>
      <c r="H101" s="53"/>
      <c r="P101" s="53"/>
      <c r="T101" s="53"/>
      <c r="U101" s="53"/>
      <c r="V101" s="53"/>
    </row>
    <row r="102" spans="6:22" x14ac:dyDescent="0.3">
      <c r="F102" s="53"/>
      <c r="G102" s="53"/>
      <c r="H102" s="53"/>
      <c r="P102" s="53"/>
      <c r="T102" s="53"/>
      <c r="U102" s="53"/>
      <c r="V102" s="53"/>
    </row>
    <row r="103" spans="6:22" x14ac:dyDescent="0.3">
      <c r="F103" s="53"/>
      <c r="G103" s="53"/>
      <c r="H103" s="53"/>
      <c r="P103" s="53"/>
      <c r="T103" s="53"/>
      <c r="U103" s="53"/>
      <c r="V103" s="53"/>
    </row>
    <row r="104" spans="6:22" x14ac:dyDescent="0.3">
      <c r="F104" s="53"/>
      <c r="G104" s="53"/>
      <c r="H104" s="53"/>
      <c r="P104" s="53"/>
      <c r="T104" s="53"/>
      <c r="U104" s="53"/>
      <c r="V104" s="53"/>
    </row>
    <row r="105" spans="6:22" x14ac:dyDescent="0.3">
      <c r="F105" s="53"/>
      <c r="G105" s="53"/>
      <c r="H105" s="53"/>
      <c r="P105" s="53"/>
      <c r="T105" s="53"/>
      <c r="U105" s="53"/>
      <c r="V105" s="53"/>
    </row>
    <row r="106" spans="6:22" x14ac:dyDescent="0.3">
      <c r="F106" s="53"/>
      <c r="G106" s="53"/>
      <c r="H106" s="53"/>
      <c r="P106" s="53"/>
      <c r="T106" s="53"/>
      <c r="U106" s="53"/>
      <c r="V106" s="53"/>
    </row>
    <row r="107" spans="6:22" x14ac:dyDescent="0.3">
      <c r="F107" s="53"/>
      <c r="G107" s="53"/>
      <c r="H107" s="53"/>
      <c r="P107" s="53"/>
      <c r="T107" s="53"/>
      <c r="U107" s="53"/>
      <c r="V107" s="53"/>
    </row>
    <row r="108" spans="6:22" x14ac:dyDescent="0.3">
      <c r="F108" s="53"/>
      <c r="G108" s="53"/>
      <c r="H108" s="53"/>
      <c r="P108" s="53"/>
      <c r="T108" s="53"/>
      <c r="U108" s="53"/>
      <c r="V108" s="53"/>
    </row>
    <row r="109" spans="6:22" x14ac:dyDescent="0.3">
      <c r="F109" s="53"/>
      <c r="G109" s="53"/>
      <c r="H109" s="53"/>
      <c r="P109" s="53"/>
      <c r="T109" s="53"/>
      <c r="U109" s="53"/>
      <c r="V109" s="53"/>
    </row>
    <row r="110" spans="6:22" x14ac:dyDescent="0.3">
      <c r="F110" s="53"/>
      <c r="G110" s="53"/>
      <c r="H110" s="53"/>
      <c r="P110" s="53"/>
      <c r="T110" s="53"/>
      <c r="U110" s="53"/>
      <c r="V110" s="53"/>
    </row>
    <row r="111" spans="6:22" x14ac:dyDescent="0.3">
      <c r="F111" s="53"/>
      <c r="G111" s="53"/>
      <c r="H111" s="53"/>
      <c r="P111" s="53"/>
      <c r="T111" s="53"/>
      <c r="U111" s="53"/>
      <c r="V111" s="53"/>
    </row>
    <row r="112" spans="6:22" x14ac:dyDescent="0.3">
      <c r="F112" s="53"/>
      <c r="G112" s="53"/>
      <c r="H112" s="53"/>
      <c r="P112" s="53"/>
      <c r="T112" s="53"/>
      <c r="U112" s="53"/>
      <c r="V112" s="53"/>
    </row>
    <row r="113" spans="6:22" x14ac:dyDescent="0.3">
      <c r="F113" s="53"/>
      <c r="G113" s="53"/>
      <c r="H113" s="53"/>
      <c r="P113" s="53"/>
      <c r="T113" s="53"/>
      <c r="U113" s="53"/>
      <c r="V113" s="53"/>
    </row>
    <row r="114" spans="6:22" x14ac:dyDescent="0.3">
      <c r="F114" s="53"/>
      <c r="G114" s="53"/>
      <c r="H114" s="53"/>
      <c r="P114" s="53"/>
      <c r="T114" s="53"/>
      <c r="U114" s="53"/>
      <c r="V114" s="53"/>
    </row>
    <row r="115" spans="6:22" x14ac:dyDescent="0.3">
      <c r="F115" s="53"/>
      <c r="G115" s="53"/>
      <c r="H115" s="53"/>
      <c r="P115" s="53"/>
      <c r="T115" s="53"/>
      <c r="U115" s="53"/>
      <c r="V115" s="53"/>
    </row>
    <row r="116" spans="6:22" x14ac:dyDescent="0.3">
      <c r="F116" s="53"/>
      <c r="G116" s="53"/>
      <c r="H116" s="53"/>
      <c r="P116" s="53"/>
      <c r="T116" s="53"/>
      <c r="U116" s="53"/>
      <c r="V116" s="53"/>
    </row>
    <row r="117" spans="6:22" x14ac:dyDescent="0.3">
      <c r="F117" s="53"/>
      <c r="G117" s="53"/>
      <c r="H117" s="53"/>
      <c r="P117" s="53"/>
      <c r="T117" s="53"/>
      <c r="U117" s="53"/>
      <c r="V117" s="53"/>
    </row>
    <row r="118" spans="6:22" x14ac:dyDescent="0.3">
      <c r="F118" s="53"/>
      <c r="G118" s="53"/>
      <c r="H118" s="53"/>
      <c r="P118" s="53"/>
      <c r="T118" s="53"/>
      <c r="U118" s="53"/>
      <c r="V118" s="53"/>
    </row>
    <row r="119" spans="6:22" x14ac:dyDescent="0.3">
      <c r="F119" s="53"/>
      <c r="G119" s="53"/>
      <c r="H119" s="53"/>
      <c r="P119" s="53"/>
      <c r="T119" s="53"/>
      <c r="U119" s="53"/>
      <c r="V119" s="53"/>
    </row>
    <row r="120" spans="6:22" x14ac:dyDescent="0.3">
      <c r="F120" s="53"/>
      <c r="G120" s="53"/>
      <c r="H120" s="53"/>
      <c r="P120" s="53"/>
      <c r="T120" s="53"/>
      <c r="U120" s="53"/>
      <c r="V120" s="53"/>
    </row>
    <row r="121" spans="6:22" x14ac:dyDescent="0.3">
      <c r="F121" s="53"/>
      <c r="G121" s="53"/>
      <c r="H121" s="53"/>
      <c r="P121" s="53"/>
      <c r="T121" s="53"/>
      <c r="U121" s="53"/>
      <c r="V121" s="53"/>
    </row>
    <row r="122" spans="6:22" x14ac:dyDescent="0.3">
      <c r="F122" s="53"/>
      <c r="G122" s="53"/>
      <c r="H122" s="53"/>
      <c r="P122" s="53"/>
      <c r="T122" s="53"/>
      <c r="U122" s="53"/>
      <c r="V122" s="53"/>
    </row>
    <row r="123" spans="6:22" x14ac:dyDescent="0.3">
      <c r="F123" s="53"/>
      <c r="G123" s="53"/>
      <c r="H123" s="53"/>
      <c r="P123" s="53"/>
      <c r="T123" s="53"/>
      <c r="U123" s="53"/>
      <c r="V123" s="53"/>
    </row>
    <row r="124" spans="6:22" x14ac:dyDescent="0.3">
      <c r="F124" s="53"/>
      <c r="G124" s="53"/>
      <c r="H124" s="53"/>
      <c r="P124" s="53"/>
      <c r="T124" s="53"/>
      <c r="U124" s="53"/>
      <c r="V124" s="53"/>
    </row>
    <row r="125" spans="6:22" x14ac:dyDescent="0.3">
      <c r="F125" s="53"/>
      <c r="G125" s="53"/>
      <c r="H125" s="53"/>
      <c r="P125" s="53"/>
      <c r="T125" s="53"/>
      <c r="U125" s="53"/>
      <c r="V125" s="53"/>
    </row>
    <row r="126" spans="6:22" x14ac:dyDescent="0.3">
      <c r="F126" s="53"/>
      <c r="G126" s="53"/>
      <c r="H126" s="53"/>
      <c r="P126" s="53"/>
      <c r="T126" s="53"/>
      <c r="U126" s="53"/>
      <c r="V126" s="53"/>
    </row>
    <row r="127" spans="6:22" x14ac:dyDescent="0.3">
      <c r="F127" s="53"/>
      <c r="G127" s="53"/>
      <c r="H127" s="53"/>
      <c r="P127" s="53"/>
      <c r="T127" s="53"/>
      <c r="U127" s="53"/>
      <c r="V127" s="53"/>
    </row>
    <row r="128" spans="6:22" x14ac:dyDescent="0.3">
      <c r="F128" s="53"/>
      <c r="G128" s="53"/>
      <c r="H128" s="53"/>
      <c r="P128" s="53"/>
      <c r="T128" s="53"/>
      <c r="U128" s="53"/>
      <c r="V128" s="53"/>
    </row>
    <row r="129" spans="6:22" x14ac:dyDescent="0.3">
      <c r="F129" s="53"/>
      <c r="G129" s="53"/>
      <c r="H129" s="53"/>
      <c r="P129" s="53"/>
      <c r="T129" s="53"/>
      <c r="U129" s="53"/>
      <c r="V129" s="53"/>
    </row>
    <row r="130" spans="6:22" x14ac:dyDescent="0.3">
      <c r="F130" s="53"/>
      <c r="G130" s="53"/>
      <c r="H130" s="53"/>
      <c r="P130" s="53"/>
      <c r="T130" s="53"/>
      <c r="U130" s="53"/>
      <c r="V130" s="53"/>
    </row>
    <row r="131" spans="6:22" x14ac:dyDescent="0.3">
      <c r="F131" s="53"/>
      <c r="G131" s="53"/>
      <c r="H131" s="53"/>
      <c r="P131" s="53"/>
      <c r="T131" s="53"/>
      <c r="U131" s="53"/>
      <c r="V131" s="53"/>
    </row>
    <row r="132" spans="6:22" x14ac:dyDescent="0.3">
      <c r="F132" s="53"/>
      <c r="G132" s="53"/>
      <c r="H132" s="53"/>
      <c r="P132" s="53"/>
      <c r="T132" s="53"/>
      <c r="U132" s="53"/>
      <c r="V132" s="53"/>
    </row>
    <row r="133" spans="6:22" x14ac:dyDescent="0.3">
      <c r="F133" s="53"/>
      <c r="G133" s="53"/>
      <c r="H133" s="53"/>
      <c r="P133" s="53"/>
      <c r="T133" s="53"/>
      <c r="U133" s="53"/>
      <c r="V133" s="53"/>
    </row>
    <row r="134" spans="6:22" x14ac:dyDescent="0.3">
      <c r="F134" s="53"/>
      <c r="G134" s="53"/>
      <c r="H134" s="53"/>
      <c r="P134" s="53"/>
      <c r="T134" s="53"/>
      <c r="U134" s="53"/>
      <c r="V134" s="53"/>
    </row>
    <row r="135" spans="6:22" x14ac:dyDescent="0.3">
      <c r="F135" s="53"/>
      <c r="G135" s="53"/>
      <c r="H135" s="53"/>
      <c r="P135" s="53"/>
      <c r="T135" s="53"/>
      <c r="U135" s="53"/>
      <c r="V135" s="53"/>
    </row>
    <row r="136" spans="6:22" x14ac:dyDescent="0.3">
      <c r="F136" s="53"/>
      <c r="G136" s="53"/>
      <c r="H136" s="53"/>
      <c r="P136" s="53"/>
      <c r="T136" s="53"/>
      <c r="U136" s="53"/>
      <c r="V136" s="53"/>
    </row>
    <row r="137" spans="6:22" x14ac:dyDescent="0.3">
      <c r="F137" s="53"/>
      <c r="G137" s="53"/>
      <c r="H137" s="53"/>
      <c r="P137" s="53"/>
      <c r="T137" s="53"/>
      <c r="U137" s="53"/>
      <c r="V137" s="53"/>
    </row>
    <row r="138" spans="6:22" x14ac:dyDescent="0.3">
      <c r="F138" s="53"/>
      <c r="G138" s="53"/>
      <c r="H138" s="53"/>
      <c r="P138" s="53"/>
      <c r="T138" s="53"/>
      <c r="U138" s="53"/>
      <c r="V138" s="53"/>
    </row>
    <row r="139" spans="6:22" x14ac:dyDescent="0.3">
      <c r="F139" s="53"/>
      <c r="G139" s="53"/>
      <c r="H139" s="53"/>
      <c r="P139" s="53"/>
      <c r="T139" s="53"/>
      <c r="U139" s="53"/>
      <c r="V139" s="53"/>
    </row>
    <row r="140" spans="6:22" x14ac:dyDescent="0.3">
      <c r="F140" s="53"/>
      <c r="G140" s="53"/>
      <c r="H140" s="53"/>
      <c r="P140" s="53"/>
      <c r="T140" s="53"/>
      <c r="U140" s="53"/>
      <c r="V140" s="53"/>
    </row>
    <row r="141" spans="6:22" x14ac:dyDescent="0.3">
      <c r="F141" s="53"/>
      <c r="G141" s="53"/>
      <c r="H141" s="53"/>
      <c r="P141" s="53"/>
      <c r="T141" s="53"/>
      <c r="U141" s="53"/>
      <c r="V141" s="53"/>
    </row>
    <row r="142" spans="6:22" x14ac:dyDescent="0.3">
      <c r="F142" s="53"/>
      <c r="G142" s="53"/>
      <c r="H142" s="53"/>
      <c r="P142" s="53"/>
      <c r="T142" s="53"/>
      <c r="U142" s="53"/>
      <c r="V142" s="53"/>
    </row>
    <row r="143" spans="6:22" x14ac:dyDescent="0.3">
      <c r="F143" s="53"/>
      <c r="G143" s="53"/>
      <c r="H143" s="53"/>
      <c r="P143" s="53"/>
      <c r="T143" s="53"/>
      <c r="U143" s="53"/>
      <c r="V143" s="53"/>
    </row>
    <row r="144" spans="6:22" x14ac:dyDescent="0.3">
      <c r="F144" s="53"/>
      <c r="G144" s="53"/>
      <c r="H144" s="53"/>
      <c r="P144" s="53"/>
      <c r="T144" s="53"/>
      <c r="U144" s="53"/>
      <c r="V144" s="53"/>
    </row>
    <row r="145" spans="6:22" x14ac:dyDescent="0.3">
      <c r="F145" s="53"/>
      <c r="G145" s="53"/>
      <c r="H145" s="53"/>
      <c r="P145" s="53"/>
      <c r="T145" s="53"/>
      <c r="U145" s="53"/>
      <c r="V145" s="53"/>
    </row>
    <row r="146" spans="6:22" x14ac:dyDescent="0.3">
      <c r="F146" s="53"/>
      <c r="G146" s="53"/>
      <c r="H146" s="53"/>
      <c r="P146" s="53"/>
      <c r="T146" s="53"/>
      <c r="U146" s="53"/>
      <c r="V146" s="53"/>
    </row>
    <row r="147" spans="6:22" x14ac:dyDescent="0.3">
      <c r="F147" s="53"/>
      <c r="G147" s="53"/>
      <c r="H147" s="53"/>
      <c r="P147" s="53"/>
      <c r="T147" s="53"/>
      <c r="U147" s="53"/>
      <c r="V147" s="53"/>
    </row>
    <row r="148" spans="6:22" x14ac:dyDescent="0.3">
      <c r="F148" s="53"/>
      <c r="G148" s="53"/>
      <c r="H148" s="53"/>
      <c r="P148" s="53"/>
      <c r="T148" s="53"/>
      <c r="U148" s="53"/>
      <c r="V148" s="53"/>
    </row>
    <row r="149" spans="6:22" x14ac:dyDescent="0.3">
      <c r="F149" s="53"/>
      <c r="G149" s="53"/>
      <c r="H149" s="53"/>
      <c r="P149" s="53"/>
      <c r="T149" s="53"/>
      <c r="U149" s="53"/>
      <c r="V149" s="53"/>
    </row>
    <row r="150" spans="6:22" x14ac:dyDescent="0.3">
      <c r="F150" s="53"/>
      <c r="G150" s="53"/>
      <c r="H150" s="53"/>
      <c r="P150" s="53"/>
      <c r="T150" s="53"/>
      <c r="U150" s="53"/>
      <c r="V150" s="53"/>
    </row>
    <row r="151" spans="6:22" x14ac:dyDescent="0.3">
      <c r="F151" s="53"/>
      <c r="G151" s="53"/>
      <c r="H151" s="53"/>
      <c r="P151" s="53"/>
      <c r="T151" s="53"/>
      <c r="U151" s="53"/>
      <c r="V151" s="53"/>
    </row>
    <row r="152" spans="6:22" x14ac:dyDescent="0.3">
      <c r="F152" s="53"/>
      <c r="G152" s="53"/>
      <c r="H152" s="53"/>
      <c r="P152" s="53"/>
      <c r="T152" s="53"/>
      <c r="U152" s="53"/>
      <c r="V152" s="53"/>
    </row>
    <row r="153" spans="6:22" x14ac:dyDescent="0.3">
      <c r="F153" s="53"/>
      <c r="G153" s="53"/>
      <c r="H153" s="53"/>
      <c r="P153" s="53"/>
      <c r="T153" s="53"/>
      <c r="U153" s="53"/>
      <c r="V153" s="53"/>
    </row>
    <row r="154" spans="6:22" x14ac:dyDescent="0.3">
      <c r="F154" s="53"/>
      <c r="G154" s="53"/>
      <c r="H154" s="53"/>
      <c r="P154" s="53"/>
      <c r="T154" s="53"/>
      <c r="U154" s="53"/>
      <c r="V154" s="53"/>
    </row>
    <row r="155" spans="6:22" x14ac:dyDescent="0.3">
      <c r="F155" s="53"/>
      <c r="G155" s="53"/>
      <c r="H155" s="53"/>
      <c r="P155" s="53"/>
      <c r="T155" s="53"/>
      <c r="U155" s="53"/>
      <c r="V155" s="53"/>
    </row>
    <row r="156" spans="6:22" x14ac:dyDescent="0.3">
      <c r="F156" s="53"/>
      <c r="G156" s="53"/>
      <c r="H156" s="53"/>
      <c r="P156" s="53"/>
      <c r="T156" s="53"/>
      <c r="U156" s="53"/>
      <c r="V156" s="53"/>
    </row>
    <row r="157" spans="6:22" x14ac:dyDescent="0.3">
      <c r="F157" s="53"/>
      <c r="G157" s="53"/>
      <c r="H157" s="53"/>
      <c r="P157" s="53"/>
      <c r="T157" s="53"/>
      <c r="U157" s="53"/>
      <c r="V157" s="53"/>
    </row>
    <row r="158" spans="6:22" x14ac:dyDescent="0.3">
      <c r="F158" s="53"/>
      <c r="G158" s="53"/>
      <c r="H158" s="53"/>
      <c r="P158" s="53"/>
      <c r="T158" s="53"/>
      <c r="U158" s="53"/>
      <c r="V158" s="53"/>
    </row>
    <row r="159" spans="6:22" x14ac:dyDescent="0.3">
      <c r="F159" s="53"/>
      <c r="G159" s="53"/>
      <c r="H159" s="53"/>
      <c r="P159" s="53"/>
      <c r="T159" s="53"/>
      <c r="U159" s="53"/>
      <c r="V159" s="53"/>
    </row>
    <row r="160" spans="6:22" x14ac:dyDescent="0.3">
      <c r="F160" s="53"/>
      <c r="G160" s="53"/>
      <c r="H160" s="53"/>
      <c r="P160" s="53"/>
      <c r="T160" s="53"/>
      <c r="U160" s="53"/>
      <c r="V160" s="53"/>
    </row>
    <row r="161" spans="6:22" x14ac:dyDescent="0.3">
      <c r="F161" s="53"/>
      <c r="G161" s="53"/>
      <c r="H161" s="53"/>
      <c r="P161" s="53"/>
      <c r="T161" s="53"/>
      <c r="U161" s="53"/>
      <c r="V161" s="53"/>
    </row>
    <row r="162" spans="6:22" x14ac:dyDescent="0.3">
      <c r="F162" s="53"/>
      <c r="G162" s="53"/>
      <c r="H162" s="53"/>
      <c r="P162" s="53"/>
      <c r="T162" s="53"/>
      <c r="U162" s="53"/>
      <c r="V162" s="53"/>
    </row>
    <row r="163" spans="6:22" x14ac:dyDescent="0.3">
      <c r="F163" s="53"/>
      <c r="G163" s="53"/>
      <c r="H163" s="53"/>
      <c r="P163" s="53"/>
      <c r="T163" s="53"/>
      <c r="U163" s="53"/>
      <c r="V163" s="53"/>
    </row>
    <row r="164" spans="6:22" x14ac:dyDescent="0.3">
      <c r="F164" s="53"/>
      <c r="G164" s="53"/>
      <c r="H164" s="53"/>
      <c r="P164" s="53"/>
      <c r="T164" s="53"/>
      <c r="U164" s="53"/>
      <c r="V164" s="53"/>
    </row>
    <row r="165" spans="6:22" x14ac:dyDescent="0.3">
      <c r="F165" s="53"/>
      <c r="G165" s="53"/>
      <c r="H165" s="53"/>
      <c r="P165" s="53"/>
      <c r="T165" s="53"/>
      <c r="U165" s="53"/>
      <c r="V165" s="53"/>
    </row>
    <row r="166" spans="6:22" x14ac:dyDescent="0.3">
      <c r="F166" s="53"/>
      <c r="G166" s="53"/>
      <c r="H166" s="53"/>
      <c r="P166" s="53"/>
      <c r="T166" s="53"/>
      <c r="U166" s="53"/>
      <c r="V166" s="53"/>
    </row>
    <row r="167" spans="6:22" x14ac:dyDescent="0.3">
      <c r="F167" s="53"/>
      <c r="G167" s="53"/>
      <c r="H167" s="53"/>
      <c r="P167" s="53"/>
      <c r="T167" s="53"/>
      <c r="U167" s="53"/>
      <c r="V167" s="53"/>
    </row>
    <row r="168" spans="6:22" x14ac:dyDescent="0.3">
      <c r="F168" s="53"/>
      <c r="G168" s="53"/>
      <c r="H168" s="53"/>
      <c r="P168" s="53"/>
      <c r="T168" s="53"/>
      <c r="U168" s="53"/>
      <c r="V168" s="53"/>
    </row>
    <row r="169" spans="6:22" x14ac:dyDescent="0.3">
      <c r="F169" s="53"/>
      <c r="G169" s="53"/>
      <c r="H169" s="53"/>
      <c r="P169" s="53"/>
      <c r="T169" s="53"/>
      <c r="U169" s="53"/>
      <c r="V169" s="53"/>
    </row>
    <row r="170" spans="6:22" x14ac:dyDescent="0.3">
      <c r="F170" s="53"/>
      <c r="G170" s="53"/>
      <c r="H170" s="53"/>
      <c r="P170" s="53"/>
      <c r="T170" s="53"/>
      <c r="U170" s="53"/>
      <c r="V170" s="53"/>
    </row>
    <row r="171" spans="6:22" x14ac:dyDescent="0.3">
      <c r="F171" s="53"/>
      <c r="G171" s="53"/>
      <c r="H171" s="53"/>
      <c r="P171" s="53"/>
      <c r="T171" s="53"/>
      <c r="U171" s="53"/>
      <c r="V171" s="53"/>
    </row>
    <row r="172" spans="6:22" x14ac:dyDescent="0.3">
      <c r="F172" s="53"/>
      <c r="G172" s="53"/>
      <c r="H172" s="53"/>
      <c r="P172" s="53"/>
      <c r="T172" s="53"/>
      <c r="U172" s="53"/>
      <c r="V172" s="53"/>
    </row>
    <row r="173" spans="6:22" x14ac:dyDescent="0.3">
      <c r="F173" s="53"/>
      <c r="G173" s="53"/>
      <c r="H173" s="53"/>
      <c r="P173" s="53"/>
      <c r="T173" s="53"/>
      <c r="U173" s="53"/>
      <c r="V173" s="53"/>
    </row>
    <row r="174" spans="6:22" x14ac:dyDescent="0.3">
      <c r="F174" s="53"/>
      <c r="G174" s="53"/>
      <c r="H174" s="53"/>
      <c r="P174" s="53"/>
      <c r="T174" s="53"/>
      <c r="U174" s="53"/>
      <c r="V174" s="53"/>
    </row>
    <row r="175" spans="6:22" x14ac:dyDescent="0.3">
      <c r="F175" s="53"/>
      <c r="G175" s="53"/>
      <c r="H175" s="53"/>
      <c r="P175" s="53"/>
      <c r="T175" s="53"/>
      <c r="U175" s="53"/>
      <c r="V175" s="53"/>
    </row>
    <row r="176" spans="6:22" x14ac:dyDescent="0.3">
      <c r="F176" s="53"/>
      <c r="G176" s="53"/>
      <c r="H176" s="53"/>
      <c r="P176" s="53"/>
      <c r="T176" s="53"/>
      <c r="U176" s="53"/>
      <c r="V176" s="53"/>
    </row>
    <row r="177" spans="6:22" x14ac:dyDescent="0.3">
      <c r="F177" s="53"/>
      <c r="G177" s="53"/>
      <c r="H177" s="53"/>
      <c r="P177" s="53"/>
      <c r="T177" s="53"/>
      <c r="U177" s="53"/>
      <c r="V177" s="53"/>
    </row>
    <row r="178" spans="6:22" x14ac:dyDescent="0.3">
      <c r="F178" s="53"/>
      <c r="G178" s="53"/>
      <c r="H178" s="53"/>
      <c r="P178" s="53"/>
      <c r="T178" s="53"/>
      <c r="U178" s="53"/>
      <c r="V178" s="53"/>
    </row>
    <row r="179" spans="6:22" x14ac:dyDescent="0.3">
      <c r="F179" s="53"/>
      <c r="G179" s="53"/>
      <c r="H179" s="53"/>
      <c r="P179" s="53"/>
      <c r="T179" s="53"/>
      <c r="U179" s="53"/>
      <c r="V179" s="53"/>
    </row>
    <row r="180" spans="6:22" x14ac:dyDescent="0.3">
      <c r="F180" s="53"/>
      <c r="G180" s="53"/>
      <c r="H180" s="53"/>
      <c r="P180" s="53"/>
      <c r="T180" s="53"/>
      <c r="U180" s="53"/>
      <c r="V180" s="53"/>
    </row>
    <row r="181" spans="6:22" x14ac:dyDescent="0.3">
      <c r="F181" s="53"/>
      <c r="G181" s="53"/>
      <c r="H181" s="53"/>
      <c r="P181" s="53"/>
      <c r="T181" s="53"/>
      <c r="U181" s="53"/>
      <c r="V181" s="53"/>
    </row>
    <row r="182" spans="6:22" x14ac:dyDescent="0.3">
      <c r="F182" s="53"/>
      <c r="G182" s="53"/>
      <c r="H182" s="53"/>
      <c r="P182" s="53"/>
      <c r="T182" s="53"/>
      <c r="U182" s="53"/>
      <c r="V182" s="53"/>
    </row>
    <row r="183" spans="6:22" x14ac:dyDescent="0.3">
      <c r="F183" s="53"/>
      <c r="G183" s="53"/>
      <c r="H183" s="53"/>
      <c r="P183" s="53"/>
      <c r="T183" s="53"/>
      <c r="U183" s="53"/>
      <c r="V183" s="53"/>
    </row>
    <row r="184" spans="6:22" x14ac:dyDescent="0.3">
      <c r="F184" s="53"/>
      <c r="G184" s="53"/>
      <c r="H184" s="53"/>
      <c r="P184" s="53"/>
      <c r="T184" s="53"/>
      <c r="U184" s="53"/>
      <c r="V184" s="53"/>
    </row>
    <row r="185" spans="6:22" x14ac:dyDescent="0.3">
      <c r="F185" s="53"/>
      <c r="G185" s="53"/>
      <c r="H185" s="53"/>
      <c r="P185" s="53"/>
      <c r="T185" s="53"/>
      <c r="U185" s="53"/>
      <c r="V185" s="53"/>
    </row>
    <row r="186" spans="6:22" x14ac:dyDescent="0.3">
      <c r="F186" s="53"/>
      <c r="G186" s="53"/>
      <c r="H186" s="53"/>
      <c r="P186" s="53"/>
      <c r="T186" s="53"/>
      <c r="U186" s="53"/>
      <c r="V186" s="53"/>
    </row>
    <row r="187" spans="6:22" x14ac:dyDescent="0.3">
      <c r="F187" s="53"/>
      <c r="G187" s="53"/>
      <c r="H187" s="53"/>
      <c r="P187" s="53"/>
      <c r="T187" s="53"/>
      <c r="U187" s="53"/>
      <c r="V187" s="53"/>
    </row>
    <row r="188" spans="6:22" x14ac:dyDescent="0.3">
      <c r="F188" s="53"/>
      <c r="G188" s="53"/>
      <c r="H188" s="53"/>
      <c r="P188" s="53"/>
      <c r="T188" s="53"/>
      <c r="U188" s="53"/>
      <c r="V188" s="53"/>
    </row>
    <row r="189" spans="6:22" x14ac:dyDescent="0.3">
      <c r="F189" s="53"/>
      <c r="G189" s="53"/>
      <c r="H189" s="53"/>
      <c r="P189" s="53"/>
      <c r="T189" s="53"/>
      <c r="U189" s="53"/>
      <c r="V189" s="53"/>
    </row>
    <row r="190" spans="6:22" x14ac:dyDescent="0.3">
      <c r="F190" s="53"/>
      <c r="G190" s="53"/>
      <c r="H190" s="53"/>
      <c r="P190" s="53"/>
      <c r="T190" s="53"/>
      <c r="U190" s="53"/>
      <c r="V190" s="53"/>
    </row>
    <row r="191" spans="6:22" x14ac:dyDescent="0.3">
      <c r="F191" s="53"/>
      <c r="G191" s="53"/>
      <c r="H191" s="53"/>
      <c r="P191" s="53"/>
      <c r="T191" s="53"/>
      <c r="U191" s="53"/>
      <c r="V191" s="53"/>
    </row>
    <row r="192" spans="6:22" x14ac:dyDescent="0.3">
      <c r="F192" s="53"/>
      <c r="G192" s="53"/>
      <c r="H192" s="53"/>
      <c r="P192" s="53"/>
      <c r="T192" s="53"/>
      <c r="U192" s="53"/>
      <c r="V192" s="53"/>
    </row>
    <row r="193" spans="6:22" x14ac:dyDescent="0.3">
      <c r="F193" s="53"/>
      <c r="G193" s="53"/>
      <c r="H193" s="53"/>
      <c r="P193" s="53"/>
      <c r="T193" s="53"/>
      <c r="U193" s="53"/>
      <c r="V193" s="53"/>
    </row>
    <row r="194" spans="6:22" x14ac:dyDescent="0.3">
      <c r="F194" s="53"/>
      <c r="G194" s="53"/>
      <c r="H194" s="53"/>
      <c r="P194" s="53"/>
      <c r="T194" s="53"/>
      <c r="U194" s="53"/>
      <c r="V194" s="53"/>
    </row>
    <row r="195" spans="6:22" x14ac:dyDescent="0.3">
      <c r="F195" s="53"/>
      <c r="G195" s="53"/>
      <c r="H195" s="53"/>
      <c r="P195" s="53"/>
      <c r="T195" s="53"/>
      <c r="U195" s="53"/>
      <c r="V195" s="53"/>
    </row>
    <row r="196" spans="6:22" x14ac:dyDescent="0.3">
      <c r="F196" s="53"/>
      <c r="G196" s="53"/>
      <c r="H196" s="53"/>
      <c r="P196" s="53"/>
      <c r="T196" s="53"/>
      <c r="U196" s="53"/>
      <c r="V196" s="53"/>
    </row>
    <row r="197" spans="6:22" x14ac:dyDescent="0.3">
      <c r="F197" s="53"/>
      <c r="G197" s="53"/>
      <c r="H197" s="53"/>
      <c r="P197" s="53"/>
      <c r="T197" s="53"/>
      <c r="U197" s="53"/>
      <c r="V197" s="53"/>
    </row>
    <row r="198" spans="6:22" x14ac:dyDescent="0.3">
      <c r="F198" s="53"/>
      <c r="G198" s="53"/>
      <c r="H198" s="53"/>
      <c r="P198" s="53"/>
      <c r="T198" s="53"/>
      <c r="U198" s="53"/>
      <c r="V198" s="53"/>
    </row>
    <row r="199" spans="6:22" x14ac:dyDescent="0.3">
      <c r="F199" s="53"/>
      <c r="G199" s="53"/>
      <c r="H199" s="53"/>
      <c r="P199" s="53"/>
      <c r="T199" s="53"/>
      <c r="U199" s="53"/>
      <c r="V199" s="53"/>
    </row>
    <row r="200" spans="6:22" x14ac:dyDescent="0.3">
      <c r="F200" s="53"/>
      <c r="G200" s="53"/>
      <c r="H200" s="53"/>
      <c r="P200" s="53"/>
      <c r="T200" s="53"/>
      <c r="U200" s="53"/>
      <c r="V200" s="53"/>
    </row>
    <row r="201" spans="6:22" x14ac:dyDescent="0.3">
      <c r="F201" s="53"/>
      <c r="G201" s="53"/>
      <c r="H201" s="53"/>
      <c r="P201" s="53"/>
      <c r="T201" s="53"/>
      <c r="U201" s="53"/>
      <c r="V201" s="53"/>
    </row>
    <row r="202" spans="6:22" x14ac:dyDescent="0.3">
      <c r="F202" s="53"/>
      <c r="G202" s="53"/>
      <c r="H202" s="53"/>
      <c r="P202" s="53"/>
      <c r="T202" s="53"/>
      <c r="U202" s="53"/>
      <c r="V202" s="53"/>
    </row>
    <row r="203" spans="6:22" x14ac:dyDescent="0.3">
      <c r="F203" s="53"/>
      <c r="G203" s="53"/>
      <c r="H203" s="53"/>
      <c r="P203" s="53"/>
      <c r="T203" s="53"/>
      <c r="U203" s="53"/>
      <c r="V203" s="53"/>
    </row>
    <row r="204" spans="6:22" x14ac:dyDescent="0.3">
      <c r="F204" s="53"/>
      <c r="G204" s="53"/>
      <c r="H204" s="53"/>
      <c r="P204" s="53"/>
      <c r="T204" s="53"/>
      <c r="U204" s="53"/>
      <c r="V204" s="53"/>
    </row>
    <row r="205" spans="6:22" x14ac:dyDescent="0.3">
      <c r="F205" s="53"/>
      <c r="G205" s="53"/>
      <c r="H205" s="53"/>
      <c r="P205" s="53"/>
      <c r="T205" s="53"/>
      <c r="U205" s="53"/>
      <c r="V205" s="53"/>
    </row>
    <row r="206" spans="6:22" x14ac:dyDescent="0.3">
      <c r="F206" s="53"/>
      <c r="G206" s="53"/>
      <c r="H206" s="53"/>
      <c r="P206" s="53"/>
      <c r="T206" s="53"/>
      <c r="U206" s="53"/>
      <c r="V206" s="53"/>
    </row>
    <row r="207" spans="6:22" x14ac:dyDescent="0.3">
      <c r="F207" s="53"/>
      <c r="G207" s="53"/>
      <c r="H207" s="53"/>
      <c r="P207" s="53"/>
      <c r="T207" s="53"/>
      <c r="U207" s="53"/>
      <c r="V207" s="53"/>
    </row>
    <row r="208" spans="6:22" x14ac:dyDescent="0.3">
      <c r="F208" s="53"/>
      <c r="G208" s="53"/>
      <c r="H208" s="53"/>
      <c r="P208" s="53"/>
      <c r="T208" s="53"/>
      <c r="U208" s="53"/>
      <c r="V208" s="53"/>
    </row>
    <row r="209" spans="6:22" x14ac:dyDescent="0.3">
      <c r="F209" s="53"/>
      <c r="G209" s="53"/>
      <c r="H209" s="53"/>
      <c r="P209" s="53"/>
      <c r="T209" s="53"/>
      <c r="U209" s="53"/>
      <c r="V209" s="53"/>
    </row>
    <row r="210" spans="6:22" x14ac:dyDescent="0.3">
      <c r="F210" s="53"/>
      <c r="G210" s="53"/>
      <c r="H210" s="53"/>
      <c r="P210" s="53"/>
      <c r="T210" s="53"/>
      <c r="U210" s="53"/>
      <c r="V210" s="53"/>
    </row>
    <row r="211" spans="6:22" x14ac:dyDescent="0.3">
      <c r="F211" s="53"/>
      <c r="G211" s="53"/>
      <c r="H211" s="53"/>
      <c r="P211" s="53"/>
      <c r="T211" s="53"/>
      <c r="U211" s="53"/>
      <c r="V211" s="53"/>
    </row>
    <row r="212" spans="6:22" x14ac:dyDescent="0.3">
      <c r="F212" s="53"/>
      <c r="G212" s="53"/>
      <c r="H212" s="53"/>
      <c r="P212" s="53"/>
      <c r="T212" s="53"/>
      <c r="U212" s="53"/>
      <c r="V212" s="53"/>
    </row>
    <row r="213" spans="6:22" x14ac:dyDescent="0.3">
      <c r="F213" s="53"/>
      <c r="G213" s="53"/>
      <c r="H213" s="53"/>
      <c r="P213" s="53"/>
      <c r="T213" s="53"/>
      <c r="U213" s="53"/>
      <c r="V213" s="53"/>
    </row>
    <row r="214" spans="6:22" x14ac:dyDescent="0.3">
      <c r="F214" s="53"/>
      <c r="G214" s="53"/>
      <c r="H214" s="53"/>
      <c r="P214" s="53"/>
      <c r="T214" s="53"/>
      <c r="U214" s="53"/>
      <c r="V214" s="53"/>
    </row>
    <row r="215" spans="6:22" x14ac:dyDescent="0.3">
      <c r="F215" s="53"/>
      <c r="G215" s="53"/>
      <c r="H215" s="53"/>
      <c r="P215" s="53"/>
      <c r="T215" s="53"/>
      <c r="U215" s="53"/>
      <c r="V215" s="53"/>
    </row>
    <row r="216" spans="6:22" x14ac:dyDescent="0.3">
      <c r="F216" s="53"/>
      <c r="G216" s="53"/>
      <c r="H216" s="53"/>
      <c r="P216" s="53"/>
      <c r="T216" s="53"/>
      <c r="U216" s="53"/>
      <c r="V216" s="53"/>
    </row>
    <row r="217" spans="6:22" x14ac:dyDescent="0.3">
      <c r="F217" s="53"/>
      <c r="G217" s="53"/>
      <c r="H217" s="53"/>
      <c r="P217" s="53"/>
      <c r="T217" s="53"/>
      <c r="U217" s="53"/>
      <c r="V217" s="53"/>
    </row>
    <row r="218" spans="6:22" x14ac:dyDescent="0.3">
      <c r="F218" s="53"/>
      <c r="G218" s="53"/>
      <c r="H218" s="53"/>
      <c r="P218" s="53"/>
      <c r="T218" s="53"/>
      <c r="U218" s="53"/>
      <c r="V218" s="53"/>
    </row>
    <row r="219" spans="6:22" x14ac:dyDescent="0.3">
      <c r="F219" s="53"/>
      <c r="G219" s="53"/>
      <c r="H219" s="53"/>
      <c r="P219" s="53"/>
      <c r="T219" s="53"/>
      <c r="U219" s="53"/>
      <c r="V219" s="53"/>
    </row>
    <row r="220" spans="6:22" x14ac:dyDescent="0.3">
      <c r="F220" s="53"/>
      <c r="G220" s="53"/>
      <c r="H220" s="53"/>
      <c r="P220" s="53"/>
      <c r="T220" s="53"/>
      <c r="U220" s="53"/>
      <c r="V220" s="53"/>
    </row>
    <row r="221" spans="6:22" x14ac:dyDescent="0.3">
      <c r="F221" s="53"/>
      <c r="G221" s="53"/>
      <c r="H221" s="53"/>
      <c r="P221" s="53"/>
      <c r="T221" s="53"/>
      <c r="U221" s="53"/>
      <c r="V221" s="53"/>
    </row>
    <row r="222" spans="6:22" x14ac:dyDescent="0.3">
      <c r="F222" s="53"/>
      <c r="G222" s="53"/>
      <c r="H222" s="53"/>
      <c r="P222" s="53"/>
      <c r="T222" s="53"/>
      <c r="U222" s="53"/>
      <c r="V222" s="53"/>
    </row>
    <row r="223" spans="6:22" x14ac:dyDescent="0.3">
      <c r="F223" s="53"/>
      <c r="G223" s="53"/>
      <c r="H223" s="53"/>
      <c r="P223" s="53"/>
      <c r="T223" s="53"/>
      <c r="U223" s="53"/>
      <c r="V223" s="53"/>
    </row>
    <row r="224" spans="6:22" x14ac:dyDescent="0.3">
      <c r="F224" s="53"/>
      <c r="G224" s="53"/>
      <c r="H224" s="53"/>
      <c r="P224" s="53"/>
      <c r="T224" s="53"/>
      <c r="U224" s="53"/>
      <c r="V224" s="53"/>
    </row>
    <row r="225" spans="6:22" x14ac:dyDescent="0.3">
      <c r="F225" s="53"/>
      <c r="G225" s="53"/>
      <c r="H225" s="53"/>
      <c r="P225" s="53"/>
      <c r="T225" s="53"/>
      <c r="U225" s="53"/>
      <c r="V225" s="53"/>
    </row>
    <row r="226" spans="6:22" x14ac:dyDescent="0.3">
      <c r="F226" s="53"/>
      <c r="G226" s="53"/>
      <c r="H226" s="53"/>
      <c r="P226" s="53"/>
      <c r="T226" s="53"/>
      <c r="U226" s="53"/>
      <c r="V226" s="53"/>
    </row>
    <row r="227" spans="6:22" x14ac:dyDescent="0.3">
      <c r="F227" s="53"/>
      <c r="G227" s="53"/>
      <c r="H227" s="53"/>
      <c r="P227" s="53"/>
      <c r="T227" s="53"/>
      <c r="U227" s="53"/>
      <c r="V227" s="53"/>
    </row>
    <row r="228" spans="6:22" x14ac:dyDescent="0.3">
      <c r="F228" s="53"/>
      <c r="G228" s="53"/>
      <c r="H228" s="53"/>
      <c r="P228" s="53"/>
      <c r="T228" s="53"/>
      <c r="U228" s="53"/>
      <c r="V228" s="53"/>
    </row>
    <row r="229" spans="6:22" x14ac:dyDescent="0.3">
      <c r="F229" s="53"/>
      <c r="G229" s="53"/>
      <c r="H229" s="53"/>
      <c r="P229" s="53"/>
      <c r="T229" s="53"/>
      <c r="U229" s="53"/>
      <c r="V229" s="53"/>
    </row>
    <row r="230" spans="6:22" x14ac:dyDescent="0.3">
      <c r="F230" s="53"/>
      <c r="G230" s="53"/>
      <c r="H230" s="53"/>
      <c r="P230" s="53"/>
      <c r="T230" s="53"/>
      <c r="U230" s="53"/>
      <c r="V230" s="53"/>
    </row>
    <row r="231" spans="6:22" x14ac:dyDescent="0.3">
      <c r="F231" s="53"/>
      <c r="G231" s="53"/>
      <c r="H231" s="53"/>
      <c r="P231" s="53"/>
      <c r="T231" s="53"/>
      <c r="U231" s="53"/>
      <c r="V231" s="53"/>
    </row>
    <row r="232" spans="6:22" x14ac:dyDescent="0.3">
      <c r="F232" s="53"/>
      <c r="G232" s="53"/>
      <c r="H232" s="53"/>
      <c r="P232" s="53"/>
      <c r="T232" s="53"/>
      <c r="U232" s="53"/>
      <c r="V232" s="53"/>
    </row>
    <row r="233" spans="6:22" x14ac:dyDescent="0.3">
      <c r="F233" s="53"/>
      <c r="G233" s="53"/>
      <c r="H233" s="53"/>
      <c r="P233" s="53"/>
      <c r="T233" s="53"/>
      <c r="U233" s="53"/>
      <c r="V233" s="53"/>
    </row>
    <row r="234" spans="6:22" x14ac:dyDescent="0.3">
      <c r="F234" s="53"/>
      <c r="G234" s="53"/>
      <c r="H234" s="53"/>
      <c r="P234" s="53"/>
      <c r="T234" s="53"/>
      <c r="U234" s="53"/>
      <c r="V234" s="53"/>
    </row>
    <row r="235" spans="6:22" x14ac:dyDescent="0.3">
      <c r="F235" s="53"/>
      <c r="G235" s="53"/>
      <c r="H235" s="53"/>
      <c r="P235" s="53"/>
      <c r="T235" s="53"/>
      <c r="U235" s="53"/>
      <c r="V235" s="53"/>
    </row>
    <row r="236" spans="6:22" x14ac:dyDescent="0.3">
      <c r="F236" s="53"/>
      <c r="G236" s="53"/>
      <c r="H236" s="53"/>
      <c r="P236" s="53"/>
      <c r="T236" s="53"/>
      <c r="U236" s="53"/>
      <c r="V236" s="53"/>
    </row>
    <row r="237" spans="6:22" x14ac:dyDescent="0.3">
      <c r="F237" s="53"/>
      <c r="G237" s="53"/>
      <c r="H237" s="53"/>
      <c r="P237" s="53"/>
      <c r="T237" s="53"/>
      <c r="U237" s="53"/>
      <c r="V237" s="53"/>
    </row>
    <row r="238" spans="6:22" x14ac:dyDescent="0.3">
      <c r="F238" s="53"/>
      <c r="G238" s="53"/>
      <c r="H238" s="53"/>
      <c r="P238" s="53"/>
      <c r="T238" s="53"/>
      <c r="U238" s="53"/>
      <c r="V238" s="53"/>
    </row>
    <row r="239" spans="6:22" x14ac:dyDescent="0.3">
      <c r="F239" s="53"/>
      <c r="G239" s="53"/>
      <c r="H239" s="53"/>
      <c r="P239" s="53"/>
      <c r="T239" s="53"/>
      <c r="U239" s="53"/>
      <c r="V239" s="53"/>
    </row>
    <row r="240" spans="6:22" x14ac:dyDescent="0.3">
      <c r="F240" s="53"/>
      <c r="G240" s="53"/>
      <c r="H240" s="53"/>
      <c r="P240" s="53"/>
      <c r="T240" s="53"/>
      <c r="U240" s="53"/>
      <c r="V240" s="53"/>
    </row>
    <row r="241" spans="6:22" x14ac:dyDescent="0.3">
      <c r="F241" s="53"/>
      <c r="G241" s="53"/>
      <c r="H241" s="53"/>
      <c r="P241" s="53"/>
      <c r="T241" s="53"/>
      <c r="U241" s="53"/>
      <c r="V241" s="53"/>
    </row>
    <row r="242" spans="6:22" x14ac:dyDescent="0.3">
      <c r="F242" s="53"/>
      <c r="G242" s="53"/>
      <c r="H242" s="53"/>
      <c r="P242" s="53"/>
      <c r="T242" s="53"/>
      <c r="U242" s="53"/>
      <c r="V242" s="53"/>
    </row>
    <row r="243" spans="6:22" x14ac:dyDescent="0.3">
      <c r="F243" s="53"/>
      <c r="G243" s="53"/>
      <c r="H243" s="53"/>
      <c r="P243" s="53"/>
      <c r="T243" s="53"/>
      <c r="U243" s="53"/>
      <c r="V243" s="53"/>
    </row>
    <row r="244" spans="6:22" x14ac:dyDescent="0.3">
      <c r="F244" s="53"/>
      <c r="G244" s="53"/>
      <c r="H244" s="53"/>
      <c r="P244" s="53"/>
      <c r="T244" s="53"/>
      <c r="U244" s="53"/>
      <c r="V244" s="53"/>
    </row>
    <row r="245" spans="6:22" x14ac:dyDescent="0.3">
      <c r="F245" s="53"/>
      <c r="G245" s="53"/>
      <c r="H245" s="53"/>
      <c r="P245" s="53"/>
      <c r="T245" s="53"/>
      <c r="U245" s="53"/>
      <c r="V245" s="53"/>
    </row>
    <row r="246" spans="6:22" x14ac:dyDescent="0.3">
      <c r="F246" s="53"/>
      <c r="G246" s="53"/>
      <c r="H246" s="53"/>
      <c r="P246" s="53"/>
      <c r="T246" s="53"/>
      <c r="U246" s="53"/>
      <c r="V246" s="53"/>
    </row>
    <row r="247" spans="6:22" x14ac:dyDescent="0.3">
      <c r="F247" s="53"/>
      <c r="G247" s="53"/>
      <c r="H247" s="53"/>
      <c r="P247" s="53"/>
      <c r="T247" s="53"/>
      <c r="U247" s="53"/>
      <c r="V247" s="53"/>
    </row>
    <row r="248" spans="6:22" x14ac:dyDescent="0.3">
      <c r="F248" s="53"/>
      <c r="G248" s="53"/>
      <c r="H248" s="53"/>
      <c r="P248" s="53"/>
      <c r="T248" s="53"/>
      <c r="U248" s="53"/>
      <c r="V248" s="53"/>
    </row>
    <row r="249" spans="6:22" x14ac:dyDescent="0.3">
      <c r="F249" s="53"/>
      <c r="G249" s="53"/>
      <c r="H249" s="53"/>
      <c r="P249" s="53"/>
      <c r="T249" s="53"/>
      <c r="U249" s="53"/>
      <c r="V249" s="53"/>
    </row>
    <row r="250" spans="6:22" x14ac:dyDescent="0.3">
      <c r="F250" s="53"/>
      <c r="G250" s="53"/>
      <c r="H250" s="53"/>
      <c r="P250" s="53"/>
      <c r="T250" s="53"/>
      <c r="U250" s="53"/>
      <c r="V250" s="53"/>
    </row>
    <row r="251" spans="6:22" x14ac:dyDescent="0.3">
      <c r="F251" s="53"/>
      <c r="G251" s="53"/>
      <c r="H251" s="53"/>
      <c r="P251" s="53"/>
      <c r="T251" s="53"/>
      <c r="U251" s="53"/>
      <c r="V251" s="53"/>
    </row>
    <row r="252" spans="6:22" x14ac:dyDescent="0.3">
      <c r="F252" s="53"/>
      <c r="G252" s="53"/>
      <c r="H252" s="53"/>
      <c r="P252" s="53"/>
      <c r="T252" s="53"/>
      <c r="U252" s="53"/>
      <c r="V252" s="53"/>
    </row>
    <row r="253" spans="6:22" x14ac:dyDescent="0.3">
      <c r="F253" s="53"/>
      <c r="G253" s="53"/>
      <c r="H253" s="53"/>
      <c r="P253" s="53"/>
      <c r="T253" s="53"/>
      <c r="U253" s="53"/>
      <c r="V253" s="53"/>
    </row>
    <row r="254" spans="6:22" x14ac:dyDescent="0.3">
      <c r="F254" s="53"/>
      <c r="G254" s="53"/>
      <c r="H254" s="53"/>
      <c r="P254" s="53"/>
      <c r="T254" s="53"/>
      <c r="U254" s="53"/>
      <c r="V254" s="53"/>
    </row>
    <row r="255" spans="6:22" x14ac:dyDescent="0.3">
      <c r="F255" s="53"/>
      <c r="G255" s="53"/>
      <c r="H255" s="53"/>
      <c r="P255" s="53"/>
      <c r="T255" s="53"/>
      <c r="U255" s="53"/>
      <c r="V255" s="53"/>
    </row>
    <row r="256" spans="6:22" x14ac:dyDescent="0.3">
      <c r="F256" s="53"/>
      <c r="G256" s="53"/>
      <c r="H256" s="53"/>
      <c r="P256" s="53"/>
      <c r="T256" s="53"/>
      <c r="U256" s="53"/>
      <c r="V256" s="53"/>
    </row>
    <row r="257" spans="6:22" x14ac:dyDescent="0.3">
      <c r="F257" s="53"/>
      <c r="G257" s="53"/>
      <c r="H257" s="53"/>
      <c r="P257" s="53"/>
      <c r="T257" s="53"/>
      <c r="U257" s="53"/>
      <c r="V257" s="53"/>
    </row>
    <row r="258" spans="6:22" x14ac:dyDescent="0.3">
      <c r="F258" s="53"/>
      <c r="G258" s="53"/>
      <c r="H258" s="53"/>
      <c r="P258" s="53"/>
      <c r="T258" s="53"/>
      <c r="U258" s="53"/>
      <c r="V258" s="53"/>
    </row>
    <row r="259" spans="6:22" x14ac:dyDescent="0.3">
      <c r="F259" s="53"/>
      <c r="G259" s="53"/>
      <c r="H259" s="53"/>
      <c r="P259" s="53"/>
      <c r="T259" s="53"/>
      <c r="U259" s="53"/>
      <c r="V259" s="53"/>
    </row>
    <row r="260" spans="6:22" x14ac:dyDescent="0.3">
      <c r="F260" s="53"/>
      <c r="G260" s="53"/>
      <c r="H260" s="53"/>
      <c r="P260" s="53"/>
      <c r="T260" s="53"/>
      <c r="U260" s="53"/>
      <c r="V260" s="53"/>
    </row>
    <row r="261" spans="6:22" x14ac:dyDescent="0.3">
      <c r="F261" s="53"/>
      <c r="G261" s="53"/>
      <c r="H261" s="53"/>
      <c r="P261" s="53"/>
      <c r="T261" s="53"/>
      <c r="U261" s="53"/>
      <c r="V261" s="53"/>
    </row>
    <row r="262" spans="6:22" x14ac:dyDescent="0.3">
      <c r="F262" s="53"/>
      <c r="G262" s="53"/>
      <c r="H262" s="53"/>
      <c r="P262" s="53"/>
      <c r="T262" s="53"/>
      <c r="U262" s="53"/>
      <c r="V262" s="53"/>
    </row>
    <row r="263" spans="6:22" x14ac:dyDescent="0.3">
      <c r="F263" s="53"/>
      <c r="G263" s="53"/>
      <c r="H263" s="53"/>
      <c r="P263" s="53"/>
      <c r="T263" s="53"/>
      <c r="U263" s="53"/>
      <c r="V263" s="53"/>
    </row>
    <row r="264" spans="6:22" x14ac:dyDescent="0.3">
      <c r="F264" s="53"/>
      <c r="G264" s="53"/>
      <c r="H264" s="53"/>
      <c r="P264" s="53"/>
      <c r="T264" s="53"/>
      <c r="U264" s="53"/>
      <c r="V264" s="53"/>
    </row>
    <row r="265" spans="6:22" x14ac:dyDescent="0.3">
      <c r="F265" s="53"/>
      <c r="G265" s="53"/>
      <c r="H265" s="53"/>
      <c r="P265" s="53"/>
      <c r="T265" s="53"/>
      <c r="U265" s="53"/>
      <c r="V265" s="53"/>
    </row>
    <row r="266" spans="6:22" x14ac:dyDescent="0.3">
      <c r="F266" s="53"/>
      <c r="G266" s="53"/>
      <c r="H266" s="53"/>
      <c r="P266" s="53"/>
      <c r="T266" s="53"/>
      <c r="U266" s="53"/>
      <c r="V266" s="53"/>
    </row>
    <row r="267" spans="6:22" x14ac:dyDescent="0.3">
      <c r="F267" s="53"/>
      <c r="G267" s="53"/>
      <c r="H267" s="53"/>
      <c r="P267" s="53"/>
      <c r="T267" s="53"/>
      <c r="U267" s="53"/>
      <c r="V267" s="53"/>
    </row>
    <row r="268" spans="6:22" x14ac:dyDescent="0.3">
      <c r="F268" s="53"/>
      <c r="G268" s="53"/>
      <c r="H268" s="53"/>
      <c r="P268" s="53"/>
      <c r="T268" s="53"/>
      <c r="U268" s="53"/>
      <c r="V268" s="53"/>
    </row>
    <row r="269" spans="6:22" x14ac:dyDescent="0.3">
      <c r="F269" s="53"/>
      <c r="G269" s="53"/>
      <c r="H269" s="53"/>
      <c r="P269" s="53"/>
      <c r="T269" s="53"/>
      <c r="U269" s="53"/>
      <c r="V269" s="53"/>
    </row>
    <row r="270" spans="6:22" x14ac:dyDescent="0.3">
      <c r="F270" s="53"/>
      <c r="G270" s="53"/>
      <c r="H270" s="53"/>
      <c r="P270" s="53"/>
      <c r="T270" s="53"/>
      <c r="U270" s="53"/>
      <c r="V270" s="53"/>
    </row>
    <row r="271" spans="6:22" x14ac:dyDescent="0.3">
      <c r="F271" s="53"/>
      <c r="G271" s="53"/>
      <c r="H271" s="53"/>
      <c r="P271" s="53"/>
      <c r="T271" s="53"/>
      <c r="U271" s="53"/>
      <c r="V271" s="53"/>
    </row>
    <row r="272" spans="6:22" x14ac:dyDescent="0.3">
      <c r="F272" s="53"/>
      <c r="G272" s="53"/>
      <c r="H272" s="53"/>
      <c r="P272" s="53"/>
      <c r="T272" s="53"/>
      <c r="U272" s="53"/>
      <c r="V272" s="53"/>
    </row>
    <row r="273" spans="6:22" x14ac:dyDescent="0.3">
      <c r="F273" s="53"/>
      <c r="G273" s="53"/>
      <c r="H273" s="53"/>
      <c r="P273" s="53"/>
      <c r="T273" s="53"/>
      <c r="U273" s="53"/>
      <c r="V273" s="53"/>
    </row>
    <row r="274" spans="6:22" x14ac:dyDescent="0.3">
      <c r="F274" s="53"/>
      <c r="G274" s="53"/>
      <c r="H274" s="53"/>
      <c r="P274" s="53"/>
      <c r="T274" s="53"/>
      <c r="U274" s="53"/>
      <c r="V274" s="53"/>
    </row>
    <row r="275" spans="6:22" x14ac:dyDescent="0.3">
      <c r="F275" s="53"/>
      <c r="G275" s="53"/>
      <c r="H275" s="53"/>
      <c r="P275" s="53"/>
      <c r="T275" s="53"/>
      <c r="U275" s="53"/>
      <c r="V275" s="53"/>
    </row>
    <row r="276" spans="6:22" x14ac:dyDescent="0.3">
      <c r="F276" s="53"/>
      <c r="G276" s="53"/>
      <c r="H276" s="53"/>
      <c r="P276" s="53"/>
      <c r="T276" s="53"/>
      <c r="U276" s="53"/>
      <c r="V276" s="53"/>
    </row>
    <row r="277" spans="6:22" x14ac:dyDescent="0.3">
      <c r="F277" s="53"/>
      <c r="G277" s="53"/>
      <c r="H277" s="53"/>
      <c r="P277" s="53"/>
      <c r="T277" s="53"/>
      <c r="U277" s="53"/>
      <c r="V277" s="53"/>
    </row>
    <row r="278" spans="6:22" x14ac:dyDescent="0.3">
      <c r="F278" s="53"/>
      <c r="G278" s="53"/>
      <c r="H278" s="53"/>
      <c r="P278" s="53"/>
      <c r="T278" s="53"/>
      <c r="U278" s="53"/>
      <c r="V278" s="53"/>
    </row>
    <row r="279" spans="6:22" x14ac:dyDescent="0.3">
      <c r="F279" s="53"/>
      <c r="G279" s="53"/>
      <c r="H279" s="53"/>
      <c r="P279" s="53"/>
      <c r="T279" s="53"/>
      <c r="U279" s="53"/>
      <c r="V279" s="53"/>
    </row>
    <row r="280" spans="6:22" x14ac:dyDescent="0.3">
      <c r="F280" s="53"/>
      <c r="G280" s="53"/>
      <c r="H280" s="53"/>
      <c r="P280" s="53"/>
      <c r="T280" s="53"/>
      <c r="U280" s="53"/>
      <c r="V280" s="53"/>
    </row>
    <row r="281" spans="6:22" x14ac:dyDescent="0.3">
      <c r="F281" s="53"/>
      <c r="G281" s="53"/>
      <c r="H281" s="53"/>
      <c r="P281" s="53"/>
      <c r="T281" s="53"/>
      <c r="U281" s="53"/>
      <c r="V281" s="53"/>
    </row>
    <row r="282" spans="6:22" x14ac:dyDescent="0.3">
      <c r="F282" s="53"/>
      <c r="G282" s="53"/>
      <c r="H282" s="53"/>
      <c r="P282" s="53"/>
      <c r="T282" s="53"/>
      <c r="U282" s="53"/>
      <c r="V282" s="53"/>
    </row>
    <row r="283" spans="6:22" x14ac:dyDescent="0.3">
      <c r="F283" s="53"/>
      <c r="G283" s="53"/>
      <c r="H283" s="53"/>
      <c r="P283" s="53"/>
      <c r="T283" s="53"/>
      <c r="U283" s="53"/>
      <c r="V283" s="53"/>
    </row>
    <row r="284" spans="6:22" x14ac:dyDescent="0.3">
      <c r="F284" s="53"/>
      <c r="G284" s="53"/>
      <c r="H284" s="53"/>
      <c r="P284" s="53"/>
      <c r="T284" s="53"/>
      <c r="U284" s="53"/>
      <c r="V284" s="53"/>
    </row>
    <row r="285" spans="6:22" x14ac:dyDescent="0.3">
      <c r="F285" s="53"/>
      <c r="G285" s="53"/>
      <c r="H285" s="53"/>
      <c r="P285" s="53"/>
      <c r="T285" s="53"/>
      <c r="U285" s="53"/>
      <c r="V285" s="53"/>
    </row>
    <row r="286" spans="6:22" x14ac:dyDescent="0.3">
      <c r="F286" s="53"/>
      <c r="G286" s="53"/>
      <c r="H286" s="53"/>
      <c r="P286" s="53"/>
      <c r="T286" s="53"/>
      <c r="U286" s="53"/>
      <c r="V286" s="53"/>
    </row>
    <row r="287" spans="6:22" x14ac:dyDescent="0.3">
      <c r="F287" s="53"/>
      <c r="G287" s="53"/>
      <c r="H287" s="53"/>
      <c r="P287" s="53"/>
      <c r="T287" s="53"/>
      <c r="U287" s="53"/>
      <c r="V287" s="53"/>
    </row>
    <row r="288" spans="6:22" x14ac:dyDescent="0.3">
      <c r="F288" s="53"/>
      <c r="G288" s="53"/>
      <c r="H288" s="53"/>
      <c r="P288" s="53"/>
      <c r="T288" s="53"/>
      <c r="U288" s="53"/>
      <c r="V288" s="53"/>
    </row>
    <row r="289" spans="6:22" x14ac:dyDescent="0.3">
      <c r="F289" s="53"/>
      <c r="G289" s="53"/>
      <c r="H289" s="53"/>
      <c r="P289" s="53"/>
      <c r="T289" s="53"/>
      <c r="U289" s="53"/>
      <c r="V289" s="53"/>
    </row>
    <row r="290" spans="6:22" x14ac:dyDescent="0.3">
      <c r="F290" s="53"/>
      <c r="G290" s="53"/>
      <c r="H290" s="53"/>
      <c r="P290" s="53"/>
      <c r="T290" s="53"/>
      <c r="U290" s="53"/>
      <c r="V290" s="53"/>
    </row>
    <row r="291" spans="6:22" x14ac:dyDescent="0.3">
      <c r="F291" s="53"/>
      <c r="G291" s="53"/>
      <c r="H291" s="53"/>
      <c r="P291" s="53"/>
      <c r="T291" s="53"/>
      <c r="U291" s="53"/>
      <c r="V291" s="53"/>
    </row>
    <row r="292" spans="6:22" x14ac:dyDescent="0.3">
      <c r="F292" s="53"/>
      <c r="G292" s="53"/>
      <c r="H292" s="53"/>
      <c r="P292" s="53"/>
      <c r="T292" s="53"/>
      <c r="U292" s="53"/>
      <c r="V292" s="53"/>
    </row>
    <row r="293" spans="6:22" x14ac:dyDescent="0.3">
      <c r="F293" s="53"/>
      <c r="G293" s="53"/>
      <c r="H293" s="53"/>
      <c r="P293" s="53"/>
      <c r="T293" s="53"/>
      <c r="U293" s="53"/>
      <c r="V293" s="53"/>
    </row>
    <row r="294" spans="6:22" x14ac:dyDescent="0.3">
      <c r="F294" s="53"/>
      <c r="G294" s="53"/>
      <c r="H294" s="53"/>
      <c r="P294" s="53"/>
      <c r="T294" s="53"/>
      <c r="U294" s="53"/>
      <c r="V294" s="53"/>
    </row>
    <row r="295" spans="6:22" x14ac:dyDescent="0.3">
      <c r="F295" s="53"/>
      <c r="G295" s="53"/>
      <c r="H295" s="53"/>
      <c r="P295" s="53"/>
      <c r="T295" s="53"/>
      <c r="U295" s="53"/>
      <c r="V295" s="53"/>
    </row>
    <row r="296" spans="6:22" x14ac:dyDescent="0.3">
      <c r="F296" s="53"/>
      <c r="G296" s="53"/>
      <c r="H296" s="53"/>
      <c r="P296" s="53"/>
      <c r="T296" s="53"/>
      <c r="U296" s="53"/>
      <c r="V296" s="53"/>
    </row>
    <row r="297" spans="6:22" x14ac:dyDescent="0.3">
      <c r="F297" s="53"/>
      <c r="G297" s="53"/>
      <c r="H297" s="53"/>
      <c r="P297" s="53"/>
      <c r="T297" s="53"/>
      <c r="U297" s="53"/>
      <c r="V297" s="53"/>
    </row>
    <row r="298" spans="6:22" x14ac:dyDescent="0.3">
      <c r="F298" s="53"/>
      <c r="G298" s="53"/>
      <c r="H298" s="53"/>
      <c r="P298" s="53"/>
      <c r="T298" s="53"/>
      <c r="U298" s="53"/>
      <c r="V298" s="53"/>
    </row>
    <row r="299" spans="6:22" x14ac:dyDescent="0.3">
      <c r="F299" s="53"/>
      <c r="G299" s="53"/>
      <c r="H299" s="53"/>
      <c r="P299" s="53"/>
      <c r="T299" s="53"/>
      <c r="U299" s="53"/>
      <c r="V299" s="53"/>
    </row>
    <row r="300" spans="6:22" x14ac:dyDescent="0.3">
      <c r="F300" s="53"/>
      <c r="G300" s="53"/>
      <c r="H300" s="53"/>
      <c r="P300" s="53"/>
      <c r="T300" s="53"/>
      <c r="U300" s="53"/>
      <c r="V300" s="53"/>
    </row>
    <row r="301" spans="6:22" x14ac:dyDescent="0.3">
      <c r="F301" s="53"/>
      <c r="G301" s="53"/>
      <c r="H301" s="53"/>
      <c r="P301" s="53"/>
      <c r="T301" s="53"/>
      <c r="U301" s="53"/>
      <c r="V301" s="53"/>
    </row>
    <row r="302" spans="6:22" x14ac:dyDescent="0.3">
      <c r="F302" s="53"/>
      <c r="G302" s="53"/>
      <c r="H302" s="53"/>
      <c r="P302" s="53"/>
      <c r="T302" s="53"/>
      <c r="U302" s="53"/>
      <c r="V302" s="53"/>
    </row>
    <row r="303" spans="6:22" x14ac:dyDescent="0.3">
      <c r="F303" s="53"/>
      <c r="G303" s="53"/>
      <c r="H303" s="53"/>
      <c r="P303" s="53"/>
      <c r="T303" s="53"/>
      <c r="U303" s="53"/>
      <c r="V303" s="53"/>
    </row>
    <row r="304" spans="6:22" x14ac:dyDescent="0.3">
      <c r="F304" s="53"/>
      <c r="G304" s="53"/>
      <c r="H304" s="53"/>
      <c r="P304" s="53"/>
      <c r="T304" s="53"/>
      <c r="U304" s="53"/>
      <c r="V304" s="53"/>
    </row>
    <row r="305" spans="6:22" x14ac:dyDescent="0.3">
      <c r="F305" s="53"/>
      <c r="G305" s="53"/>
      <c r="H305" s="53"/>
      <c r="P305" s="53"/>
      <c r="T305" s="53"/>
      <c r="U305" s="53"/>
      <c r="V305" s="53"/>
    </row>
    <row r="306" spans="6:22" x14ac:dyDescent="0.3">
      <c r="F306" s="53"/>
      <c r="G306" s="53"/>
      <c r="H306" s="53"/>
      <c r="P306" s="53"/>
      <c r="T306" s="53"/>
      <c r="U306" s="53"/>
      <c r="V306" s="53"/>
    </row>
    <row r="307" spans="6:22" x14ac:dyDescent="0.3">
      <c r="F307" s="53"/>
      <c r="G307" s="53"/>
      <c r="H307" s="53"/>
      <c r="P307" s="53"/>
      <c r="T307" s="53"/>
      <c r="U307" s="53"/>
      <c r="V307" s="53"/>
    </row>
    <row r="308" spans="6:22" x14ac:dyDescent="0.3">
      <c r="F308" s="53"/>
      <c r="G308" s="53"/>
      <c r="H308" s="53"/>
      <c r="P308" s="53"/>
      <c r="T308" s="53"/>
      <c r="U308" s="53"/>
      <c r="V308" s="53"/>
    </row>
    <row r="309" spans="6:22" x14ac:dyDescent="0.3">
      <c r="F309" s="53"/>
      <c r="G309" s="53"/>
      <c r="H309" s="53"/>
      <c r="P309" s="53"/>
      <c r="T309" s="53"/>
      <c r="U309" s="53"/>
      <c r="V309" s="53"/>
    </row>
    <row r="310" spans="6:22" x14ac:dyDescent="0.3">
      <c r="F310" s="53"/>
      <c r="G310" s="53"/>
      <c r="H310" s="53"/>
      <c r="P310" s="53"/>
      <c r="T310" s="53"/>
      <c r="U310" s="53"/>
      <c r="V310" s="53"/>
    </row>
    <row r="311" spans="6:22" x14ac:dyDescent="0.3">
      <c r="F311" s="53"/>
      <c r="G311" s="53"/>
      <c r="H311" s="53"/>
      <c r="P311" s="53"/>
      <c r="T311" s="53"/>
      <c r="U311" s="53"/>
      <c r="V311" s="53"/>
    </row>
    <row r="312" spans="6:22" x14ac:dyDescent="0.3">
      <c r="F312" s="53"/>
      <c r="G312" s="53"/>
      <c r="H312" s="53"/>
      <c r="P312" s="53"/>
      <c r="T312" s="53"/>
      <c r="U312" s="53"/>
      <c r="V312" s="53"/>
    </row>
    <row r="313" spans="6:22" x14ac:dyDescent="0.3">
      <c r="F313" s="53"/>
      <c r="G313" s="53"/>
      <c r="H313" s="53"/>
      <c r="P313" s="53"/>
      <c r="T313" s="53"/>
      <c r="U313" s="53"/>
      <c r="V313" s="53"/>
    </row>
    <row r="314" spans="6:22" x14ac:dyDescent="0.3">
      <c r="F314" s="53"/>
      <c r="G314" s="53"/>
      <c r="H314" s="53"/>
      <c r="P314" s="53"/>
      <c r="T314" s="53"/>
      <c r="U314" s="53"/>
      <c r="V314" s="53"/>
    </row>
    <row r="315" spans="6:22" x14ac:dyDescent="0.3">
      <c r="F315" s="53"/>
      <c r="G315" s="53"/>
      <c r="H315" s="53"/>
      <c r="P315" s="53"/>
      <c r="T315" s="53"/>
      <c r="U315" s="53"/>
      <c r="V315" s="53"/>
    </row>
    <row r="316" spans="6:22" x14ac:dyDescent="0.3">
      <c r="F316" s="53"/>
      <c r="G316" s="53"/>
      <c r="H316" s="53"/>
      <c r="P316" s="53"/>
      <c r="T316" s="53"/>
      <c r="U316" s="53"/>
      <c r="V316" s="53"/>
    </row>
    <row r="317" spans="6:22" x14ac:dyDescent="0.3">
      <c r="F317" s="53"/>
      <c r="G317" s="53"/>
      <c r="H317" s="53"/>
      <c r="P317" s="53"/>
      <c r="T317" s="53"/>
      <c r="U317" s="53"/>
      <c r="V317" s="53"/>
    </row>
    <row r="318" spans="6:22" x14ac:dyDescent="0.3">
      <c r="F318" s="53"/>
      <c r="G318" s="53"/>
      <c r="H318" s="53"/>
      <c r="P318" s="53"/>
      <c r="T318" s="53"/>
      <c r="U318" s="53"/>
      <c r="V318" s="53"/>
    </row>
    <row r="319" spans="6:22" x14ac:dyDescent="0.3">
      <c r="F319" s="53"/>
      <c r="G319" s="53"/>
      <c r="H319" s="53"/>
      <c r="P319" s="53"/>
      <c r="T319" s="53"/>
      <c r="U319" s="53"/>
      <c r="V319" s="53"/>
    </row>
    <row r="320" spans="6:22" x14ac:dyDescent="0.3">
      <c r="F320" s="53"/>
      <c r="G320" s="53"/>
      <c r="H320" s="53"/>
      <c r="P320" s="53"/>
      <c r="T320" s="53"/>
      <c r="U320" s="53"/>
      <c r="V320" s="53"/>
    </row>
    <row r="321" spans="6:22" x14ac:dyDescent="0.3">
      <c r="F321" s="53"/>
      <c r="G321" s="53"/>
      <c r="H321" s="53"/>
      <c r="P321" s="53"/>
      <c r="T321" s="53"/>
      <c r="U321" s="53"/>
      <c r="V321" s="53"/>
    </row>
    <row r="322" spans="6:22" x14ac:dyDescent="0.3">
      <c r="F322" s="53"/>
      <c r="G322" s="53"/>
      <c r="H322" s="53"/>
      <c r="P322" s="53"/>
      <c r="T322" s="53"/>
      <c r="U322" s="53"/>
      <c r="V322" s="53"/>
    </row>
    <row r="323" spans="6:22" x14ac:dyDescent="0.3">
      <c r="F323" s="53"/>
      <c r="G323" s="53"/>
      <c r="H323" s="53"/>
      <c r="P323" s="53"/>
      <c r="T323" s="53"/>
      <c r="U323" s="53"/>
      <c r="V323" s="53"/>
    </row>
    <row r="324" spans="6:22" x14ac:dyDescent="0.3">
      <c r="F324" s="53"/>
      <c r="G324" s="53"/>
      <c r="H324" s="53"/>
      <c r="P324" s="53"/>
      <c r="T324" s="53"/>
      <c r="U324" s="53"/>
      <c r="V324" s="53"/>
    </row>
    <row r="325" spans="6:22" x14ac:dyDescent="0.3">
      <c r="F325" s="53"/>
      <c r="G325" s="53"/>
      <c r="H325" s="53"/>
      <c r="P325" s="53"/>
      <c r="T325" s="53"/>
      <c r="U325" s="53"/>
      <c r="V325" s="53"/>
    </row>
    <row r="326" spans="6:22" x14ac:dyDescent="0.3">
      <c r="F326" s="53"/>
      <c r="G326" s="53"/>
      <c r="H326" s="53"/>
      <c r="P326" s="53"/>
      <c r="T326" s="53"/>
      <c r="U326" s="53"/>
      <c r="V326" s="53"/>
    </row>
    <row r="327" spans="6:22" x14ac:dyDescent="0.3">
      <c r="F327" s="53"/>
      <c r="G327" s="53"/>
      <c r="H327" s="53"/>
      <c r="P327" s="53"/>
      <c r="T327" s="53"/>
      <c r="U327" s="53"/>
      <c r="V327" s="53"/>
    </row>
    <row r="328" spans="6:22" x14ac:dyDescent="0.3">
      <c r="F328" s="53"/>
      <c r="G328" s="53"/>
      <c r="H328" s="53"/>
      <c r="P328" s="53"/>
      <c r="T328" s="53"/>
      <c r="U328" s="53"/>
      <c r="V328" s="53"/>
    </row>
    <row r="329" spans="6:22" x14ac:dyDescent="0.3">
      <c r="F329" s="53"/>
      <c r="G329" s="53"/>
      <c r="H329" s="53"/>
      <c r="P329" s="53"/>
      <c r="T329" s="53"/>
      <c r="U329" s="53"/>
      <c r="V329" s="53"/>
    </row>
    <row r="330" spans="6:22" x14ac:dyDescent="0.3">
      <c r="F330" s="53"/>
      <c r="G330" s="53"/>
      <c r="H330" s="53"/>
      <c r="P330" s="53"/>
      <c r="T330" s="53"/>
      <c r="U330" s="53"/>
      <c r="V330" s="53"/>
    </row>
    <row r="331" spans="6:22" x14ac:dyDescent="0.3">
      <c r="F331" s="53"/>
      <c r="G331" s="53"/>
      <c r="H331" s="53"/>
      <c r="P331" s="53"/>
      <c r="T331" s="53"/>
      <c r="U331" s="53"/>
      <c r="V331" s="53"/>
    </row>
    <row r="332" spans="6:22" x14ac:dyDescent="0.3">
      <c r="F332" s="53"/>
      <c r="G332" s="53"/>
      <c r="H332" s="53"/>
      <c r="P332" s="53"/>
      <c r="T332" s="53"/>
      <c r="U332" s="53"/>
      <c r="V332" s="53"/>
    </row>
    <row r="333" spans="6:22" x14ac:dyDescent="0.3">
      <c r="F333" s="53"/>
      <c r="G333" s="53"/>
      <c r="H333" s="53"/>
      <c r="P333" s="53"/>
      <c r="T333" s="53"/>
      <c r="U333" s="53"/>
      <c r="V333" s="53"/>
    </row>
    <row r="334" spans="6:22" x14ac:dyDescent="0.3">
      <c r="F334" s="53"/>
      <c r="G334" s="53"/>
      <c r="H334" s="53"/>
      <c r="P334" s="53"/>
      <c r="T334" s="53"/>
      <c r="U334" s="53"/>
      <c r="V334" s="53"/>
    </row>
    <row r="335" spans="6:22" x14ac:dyDescent="0.3">
      <c r="F335" s="53"/>
      <c r="G335" s="53"/>
      <c r="H335" s="53"/>
      <c r="P335" s="53"/>
      <c r="T335" s="53"/>
      <c r="U335" s="53"/>
      <c r="V335" s="53"/>
    </row>
    <row r="336" spans="6:22" x14ac:dyDescent="0.3">
      <c r="F336" s="53"/>
      <c r="G336" s="53"/>
      <c r="H336" s="53"/>
      <c r="P336" s="53"/>
      <c r="T336" s="53"/>
      <c r="U336" s="53"/>
      <c r="V336" s="53"/>
    </row>
    <row r="337" spans="6:22" x14ac:dyDescent="0.3">
      <c r="F337" s="53"/>
      <c r="G337" s="53"/>
      <c r="H337" s="53"/>
      <c r="P337" s="53"/>
      <c r="T337" s="53"/>
      <c r="U337" s="53"/>
      <c r="V337" s="53"/>
    </row>
    <row r="338" spans="6:22" x14ac:dyDescent="0.3">
      <c r="F338" s="53"/>
      <c r="G338" s="53"/>
      <c r="H338" s="53"/>
      <c r="P338" s="53"/>
      <c r="T338" s="53"/>
      <c r="U338" s="53"/>
      <c r="V338" s="53"/>
    </row>
    <row r="339" spans="6:22" x14ac:dyDescent="0.3">
      <c r="F339" s="53"/>
      <c r="G339" s="53"/>
      <c r="H339" s="53"/>
      <c r="P339" s="53"/>
      <c r="T339" s="53"/>
      <c r="U339" s="53"/>
      <c r="V339" s="53"/>
    </row>
    <row r="340" spans="6:22" x14ac:dyDescent="0.3">
      <c r="F340" s="53"/>
      <c r="G340" s="53"/>
      <c r="H340" s="53"/>
      <c r="P340" s="53"/>
      <c r="T340" s="53"/>
      <c r="U340" s="53"/>
      <c r="V340" s="53"/>
    </row>
    <row r="341" spans="6:22" x14ac:dyDescent="0.3">
      <c r="F341" s="53"/>
      <c r="G341" s="53"/>
      <c r="H341" s="53"/>
      <c r="P341" s="53"/>
      <c r="T341" s="53"/>
      <c r="U341" s="53"/>
      <c r="V341" s="53"/>
    </row>
    <row r="342" spans="6:22" x14ac:dyDescent="0.3">
      <c r="F342" s="53"/>
      <c r="G342" s="53"/>
      <c r="H342" s="53"/>
      <c r="P342" s="53"/>
      <c r="T342" s="53"/>
      <c r="U342" s="53"/>
      <c r="V342" s="53"/>
    </row>
    <row r="343" spans="6:22" x14ac:dyDescent="0.3">
      <c r="F343" s="53"/>
      <c r="G343" s="53"/>
      <c r="H343" s="53"/>
      <c r="P343" s="53"/>
      <c r="T343" s="53"/>
      <c r="U343" s="53"/>
      <c r="V343" s="53"/>
    </row>
    <row r="344" spans="6:22" x14ac:dyDescent="0.3">
      <c r="F344" s="53"/>
      <c r="G344" s="53"/>
      <c r="H344" s="53"/>
      <c r="P344" s="53"/>
      <c r="T344" s="53"/>
      <c r="U344" s="53"/>
      <c r="V344" s="53"/>
    </row>
    <row r="345" spans="6:22" x14ac:dyDescent="0.3">
      <c r="F345" s="53"/>
      <c r="G345" s="53"/>
      <c r="H345" s="53"/>
      <c r="P345" s="53"/>
      <c r="T345" s="53"/>
      <c r="U345" s="53"/>
      <c r="V345" s="53"/>
    </row>
    <row r="346" spans="6:22" x14ac:dyDescent="0.3">
      <c r="F346" s="53"/>
      <c r="G346" s="53"/>
      <c r="H346" s="53"/>
      <c r="P346" s="53"/>
      <c r="T346" s="53"/>
      <c r="U346" s="53"/>
      <c r="V346" s="53"/>
    </row>
    <row r="347" spans="6:22" x14ac:dyDescent="0.3">
      <c r="F347" s="53"/>
      <c r="G347" s="53"/>
      <c r="H347" s="53"/>
      <c r="P347" s="53"/>
      <c r="T347" s="53"/>
      <c r="U347" s="53"/>
      <c r="V347" s="53"/>
    </row>
    <row r="348" spans="6:22" x14ac:dyDescent="0.3">
      <c r="F348" s="53"/>
      <c r="G348" s="53"/>
      <c r="H348" s="53"/>
      <c r="P348" s="53"/>
      <c r="T348" s="53"/>
      <c r="U348" s="53"/>
      <c r="V348" s="53"/>
    </row>
    <row r="349" spans="6:22" x14ac:dyDescent="0.3">
      <c r="F349" s="53"/>
      <c r="G349" s="53"/>
      <c r="H349" s="53"/>
      <c r="P349" s="53"/>
      <c r="T349" s="53"/>
      <c r="U349" s="53"/>
      <c r="V349" s="53"/>
    </row>
    <row r="350" spans="6:22" x14ac:dyDescent="0.3">
      <c r="F350" s="53"/>
      <c r="G350" s="53"/>
      <c r="H350" s="53"/>
      <c r="P350" s="53"/>
      <c r="T350" s="53"/>
      <c r="U350" s="53"/>
      <c r="V350" s="53"/>
    </row>
    <row r="351" spans="6:22" x14ac:dyDescent="0.3">
      <c r="F351" s="53"/>
      <c r="G351" s="53"/>
      <c r="H351" s="53"/>
      <c r="P351" s="53"/>
      <c r="T351" s="53"/>
      <c r="U351" s="53"/>
      <c r="V351" s="53"/>
    </row>
    <row r="352" spans="6:22" x14ac:dyDescent="0.3">
      <c r="F352" s="53"/>
      <c r="G352" s="53"/>
      <c r="H352" s="53"/>
      <c r="P352" s="53"/>
      <c r="T352" s="53"/>
      <c r="U352" s="53"/>
      <c r="V352" s="53"/>
    </row>
    <row r="353" spans="6:22" x14ac:dyDescent="0.3">
      <c r="F353" s="53"/>
      <c r="G353" s="53"/>
      <c r="H353" s="53"/>
      <c r="P353" s="53"/>
      <c r="T353" s="53"/>
      <c r="U353" s="53"/>
      <c r="V353" s="53"/>
    </row>
    <row r="354" spans="6:22" x14ac:dyDescent="0.3">
      <c r="F354" s="53"/>
      <c r="G354" s="53"/>
      <c r="H354" s="53"/>
      <c r="P354" s="53"/>
      <c r="T354" s="53"/>
      <c r="U354" s="53"/>
      <c r="V354" s="53"/>
    </row>
    <row r="355" spans="6:22" x14ac:dyDescent="0.3">
      <c r="F355" s="53"/>
      <c r="G355" s="53"/>
      <c r="H355" s="53"/>
      <c r="P355" s="53"/>
      <c r="T355" s="53"/>
      <c r="U355" s="53"/>
      <c r="V355" s="53"/>
    </row>
    <row r="356" spans="6:22" x14ac:dyDescent="0.3">
      <c r="F356" s="53"/>
      <c r="G356" s="53"/>
      <c r="H356" s="53"/>
      <c r="P356" s="53"/>
      <c r="T356" s="53"/>
      <c r="U356" s="53"/>
      <c r="V356" s="53"/>
    </row>
    <row r="357" spans="6:22" x14ac:dyDescent="0.3">
      <c r="F357" s="53"/>
      <c r="G357" s="53"/>
      <c r="H357" s="53"/>
      <c r="P357" s="53"/>
      <c r="T357" s="53"/>
      <c r="U357" s="53"/>
      <c r="V357" s="53"/>
    </row>
    <row r="358" spans="6:22" x14ac:dyDescent="0.3">
      <c r="F358" s="53"/>
      <c r="G358" s="53"/>
      <c r="H358" s="53"/>
      <c r="P358" s="53"/>
      <c r="T358" s="53"/>
      <c r="U358" s="53"/>
      <c r="V358" s="53"/>
    </row>
    <row r="359" spans="6:22" x14ac:dyDescent="0.3">
      <c r="F359" s="53"/>
      <c r="G359" s="53"/>
      <c r="H359" s="53"/>
      <c r="P359" s="53"/>
      <c r="T359" s="53"/>
      <c r="U359" s="53"/>
      <c r="V359" s="53"/>
    </row>
    <row r="360" spans="6:22" x14ac:dyDescent="0.3">
      <c r="F360" s="53"/>
      <c r="G360" s="53"/>
      <c r="H360" s="53"/>
      <c r="P360" s="53"/>
      <c r="T360" s="53"/>
      <c r="U360" s="53"/>
      <c r="V360" s="53"/>
    </row>
    <row r="361" spans="6:22" x14ac:dyDescent="0.3">
      <c r="F361" s="53"/>
      <c r="G361" s="53"/>
      <c r="H361" s="53"/>
      <c r="P361" s="53"/>
      <c r="T361" s="53"/>
      <c r="U361" s="53"/>
      <c r="V361" s="53"/>
    </row>
    <row r="362" spans="6:22" x14ac:dyDescent="0.3">
      <c r="F362" s="53"/>
      <c r="G362" s="53"/>
      <c r="H362" s="53"/>
      <c r="P362" s="53"/>
      <c r="T362" s="53"/>
      <c r="U362" s="53"/>
      <c r="V362" s="53"/>
    </row>
    <row r="363" spans="6:22" x14ac:dyDescent="0.3">
      <c r="F363" s="53"/>
      <c r="G363" s="53"/>
      <c r="H363" s="53"/>
      <c r="P363" s="53"/>
      <c r="T363" s="53"/>
      <c r="U363" s="53"/>
      <c r="V363" s="53"/>
    </row>
    <row r="364" spans="6:22" x14ac:dyDescent="0.3">
      <c r="F364" s="53"/>
      <c r="G364" s="53"/>
      <c r="H364" s="53"/>
      <c r="P364" s="53"/>
      <c r="T364" s="53"/>
      <c r="U364" s="53"/>
      <c r="V364" s="53"/>
    </row>
    <row r="365" spans="6:22" x14ac:dyDescent="0.3">
      <c r="F365" s="53"/>
      <c r="G365" s="53"/>
      <c r="H365" s="53"/>
      <c r="P365" s="53"/>
      <c r="T365" s="53"/>
      <c r="U365" s="53"/>
      <c r="V365" s="53"/>
    </row>
    <row r="366" spans="6:22" x14ac:dyDescent="0.3">
      <c r="F366" s="53"/>
      <c r="G366" s="53"/>
      <c r="H366" s="53"/>
      <c r="P366" s="53"/>
      <c r="T366" s="53"/>
      <c r="U366" s="53"/>
      <c r="V366" s="53"/>
    </row>
    <row r="367" spans="6:22" x14ac:dyDescent="0.3">
      <c r="F367" s="53"/>
      <c r="G367" s="53"/>
      <c r="H367" s="53"/>
      <c r="P367" s="53"/>
      <c r="T367" s="53"/>
      <c r="U367" s="53"/>
      <c r="V367" s="53"/>
    </row>
    <row r="368" spans="6:22" x14ac:dyDescent="0.3">
      <c r="F368" s="53"/>
      <c r="G368" s="53"/>
      <c r="H368" s="53"/>
      <c r="P368" s="53"/>
      <c r="T368" s="53"/>
      <c r="U368" s="53"/>
      <c r="V368" s="53"/>
    </row>
    <row r="369" spans="6:22" x14ac:dyDescent="0.3">
      <c r="F369" s="53"/>
      <c r="G369" s="53"/>
      <c r="H369" s="53"/>
      <c r="P369" s="53"/>
      <c r="T369" s="53"/>
      <c r="U369" s="53"/>
      <c r="V369" s="53"/>
    </row>
    <row r="370" spans="6:22" x14ac:dyDescent="0.3">
      <c r="F370" s="53"/>
      <c r="G370" s="53"/>
      <c r="H370" s="53"/>
      <c r="P370" s="53"/>
      <c r="T370" s="53"/>
      <c r="U370" s="53"/>
      <c r="V370" s="53"/>
    </row>
    <row r="371" spans="6:22" x14ac:dyDescent="0.3">
      <c r="F371" s="53"/>
      <c r="G371" s="53"/>
      <c r="H371" s="53"/>
      <c r="P371" s="53"/>
      <c r="T371" s="53"/>
      <c r="U371" s="53"/>
      <c r="V371" s="53"/>
    </row>
    <row r="372" spans="6:22" x14ac:dyDescent="0.3">
      <c r="F372" s="53"/>
      <c r="G372" s="53"/>
      <c r="H372" s="53"/>
      <c r="P372" s="53"/>
      <c r="T372" s="53"/>
      <c r="U372" s="53"/>
      <c r="V372" s="53"/>
    </row>
    <row r="373" spans="6:22" x14ac:dyDescent="0.3">
      <c r="F373" s="53"/>
      <c r="G373" s="53"/>
      <c r="H373" s="53"/>
      <c r="P373" s="53"/>
      <c r="T373" s="53"/>
      <c r="U373" s="53"/>
      <c r="V373" s="53"/>
    </row>
    <row r="374" spans="6:22" x14ac:dyDescent="0.3">
      <c r="F374" s="53"/>
      <c r="G374" s="53"/>
      <c r="H374" s="53"/>
      <c r="P374" s="53"/>
      <c r="T374" s="53"/>
      <c r="U374" s="53"/>
      <c r="V374" s="53"/>
    </row>
    <row r="375" spans="6:22" x14ac:dyDescent="0.3">
      <c r="F375" s="53"/>
      <c r="G375" s="53"/>
      <c r="H375" s="53"/>
      <c r="P375" s="53"/>
      <c r="T375" s="53"/>
      <c r="U375" s="53"/>
      <c r="V375" s="53"/>
    </row>
    <row r="376" spans="6:22" x14ac:dyDescent="0.3">
      <c r="F376" s="53"/>
      <c r="G376" s="53"/>
      <c r="H376" s="53"/>
      <c r="P376" s="53"/>
      <c r="T376" s="53"/>
      <c r="U376" s="53"/>
      <c r="V376" s="53"/>
    </row>
    <row r="377" spans="6:22" x14ac:dyDescent="0.3">
      <c r="F377" s="53"/>
      <c r="G377" s="53"/>
      <c r="H377" s="53"/>
      <c r="P377" s="53"/>
      <c r="T377" s="53"/>
      <c r="U377" s="53"/>
      <c r="V377" s="53"/>
    </row>
    <row r="378" spans="6:22" x14ac:dyDescent="0.3">
      <c r="F378" s="53"/>
      <c r="G378" s="53"/>
      <c r="H378" s="53"/>
      <c r="P378" s="53"/>
      <c r="T378" s="53"/>
      <c r="U378" s="53"/>
      <c r="V378" s="53"/>
    </row>
    <row r="379" spans="6:22" x14ac:dyDescent="0.3">
      <c r="F379" s="53"/>
      <c r="G379" s="53"/>
      <c r="H379" s="53"/>
      <c r="P379" s="53"/>
      <c r="T379" s="53"/>
      <c r="U379" s="53"/>
      <c r="V379" s="53"/>
    </row>
    <row r="380" spans="6:22" x14ac:dyDescent="0.3">
      <c r="F380" s="53"/>
      <c r="G380" s="53"/>
      <c r="H380" s="53"/>
      <c r="P380" s="53"/>
      <c r="T380" s="53"/>
      <c r="U380" s="53"/>
      <c r="V380" s="53"/>
    </row>
    <row r="381" spans="6:22" x14ac:dyDescent="0.3">
      <c r="F381" s="53"/>
      <c r="G381" s="53"/>
      <c r="H381" s="53"/>
      <c r="P381" s="53"/>
      <c r="T381" s="53"/>
      <c r="U381" s="53"/>
      <c r="V381" s="53"/>
    </row>
    <row r="382" spans="6:22" x14ac:dyDescent="0.3">
      <c r="F382" s="53"/>
      <c r="G382" s="53"/>
      <c r="H382" s="53"/>
      <c r="P382" s="53"/>
      <c r="T382" s="53"/>
      <c r="U382" s="53"/>
      <c r="V382" s="53"/>
    </row>
    <row r="383" spans="6:22" x14ac:dyDescent="0.3">
      <c r="F383" s="53"/>
      <c r="G383" s="53"/>
      <c r="H383" s="53"/>
      <c r="P383" s="53"/>
      <c r="T383" s="53"/>
      <c r="U383" s="53"/>
      <c r="V383" s="53"/>
    </row>
    <row r="384" spans="6:22" x14ac:dyDescent="0.3">
      <c r="F384" s="53"/>
      <c r="G384" s="53"/>
      <c r="H384" s="53"/>
      <c r="P384" s="53"/>
      <c r="T384" s="53"/>
      <c r="U384" s="53"/>
      <c r="V384" s="53"/>
    </row>
    <row r="385" spans="6:22" x14ac:dyDescent="0.3">
      <c r="F385" s="53"/>
      <c r="G385" s="53"/>
      <c r="H385" s="53"/>
      <c r="P385" s="53"/>
      <c r="T385" s="53"/>
      <c r="U385" s="53"/>
      <c r="V385" s="53"/>
    </row>
    <row r="386" spans="6:22" x14ac:dyDescent="0.3">
      <c r="F386" s="53"/>
      <c r="G386" s="53"/>
      <c r="H386" s="53"/>
      <c r="P386" s="53"/>
      <c r="T386" s="53"/>
      <c r="U386" s="53"/>
      <c r="V386" s="53"/>
    </row>
    <row r="387" spans="6:22" x14ac:dyDescent="0.3">
      <c r="F387" s="53"/>
      <c r="G387" s="53"/>
      <c r="H387" s="53"/>
      <c r="P387" s="53"/>
      <c r="T387" s="53"/>
      <c r="U387" s="53"/>
      <c r="V387" s="53"/>
    </row>
    <row r="388" spans="6:22" x14ac:dyDescent="0.3">
      <c r="F388" s="53"/>
      <c r="G388" s="53"/>
      <c r="H388" s="53"/>
      <c r="P388" s="53"/>
      <c r="T388" s="53"/>
      <c r="U388" s="53"/>
      <c r="V388" s="53"/>
    </row>
    <row r="389" spans="6:22" x14ac:dyDescent="0.3">
      <c r="F389" s="53"/>
      <c r="G389" s="53"/>
      <c r="H389" s="53"/>
      <c r="P389" s="53"/>
      <c r="T389" s="53"/>
      <c r="U389" s="53"/>
      <c r="V389" s="53"/>
    </row>
    <row r="390" spans="6:22" x14ac:dyDescent="0.3">
      <c r="F390" s="53"/>
      <c r="G390" s="53"/>
      <c r="H390" s="53"/>
      <c r="P390" s="53"/>
      <c r="T390" s="53"/>
      <c r="U390" s="53"/>
      <c r="V390" s="53"/>
    </row>
    <row r="391" spans="6:22" x14ac:dyDescent="0.3">
      <c r="F391" s="53"/>
      <c r="G391" s="53"/>
      <c r="H391" s="53"/>
      <c r="P391" s="53"/>
      <c r="T391" s="53"/>
      <c r="U391" s="53"/>
      <c r="V391" s="53"/>
    </row>
    <row r="392" spans="6:22" x14ac:dyDescent="0.3">
      <c r="F392" s="53"/>
      <c r="G392" s="53"/>
      <c r="H392" s="53"/>
      <c r="P392" s="53"/>
      <c r="T392" s="53"/>
      <c r="U392" s="53"/>
      <c r="V392" s="53"/>
    </row>
    <row r="393" spans="6:22" x14ac:dyDescent="0.3">
      <c r="F393" s="53"/>
      <c r="G393" s="53"/>
      <c r="H393" s="53"/>
      <c r="P393" s="53"/>
      <c r="T393" s="53"/>
      <c r="U393" s="53"/>
      <c r="V393" s="53"/>
    </row>
    <row r="394" spans="6:22" x14ac:dyDescent="0.3">
      <c r="F394" s="53"/>
      <c r="G394" s="53"/>
      <c r="H394" s="53"/>
      <c r="P394" s="53"/>
      <c r="T394" s="53"/>
      <c r="U394" s="53"/>
      <c r="V394" s="53"/>
    </row>
    <row r="395" spans="6:22" x14ac:dyDescent="0.3">
      <c r="F395" s="53"/>
      <c r="G395" s="53"/>
      <c r="H395" s="53"/>
      <c r="P395" s="53"/>
      <c r="T395" s="53"/>
      <c r="U395" s="53"/>
      <c r="V395" s="53"/>
    </row>
    <row r="396" spans="6:22" x14ac:dyDescent="0.3">
      <c r="F396" s="53"/>
      <c r="G396" s="53"/>
      <c r="H396" s="53"/>
      <c r="P396" s="53"/>
      <c r="T396" s="53"/>
      <c r="U396" s="53"/>
      <c r="V396" s="53"/>
    </row>
    <row r="397" spans="6:22" x14ac:dyDescent="0.3">
      <c r="F397" s="53"/>
      <c r="G397" s="53"/>
      <c r="H397" s="53"/>
      <c r="P397" s="53"/>
      <c r="T397" s="53"/>
      <c r="U397" s="53"/>
      <c r="V397" s="53"/>
    </row>
    <row r="398" spans="6:22" x14ac:dyDescent="0.3">
      <c r="F398" s="53"/>
      <c r="G398" s="53"/>
      <c r="H398" s="53"/>
      <c r="P398" s="53"/>
      <c r="T398" s="53"/>
      <c r="U398" s="53"/>
      <c r="V398" s="53"/>
    </row>
    <row r="399" spans="6:22" x14ac:dyDescent="0.3">
      <c r="F399" s="53"/>
      <c r="G399" s="53"/>
      <c r="H399" s="53"/>
      <c r="P399" s="53"/>
      <c r="T399" s="53"/>
      <c r="U399" s="53"/>
      <c r="V399" s="53"/>
    </row>
    <row r="400" spans="6:22" x14ac:dyDescent="0.3">
      <c r="F400" s="53"/>
      <c r="G400" s="53"/>
      <c r="H400" s="53"/>
      <c r="P400" s="53"/>
      <c r="T400" s="53"/>
      <c r="U400" s="53"/>
      <c r="V400" s="53"/>
    </row>
    <row r="401" spans="6:22" x14ac:dyDescent="0.3">
      <c r="F401" s="53"/>
      <c r="G401" s="53"/>
      <c r="H401" s="53"/>
      <c r="P401" s="53"/>
      <c r="T401" s="53"/>
      <c r="U401" s="53"/>
      <c r="V401" s="53"/>
    </row>
    <row r="402" spans="6:22" x14ac:dyDescent="0.3">
      <c r="F402" s="53"/>
      <c r="G402" s="53"/>
      <c r="H402" s="53"/>
      <c r="P402" s="53"/>
      <c r="T402" s="53"/>
      <c r="U402" s="53"/>
      <c r="V402" s="53"/>
    </row>
    <row r="403" spans="6:22" x14ac:dyDescent="0.3">
      <c r="F403" s="53"/>
      <c r="G403" s="53"/>
      <c r="H403" s="53"/>
      <c r="P403" s="53"/>
      <c r="T403" s="53"/>
      <c r="U403" s="53"/>
      <c r="V403" s="53"/>
    </row>
    <row r="404" spans="6:22" x14ac:dyDescent="0.3">
      <c r="F404" s="53"/>
      <c r="G404" s="53"/>
      <c r="H404" s="53"/>
      <c r="P404" s="53"/>
      <c r="T404" s="53"/>
      <c r="U404" s="53"/>
      <c r="V404" s="53"/>
    </row>
    <row r="405" spans="6:22" x14ac:dyDescent="0.3">
      <c r="F405" s="53"/>
      <c r="G405" s="53"/>
      <c r="H405" s="53"/>
      <c r="P405" s="53"/>
      <c r="T405" s="53"/>
      <c r="U405" s="53"/>
      <c r="V405" s="53"/>
    </row>
    <row r="406" spans="6:22" x14ac:dyDescent="0.3">
      <c r="F406" s="53"/>
      <c r="G406" s="53"/>
      <c r="H406" s="53"/>
      <c r="P406" s="53"/>
      <c r="T406" s="53"/>
      <c r="U406" s="53"/>
      <c r="V406" s="53"/>
    </row>
    <row r="407" spans="6:22" x14ac:dyDescent="0.3">
      <c r="F407" s="53"/>
      <c r="G407" s="53"/>
      <c r="H407" s="53"/>
      <c r="P407" s="53"/>
      <c r="T407" s="53"/>
      <c r="U407" s="53"/>
      <c r="V407" s="53"/>
    </row>
    <row r="408" spans="6:22" x14ac:dyDescent="0.3">
      <c r="F408" s="53"/>
      <c r="G408" s="53"/>
      <c r="H408" s="53"/>
      <c r="P408" s="53"/>
      <c r="T408" s="53"/>
      <c r="U408" s="53"/>
      <c r="V408" s="53"/>
    </row>
    <row r="409" spans="6:22" x14ac:dyDescent="0.3">
      <c r="F409" s="53"/>
      <c r="G409" s="53"/>
      <c r="H409" s="53"/>
      <c r="P409" s="53"/>
      <c r="T409" s="53"/>
      <c r="U409" s="53"/>
      <c r="V409" s="53"/>
    </row>
    <row r="410" spans="6:22" x14ac:dyDescent="0.3">
      <c r="F410" s="53"/>
      <c r="G410" s="53"/>
      <c r="H410" s="53"/>
      <c r="P410" s="53"/>
      <c r="T410" s="53"/>
      <c r="U410" s="53"/>
      <c r="V410" s="53"/>
    </row>
    <row r="411" spans="6:22" x14ac:dyDescent="0.3">
      <c r="F411" s="53"/>
      <c r="G411" s="53"/>
      <c r="H411" s="53"/>
      <c r="P411" s="53"/>
      <c r="T411" s="53"/>
      <c r="U411" s="53"/>
      <c r="V411" s="53"/>
    </row>
    <row r="412" spans="6:22" x14ac:dyDescent="0.3">
      <c r="F412" s="53"/>
      <c r="G412" s="53"/>
      <c r="H412" s="53"/>
      <c r="P412" s="53"/>
      <c r="T412" s="53"/>
      <c r="U412" s="53"/>
      <c r="V412" s="53"/>
    </row>
    <row r="413" spans="6:22" x14ac:dyDescent="0.3">
      <c r="F413" s="53"/>
      <c r="G413" s="53"/>
      <c r="H413" s="53"/>
      <c r="P413" s="53"/>
      <c r="T413" s="53"/>
      <c r="U413" s="53"/>
      <c r="V413" s="53"/>
    </row>
    <row r="414" spans="6:22" x14ac:dyDescent="0.3">
      <c r="F414" s="53"/>
      <c r="G414" s="53"/>
      <c r="H414" s="53"/>
      <c r="P414" s="53"/>
      <c r="T414" s="53"/>
      <c r="U414" s="53"/>
      <c r="V414" s="53"/>
    </row>
    <row r="415" spans="6:22" x14ac:dyDescent="0.3">
      <c r="F415" s="53"/>
      <c r="G415" s="53"/>
      <c r="H415" s="53"/>
      <c r="P415" s="53"/>
      <c r="T415" s="53"/>
      <c r="U415" s="53"/>
      <c r="V415" s="53"/>
    </row>
    <row r="416" spans="6:22" x14ac:dyDescent="0.3">
      <c r="F416" s="53"/>
      <c r="G416" s="53"/>
      <c r="H416" s="53"/>
      <c r="P416" s="53"/>
      <c r="T416" s="53"/>
      <c r="U416" s="53"/>
      <c r="V416" s="53"/>
    </row>
    <row r="417" spans="6:22" x14ac:dyDescent="0.3">
      <c r="F417" s="53"/>
      <c r="G417" s="53"/>
      <c r="H417" s="53"/>
      <c r="P417" s="53"/>
      <c r="T417" s="53"/>
      <c r="U417" s="53"/>
      <c r="V417" s="53"/>
    </row>
    <row r="418" spans="6:22" x14ac:dyDescent="0.3">
      <c r="F418" s="53"/>
      <c r="G418" s="53"/>
      <c r="H418" s="53"/>
      <c r="P418" s="53"/>
      <c r="T418" s="53"/>
      <c r="U418" s="53"/>
      <c r="V418" s="53"/>
    </row>
    <row r="419" spans="6:22" x14ac:dyDescent="0.3">
      <c r="F419" s="53"/>
      <c r="G419" s="53"/>
      <c r="H419" s="53"/>
      <c r="P419" s="53"/>
      <c r="T419" s="53"/>
      <c r="U419" s="53"/>
      <c r="V419" s="53"/>
    </row>
    <row r="420" spans="6:22" x14ac:dyDescent="0.3">
      <c r="F420" s="53"/>
      <c r="G420" s="53"/>
      <c r="H420" s="53"/>
      <c r="P420" s="53"/>
      <c r="T420" s="53"/>
      <c r="U420" s="53"/>
      <c r="V420" s="53"/>
    </row>
    <row r="421" spans="6:22" x14ac:dyDescent="0.3">
      <c r="F421" s="53"/>
      <c r="G421" s="53"/>
      <c r="H421" s="53"/>
      <c r="P421" s="53"/>
      <c r="T421" s="53"/>
      <c r="U421" s="53"/>
      <c r="V421" s="53"/>
    </row>
    <row r="422" spans="6:22" x14ac:dyDescent="0.3">
      <c r="F422" s="53"/>
      <c r="G422" s="53"/>
      <c r="H422" s="53"/>
      <c r="P422" s="53"/>
      <c r="T422" s="53"/>
      <c r="U422" s="53"/>
      <c r="V422" s="53"/>
    </row>
    <row r="423" spans="6:22" x14ac:dyDescent="0.3">
      <c r="F423" s="53"/>
      <c r="G423" s="53"/>
      <c r="H423" s="53"/>
      <c r="P423" s="53"/>
      <c r="T423" s="53"/>
      <c r="U423" s="53"/>
      <c r="V423" s="53"/>
    </row>
    <row r="424" spans="6:22" x14ac:dyDescent="0.3">
      <c r="F424" s="53"/>
      <c r="G424" s="53"/>
      <c r="H424" s="53"/>
      <c r="P424" s="53"/>
      <c r="T424" s="53"/>
      <c r="U424" s="53"/>
      <c r="V424" s="53"/>
    </row>
    <row r="425" spans="6:22" x14ac:dyDescent="0.3">
      <c r="F425" s="53"/>
      <c r="G425" s="53"/>
      <c r="H425" s="53"/>
      <c r="P425" s="53"/>
      <c r="T425" s="53"/>
      <c r="U425" s="53"/>
      <c r="V425" s="53"/>
    </row>
    <row r="426" spans="6:22" x14ac:dyDescent="0.3">
      <c r="F426" s="53"/>
      <c r="G426" s="53"/>
      <c r="H426" s="53"/>
      <c r="P426" s="53"/>
      <c r="T426" s="53"/>
      <c r="U426" s="53"/>
      <c r="V426" s="53"/>
    </row>
    <row r="427" spans="6:22" x14ac:dyDescent="0.3">
      <c r="F427" s="53"/>
      <c r="G427" s="53"/>
      <c r="H427" s="53"/>
      <c r="P427" s="53"/>
      <c r="T427" s="53"/>
      <c r="U427" s="53"/>
      <c r="V427" s="53"/>
    </row>
    <row r="428" spans="6:22" x14ac:dyDescent="0.3">
      <c r="F428" s="53"/>
      <c r="G428" s="53"/>
      <c r="H428" s="53"/>
      <c r="P428" s="53"/>
      <c r="T428" s="53"/>
      <c r="U428" s="53"/>
      <c r="V428" s="53"/>
    </row>
    <row r="429" spans="6:22" x14ac:dyDescent="0.3">
      <c r="F429" s="53"/>
      <c r="G429" s="53"/>
      <c r="H429" s="53"/>
      <c r="P429" s="53"/>
      <c r="T429" s="53"/>
      <c r="U429" s="53"/>
      <c r="V429" s="53"/>
    </row>
    <row r="430" spans="6:22" x14ac:dyDescent="0.3">
      <c r="F430" s="53"/>
      <c r="G430" s="53"/>
      <c r="H430" s="53"/>
      <c r="P430" s="53"/>
      <c r="T430" s="53"/>
      <c r="U430" s="53"/>
      <c r="V430" s="53"/>
    </row>
    <row r="431" spans="6:22" x14ac:dyDescent="0.3">
      <c r="F431" s="53"/>
      <c r="G431" s="53"/>
      <c r="H431" s="53"/>
      <c r="P431" s="53"/>
      <c r="T431" s="53"/>
      <c r="U431" s="53"/>
      <c r="V431" s="53"/>
    </row>
    <row r="432" spans="6:22" x14ac:dyDescent="0.3">
      <c r="F432" s="53"/>
      <c r="G432" s="53"/>
      <c r="H432" s="53"/>
      <c r="P432" s="53"/>
      <c r="T432" s="53"/>
      <c r="U432" s="53"/>
      <c r="V432" s="53"/>
    </row>
    <row r="433" spans="6:22" x14ac:dyDescent="0.3">
      <c r="F433" s="53"/>
      <c r="G433" s="53"/>
      <c r="H433" s="53"/>
      <c r="P433" s="53"/>
      <c r="T433" s="53"/>
      <c r="U433" s="53"/>
      <c r="V433" s="53"/>
    </row>
    <row r="434" spans="6:22" x14ac:dyDescent="0.3">
      <c r="F434" s="53"/>
      <c r="G434" s="53"/>
      <c r="H434" s="53"/>
      <c r="P434" s="53"/>
      <c r="T434" s="53"/>
      <c r="U434" s="53"/>
      <c r="V434" s="53"/>
    </row>
    <row r="435" spans="6:22" x14ac:dyDescent="0.3">
      <c r="F435" s="53"/>
      <c r="G435" s="53"/>
      <c r="H435" s="53"/>
      <c r="P435" s="53"/>
      <c r="T435" s="53"/>
      <c r="U435" s="53"/>
      <c r="V435" s="53"/>
    </row>
    <row r="436" spans="6:22" x14ac:dyDescent="0.3">
      <c r="F436" s="53"/>
      <c r="G436" s="53"/>
      <c r="H436" s="53"/>
      <c r="P436" s="53"/>
      <c r="T436" s="53"/>
      <c r="U436" s="53"/>
      <c r="V436" s="53"/>
    </row>
    <row r="437" spans="6:22" x14ac:dyDescent="0.3">
      <c r="F437" s="53"/>
      <c r="G437" s="53"/>
      <c r="H437" s="53"/>
      <c r="P437" s="53"/>
      <c r="T437" s="53"/>
      <c r="U437" s="53"/>
      <c r="V437" s="53"/>
    </row>
    <row r="438" spans="6:22" x14ac:dyDescent="0.3">
      <c r="F438" s="53"/>
      <c r="G438" s="53"/>
      <c r="H438" s="53"/>
      <c r="P438" s="53"/>
      <c r="T438" s="53"/>
      <c r="U438" s="53"/>
      <c r="V438" s="53"/>
    </row>
    <row r="439" spans="6:22" x14ac:dyDescent="0.3">
      <c r="F439" s="53"/>
      <c r="G439" s="53"/>
      <c r="H439" s="53"/>
      <c r="P439" s="53"/>
      <c r="T439" s="53"/>
      <c r="U439" s="53"/>
      <c r="V439" s="53"/>
    </row>
    <row r="440" spans="6:22" x14ac:dyDescent="0.3">
      <c r="F440" s="53"/>
      <c r="G440" s="53"/>
      <c r="H440" s="53"/>
      <c r="P440" s="53"/>
      <c r="T440" s="53"/>
      <c r="U440" s="53"/>
      <c r="V440" s="53"/>
    </row>
    <row r="441" spans="6:22" x14ac:dyDescent="0.3">
      <c r="F441" s="53"/>
      <c r="G441" s="53"/>
      <c r="H441" s="53"/>
      <c r="P441" s="53"/>
      <c r="T441" s="53"/>
      <c r="U441" s="53"/>
      <c r="V441" s="53"/>
    </row>
    <row r="442" spans="6:22" x14ac:dyDescent="0.3">
      <c r="F442" s="53"/>
      <c r="G442" s="53"/>
      <c r="H442" s="53"/>
      <c r="P442" s="53"/>
      <c r="T442" s="53"/>
      <c r="U442" s="53"/>
      <c r="V442" s="53"/>
    </row>
    <row r="443" spans="6:22" x14ac:dyDescent="0.3">
      <c r="F443" s="53"/>
      <c r="G443" s="53"/>
      <c r="H443" s="53"/>
      <c r="P443" s="53"/>
      <c r="T443" s="53"/>
      <c r="U443" s="53"/>
      <c r="V443" s="53"/>
    </row>
    <row r="444" spans="6:22" x14ac:dyDescent="0.3">
      <c r="F444" s="53"/>
      <c r="G444" s="53"/>
      <c r="H444" s="53"/>
      <c r="P444" s="53"/>
      <c r="T444" s="53"/>
      <c r="U444" s="53"/>
      <c r="V444" s="53"/>
    </row>
    <row r="445" spans="6:22" x14ac:dyDescent="0.3">
      <c r="F445" s="53"/>
      <c r="G445" s="53"/>
      <c r="H445" s="53"/>
      <c r="P445" s="53"/>
      <c r="T445" s="53"/>
      <c r="U445" s="53"/>
      <c r="V445" s="53"/>
    </row>
    <row r="446" spans="6:22" x14ac:dyDescent="0.3">
      <c r="F446" s="53"/>
      <c r="G446" s="53"/>
      <c r="H446" s="53"/>
      <c r="P446" s="53"/>
      <c r="T446" s="53"/>
      <c r="U446" s="53"/>
      <c r="V446" s="53"/>
    </row>
    <row r="447" spans="6:22" x14ac:dyDescent="0.3">
      <c r="F447" s="53"/>
      <c r="G447" s="53"/>
      <c r="H447" s="53"/>
      <c r="P447" s="53"/>
      <c r="T447" s="53"/>
      <c r="U447" s="53"/>
      <c r="V447" s="53"/>
    </row>
    <row r="448" spans="6:22" x14ac:dyDescent="0.3">
      <c r="F448" s="53"/>
      <c r="G448" s="53"/>
      <c r="H448" s="53"/>
      <c r="P448" s="53"/>
      <c r="T448" s="53"/>
      <c r="U448" s="53"/>
      <c r="V448" s="53"/>
    </row>
    <row r="449" spans="6:22" x14ac:dyDescent="0.3">
      <c r="F449" s="53"/>
      <c r="G449" s="53"/>
      <c r="H449" s="53"/>
      <c r="P449" s="53"/>
      <c r="T449" s="53"/>
      <c r="U449" s="53"/>
      <c r="V449" s="53"/>
    </row>
    <row r="450" spans="6:22" x14ac:dyDescent="0.3">
      <c r="F450" s="53"/>
      <c r="G450" s="53"/>
      <c r="H450" s="53"/>
      <c r="P450" s="53"/>
      <c r="T450" s="53"/>
      <c r="U450" s="53"/>
      <c r="V450" s="53"/>
    </row>
    <row r="451" spans="6:22" x14ac:dyDescent="0.3">
      <c r="F451" s="53"/>
      <c r="G451" s="53"/>
      <c r="H451" s="53"/>
      <c r="P451" s="53"/>
      <c r="T451" s="53"/>
      <c r="U451" s="53"/>
      <c r="V451" s="53"/>
    </row>
    <row r="452" spans="6:22" x14ac:dyDescent="0.3">
      <c r="F452" s="53"/>
      <c r="G452" s="53"/>
      <c r="H452" s="53"/>
      <c r="P452" s="53"/>
      <c r="T452" s="53"/>
      <c r="U452" s="53"/>
      <c r="V452" s="53"/>
    </row>
    <row r="453" spans="6:22" x14ac:dyDescent="0.3">
      <c r="F453" s="53"/>
      <c r="G453" s="53"/>
      <c r="H453" s="53"/>
      <c r="P453" s="53"/>
      <c r="T453" s="53"/>
      <c r="U453" s="53"/>
      <c r="V453" s="53"/>
    </row>
    <row r="454" spans="6:22" x14ac:dyDescent="0.3">
      <c r="F454" s="53"/>
      <c r="G454" s="53"/>
      <c r="H454" s="53"/>
      <c r="P454" s="53"/>
      <c r="T454" s="53"/>
      <c r="U454" s="53"/>
      <c r="V454" s="53"/>
    </row>
    <row r="455" spans="6:22" x14ac:dyDescent="0.3">
      <c r="F455" s="53"/>
      <c r="G455" s="53"/>
      <c r="H455" s="53"/>
      <c r="P455" s="53"/>
      <c r="T455" s="53"/>
      <c r="U455" s="53"/>
      <c r="V455" s="53"/>
    </row>
    <row r="456" spans="6:22" x14ac:dyDescent="0.3">
      <c r="F456" s="53"/>
      <c r="G456" s="53"/>
      <c r="H456" s="53"/>
      <c r="P456" s="53"/>
      <c r="T456" s="53"/>
      <c r="U456" s="53"/>
      <c r="V456" s="53"/>
    </row>
    <row r="457" spans="6:22" x14ac:dyDescent="0.3">
      <c r="F457" s="53"/>
      <c r="G457" s="53"/>
      <c r="H457" s="53"/>
      <c r="P457" s="53"/>
      <c r="T457" s="53"/>
      <c r="U457" s="53"/>
      <c r="V457" s="53"/>
    </row>
    <row r="458" spans="6:22" x14ac:dyDescent="0.3">
      <c r="F458" s="53"/>
      <c r="G458" s="53"/>
      <c r="H458" s="53"/>
      <c r="P458" s="53"/>
      <c r="T458" s="53"/>
      <c r="U458" s="53"/>
      <c r="V458" s="53"/>
    </row>
    <row r="459" spans="6:22" x14ac:dyDescent="0.3">
      <c r="F459" s="53"/>
      <c r="G459" s="53"/>
      <c r="H459" s="53"/>
      <c r="P459" s="53"/>
      <c r="T459" s="53"/>
      <c r="U459" s="53"/>
      <c r="V459" s="53"/>
    </row>
    <row r="460" spans="6:22" x14ac:dyDescent="0.3">
      <c r="F460" s="53"/>
      <c r="G460" s="53"/>
      <c r="H460" s="53"/>
      <c r="P460" s="53"/>
      <c r="T460" s="53"/>
      <c r="U460" s="53"/>
      <c r="V460" s="53"/>
    </row>
    <row r="461" spans="6:22" x14ac:dyDescent="0.3">
      <c r="F461" s="53"/>
      <c r="G461" s="53"/>
      <c r="H461" s="53"/>
      <c r="P461" s="53"/>
      <c r="T461" s="53"/>
      <c r="U461" s="53"/>
      <c r="V461" s="53"/>
    </row>
    <row r="462" spans="6:22" x14ac:dyDescent="0.3">
      <c r="F462" s="53"/>
      <c r="G462" s="53"/>
      <c r="H462" s="53"/>
      <c r="P462" s="53"/>
      <c r="T462" s="53"/>
      <c r="U462" s="53"/>
      <c r="V462" s="53"/>
    </row>
    <row r="463" spans="6:22" x14ac:dyDescent="0.3">
      <c r="F463" s="53"/>
      <c r="G463" s="53"/>
      <c r="H463" s="53"/>
      <c r="P463" s="53"/>
      <c r="T463" s="53"/>
      <c r="U463" s="53"/>
      <c r="V463" s="53"/>
    </row>
    <row r="464" spans="6:22" x14ac:dyDescent="0.3">
      <c r="F464" s="53"/>
      <c r="G464" s="53"/>
      <c r="H464" s="53"/>
      <c r="P464" s="53"/>
      <c r="T464" s="53"/>
      <c r="U464" s="53"/>
      <c r="V464" s="53"/>
    </row>
    <row r="465" spans="6:22" x14ac:dyDescent="0.3">
      <c r="F465" s="53"/>
      <c r="G465" s="53"/>
      <c r="H465" s="53"/>
      <c r="P465" s="53"/>
      <c r="T465" s="53"/>
      <c r="U465" s="53"/>
      <c r="V465" s="53"/>
    </row>
    <row r="466" spans="6:22" x14ac:dyDescent="0.3">
      <c r="F466" s="53"/>
      <c r="G466" s="53"/>
      <c r="H466" s="53"/>
      <c r="P466" s="53"/>
      <c r="T466" s="53"/>
      <c r="U466" s="53"/>
      <c r="V466" s="53"/>
    </row>
    <row r="467" spans="6:22" x14ac:dyDescent="0.3">
      <c r="F467" s="53"/>
      <c r="G467" s="53"/>
      <c r="H467" s="53"/>
      <c r="P467" s="53"/>
      <c r="T467" s="53"/>
      <c r="U467" s="53"/>
      <c r="V467" s="53"/>
    </row>
    <row r="468" spans="6:22" x14ac:dyDescent="0.3">
      <c r="F468" s="53"/>
      <c r="G468" s="53"/>
      <c r="H468" s="53"/>
      <c r="P468" s="53"/>
      <c r="T468" s="53"/>
      <c r="U468" s="53"/>
      <c r="V468" s="53"/>
    </row>
    <row r="469" spans="6:22" x14ac:dyDescent="0.3">
      <c r="F469" s="53"/>
      <c r="G469" s="53"/>
      <c r="H469" s="53"/>
      <c r="P469" s="53"/>
      <c r="T469" s="53"/>
      <c r="U469" s="53"/>
      <c r="V469" s="53"/>
    </row>
    <row r="470" spans="6:22" x14ac:dyDescent="0.3">
      <c r="F470" s="53"/>
      <c r="G470" s="53"/>
      <c r="H470" s="53"/>
      <c r="P470" s="53"/>
      <c r="T470" s="53"/>
      <c r="U470" s="53"/>
      <c r="V470" s="53"/>
    </row>
    <row r="471" spans="6:22" x14ac:dyDescent="0.3">
      <c r="F471" s="53"/>
      <c r="G471" s="53"/>
      <c r="H471" s="53"/>
      <c r="P471" s="53"/>
      <c r="T471" s="53"/>
      <c r="U471" s="53"/>
      <c r="V471" s="53"/>
    </row>
    <row r="472" spans="6:22" x14ac:dyDescent="0.3">
      <c r="F472" s="53"/>
      <c r="G472" s="53"/>
      <c r="H472" s="53"/>
      <c r="P472" s="53"/>
      <c r="T472" s="53"/>
      <c r="U472" s="53"/>
      <c r="V472" s="53"/>
    </row>
    <row r="473" spans="6:22" x14ac:dyDescent="0.3">
      <c r="F473" s="53"/>
      <c r="G473" s="53"/>
      <c r="H473" s="53"/>
      <c r="P473" s="53"/>
      <c r="T473" s="53"/>
      <c r="U473" s="53"/>
      <c r="V473" s="53"/>
    </row>
    <row r="474" spans="6:22" x14ac:dyDescent="0.3">
      <c r="F474" s="53"/>
      <c r="G474" s="53"/>
      <c r="H474" s="53"/>
      <c r="P474" s="53"/>
      <c r="T474" s="53"/>
      <c r="U474" s="53"/>
      <c r="V474" s="53"/>
    </row>
    <row r="475" spans="6:22" x14ac:dyDescent="0.3">
      <c r="F475" s="53"/>
      <c r="G475" s="53"/>
      <c r="H475" s="53"/>
      <c r="P475" s="53"/>
      <c r="T475" s="53"/>
      <c r="U475" s="53"/>
      <c r="V475" s="53"/>
    </row>
    <row r="476" spans="6:22" x14ac:dyDescent="0.3">
      <c r="F476" s="53"/>
      <c r="G476" s="53"/>
      <c r="H476" s="53"/>
      <c r="P476" s="53"/>
      <c r="T476" s="53"/>
      <c r="U476" s="53"/>
      <c r="V476" s="53"/>
    </row>
    <row r="477" spans="6:22" x14ac:dyDescent="0.3">
      <c r="F477" s="53"/>
      <c r="G477" s="53"/>
      <c r="H477" s="53"/>
      <c r="P477" s="53"/>
      <c r="T477" s="53"/>
      <c r="U477" s="53"/>
      <c r="V477" s="53"/>
    </row>
    <row r="478" spans="6:22" x14ac:dyDescent="0.3">
      <c r="F478" s="53"/>
      <c r="G478" s="53"/>
      <c r="H478" s="53"/>
      <c r="P478" s="53"/>
      <c r="T478" s="53"/>
      <c r="U478" s="53"/>
      <c r="V478" s="53"/>
    </row>
    <row r="479" spans="6:22" x14ac:dyDescent="0.3">
      <c r="F479" s="53"/>
      <c r="G479" s="53"/>
      <c r="H479" s="53"/>
      <c r="P479" s="53"/>
      <c r="T479" s="53"/>
      <c r="U479" s="53"/>
      <c r="V479" s="53"/>
    </row>
    <row r="480" spans="6:22" x14ac:dyDescent="0.3">
      <c r="F480" s="53"/>
      <c r="G480" s="53"/>
      <c r="H480" s="53"/>
      <c r="P480" s="53"/>
      <c r="T480" s="53"/>
      <c r="U480" s="53"/>
      <c r="V480" s="53"/>
    </row>
    <row r="481" spans="6:22" x14ac:dyDescent="0.3">
      <c r="F481" s="53"/>
      <c r="G481" s="53"/>
      <c r="H481" s="53"/>
      <c r="P481" s="53"/>
      <c r="T481" s="53"/>
      <c r="U481" s="53"/>
      <c r="V481" s="53"/>
    </row>
    <row r="482" spans="6:22" x14ac:dyDescent="0.3">
      <c r="F482" s="53"/>
      <c r="G482" s="53"/>
      <c r="H482" s="53"/>
      <c r="P482" s="53"/>
      <c r="T482" s="53"/>
      <c r="U482" s="53"/>
      <c r="V482" s="53"/>
    </row>
    <row r="483" spans="6:22" x14ac:dyDescent="0.3">
      <c r="F483" s="53"/>
      <c r="G483" s="53"/>
      <c r="H483" s="53"/>
      <c r="P483" s="53"/>
      <c r="T483" s="53"/>
      <c r="U483" s="53"/>
      <c r="V483" s="53"/>
    </row>
    <row r="484" spans="6:22" x14ac:dyDescent="0.3">
      <c r="F484" s="53"/>
      <c r="G484" s="53"/>
      <c r="H484" s="53"/>
      <c r="P484" s="53"/>
      <c r="T484" s="53"/>
      <c r="U484" s="53"/>
      <c r="V484" s="53"/>
    </row>
    <row r="485" spans="6:22" x14ac:dyDescent="0.3">
      <c r="F485" s="53"/>
      <c r="G485" s="53"/>
      <c r="H485" s="53"/>
      <c r="P485" s="53"/>
      <c r="T485" s="53"/>
      <c r="U485" s="53"/>
      <c r="V485" s="53"/>
    </row>
    <row r="486" spans="6:22" x14ac:dyDescent="0.3">
      <c r="F486" s="53"/>
      <c r="G486" s="53"/>
      <c r="H486" s="53"/>
      <c r="P486" s="53"/>
      <c r="T486" s="53"/>
      <c r="U486" s="53"/>
      <c r="V486" s="53"/>
    </row>
    <row r="487" spans="6:22" x14ac:dyDescent="0.3">
      <c r="F487" s="53"/>
      <c r="G487" s="53"/>
      <c r="H487" s="53"/>
      <c r="P487" s="53"/>
      <c r="T487" s="53"/>
      <c r="U487" s="53"/>
      <c r="V487" s="53"/>
    </row>
    <row r="488" spans="6:22" x14ac:dyDescent="0.3">
      <c r="F488" s="53"/>
      <c r="G488" s="53"/>
      <c r="H488" s="53"/>
      <c r="P488" s="53"/>
      <c r="T488" s="53"/>
      <c r="U488" s="53"/>
      <c r="V488" s="53"/>
    </row>
    <row r="489" spans="6:22" x14ac:dyDescent="0.3">
      <c r="F489" s="53"/>
      <c r="G489" s="53"/>
      <c r="H489" s="53"/>
      <c r="P489" s="53"/>
      <c r="T489" s="53"/>
      <c r="U489" s="53"/>
      <c r="V489" s="53"/>
    </row>
    <row r="490" spans="6:22" x14ac:dyDescent="0.3">
      <c r="F490" s="53"/>
      <c r="G490" s="53"/>
      <c r="H490" s="53"/>
      <c r="P490" s="53"/>
      <c r="T490" s="53"/>
      <c r="U490" s="53"/>
      <c r="V490" s="53"/>
    </row>
    <row r="491" spans="6:22" x14ac:dyDescent="0.3">
      <c r="F491" s="53"/>
      <c r="G491" s="53"/>
      <c r="H491" s="53"/>
      <c r="P491" s="53"/>
      <c r="T491" s="53"/>
      <c r="U491" s="53"/>
      <c r="V491" s="53"/>
    </row>
    <row r="492" spans="6:22" x14ac:dyDescent="0.3">
      <c r="F492" s="53"/>
      <c r="G492" s="53"/>
      <c r="H492" s="53"/>
      <c r="P492" s="53"/>
      <c r="T492" s="53"/>
      <c r="U492" s="53"/>
      <c r="V492" s="53"/>
    </row>
    <row r="493" spans="6:22" x14ac:dyDescent="0.3">
      <c r="F493" s="53"/>
      <c r="G493" s="53"/>
      <c r="H493" s="53"/>
      <c r="P493" s="53"/>
      <c r="T493" s="53"/>
      <c r="U493" s="53"/>
      <c r="V493" s="53"/>
    </row>
    <row r="494" spans="6:22" x14ac:dyDescent="0.3">
      <c r="F494" s="53"/>
      <c r="G494" s="53"/>
      <c r="H494" s="53"/>
      <c r="P494" s="53"/>
      <c r="T494" s="53"/>
      <c r="U494" s="53"/>
      <c r="V494" s="53"/>
    </row>
    <row r="495" spans="6:22" x14ac:dyDescent="0.3">
      <c r="F495" s="53"/>
      <c r="G495" s="53"/>
      <c r="H495" s="53"/>
      <c r="P495" s="53"/>
      <c r="T495" s="53"/>
      <c r="U495" s="53"/>
      <c r="V495" s="53"/>
    </row>
    <row r="496" spans="6:22" x14ac:dyDescent="0.3">
      <c r="F496" s="53"/>
      <c r="G496" s="53"/>
      <c r="H496" s="53"/>
      <c r="P496" s="53"/>
      <c r="T496" s="53"/>
      <c r="U496" s="53"/>
      <c r="V496" s="53"/>
    </row>
    <row r="497" spans="6:22" x14ac:dyDescent="0.3">
      <c r="F497" s="53"/>
      <c r="G497" s="53"/>
      <c r="H497" s="53"/>
      <c r="P497" s="53"/>
      <c r="T497" s="53"/>
      <c r="U497" s="53"/>
      <c r="V497" s="53"/>
    </row>
    <row r="498" spans="6:22" x14ac:dyDescent="0.3">
      <c r="F498" s="53"/>
      <c r="G498" s="53"/>
      <c r="H498" s="53"/>
      <c r="P498" s="53"/>
      <c r="T498" s="53"/>
      <c r="U498" s="53"/>
      <c r="V498" s="53"/>
    </row>
    <row r="499" spans="6:22" x14ac:dyDescent="0.3">
      <c r="F499" s="53"/>
      <c r="G499" s="53"/>
      <c r="H499" s="53"/>
      <c r="P499" s="53"/>
      <c r="T499" s="53"/>
      <c r="U499" s="53"/>
      <c r="V499" s="53"/>
    </row>
    <row r="500" spans="6:22" x14ac:dyDescent="0.3">
      <c r="F500" s="53"/>
      <c r="G500" s="53"/>
      <c r="H500" s="53"/>
      <c r="P500" s="53"/>
      <c r="T500" s="53"/>
      <c r="U500" s="53"/>
      <c r="V500" s="53"/>
    </row>
    <row r="501" spans="6:22" x14ac:dyDescent="0.3">
      <c r="F501" s="53"/>
      <c r="G501" s="53"/>
      <c r="H501" s="53"/>
      <c r="P501" s="53"/>
      <c r="T501" s="53"/>
      <c r="U501" s="53"/>
      <c r="V501" s="53"/>
    </row>
    <row r="502" spans="6:22" x14ac:dyDescent="0.3">
      <c r="F502" s="53"/>
      <c r="G502" s="53"/>
      <c r="H502" s="53"/>
      <c r="P502" s="53"/>
      <c r="T502" s="53"/>
      <c r="U502" s="53"/>
      <c r="V502" s="53"/>
    </row>
    <row r="503" spans="6:22" x14ac:dyDescent="0.3">
      <c r="F503" s="53"/>
      <c r="G503" s="53"/>
      <c r="H503" s="53"/>
      <c r="P503" s="53"/>
      <c r="T503" s="53"/>
      <c r="U503" s="53"/>
      <c r="V503" s="53"/>
    </row>
    <row r="504" spans="6:22" x14ac:dyDescent="0.3">
      <c r="F504" s="53"/>
      <c r="G504" s="53"/>
      <c r="H504" s="53"/>
      <c r="P504" s="53"/>
      <c r="T504" s="53"/>
      <c r="U504" s="53"/>
      <c r="V504" s="53"/>
    </row>
    <row r="505" spans="6:22" x14ac:dyDescent="0.3">
      <c r="F505" s="53"/>
      <c r="G505" s="53"/>
      <c r="H505" s="53"/>
      <c r="P505" s="53"/>
      <c r="T505" s="53"/>
      <c r="U505" s="53"/>
      <c r="V505" s="53"/>
    </row>
    <row r="506" spans="6:22" x14ac:dyDescent="0.3">
      <c r="F506" s="53"/>
      <c r="G506" s="53"/>
      <c r="H506" s="53"/>
      <c r="P506" s="53"/>
      <c r="T506" s="53"/>
      <c r="U506" s="53"/>
      <c r="V506" s="53"/>
    </row>
    <row r="507" spans="6:22" x14ac:dyDescent="0.3">
      <c r="F507" s="53"/>
      <c r="G507" s="53"/>
      <c r="H507" s="53"/>
      <c r="P507" s="53"/>
      <c r="T507" s="53"/>
      <c r="U507" s="53"/>
      <c r="V507" s="53"/>
    </row>
    <row r="508" spans="6:22" x14ac:dyDescent="0.3">
      <c r="F508" s="53"/>
      <c r="G508" s="53"/>
      <c r="H508" s="53"/>
      <c r="P508" s="53"/>
      <c r="T508" s="53"/>
      <c r="U508" s="53"/>
      <c r="V508" s="53"/>
    </row>
    <row r="509" spans="6:22" x14ac:dyDescent="0.3">
      <c r="F509" s="53"/>
      <c r="G509" s="53"/>
      <c r="H509" s="53"/>
      <c r="P509" s="53"/>
      <c r="T509" s="53"/>
      <c r="U509" s="53"/>
      <c r="V509" s="53"/>
    </row>
    <row r="510" spans="6:22" x14ac:dyDescent="0.3">
      <c r="F510" s="53"/>
      <c r="G510" s="53"/>
      <c r="H510" s="53"/>
      <c r="P510" s="53"/>
      <c r="T510" s="53"/>
      <c r="U510" s="53"/>
      <c r="V510" s="53"/>
    </row>
    <row r="511" spans="6:22" x14ac:dyDescent="0.3">
      <c r="F511" s="53"/>
      <c r="G511" s="53"/>
      <c r="H511" s="53"/>
      <c r="P511" s="53"/>
      <c r="T511" s="53"/>
      <c r="U511" s="53"/>
      <c r="V511" s="53"/>
    </row>
    <row r="512" spans="6:22" x14ac:dyDescent="0.3">
      <c r="F512" s="53"/>
      <c r="G512" s="53"/>
      <c r="H512" s="53"/>
      <c r="P512" s="53"/>
      <c r="T512" s="53"/>
      <c r="U512" s="53"/>
      <c r="V512" s="53"/>
    </row>
    <row r="513" spans="6:22" x14ac:dyDescent="0.3">
      <c r="F513" s="53"/>
      <c r="G513" s="53"/>
      <c r="H513" s="53"/>
      <c r="P513" s="53"/>
      <c r="T513" s="53"/>
      <c r="U513" s="53"/>
      <c r="V513" s="53"/>
    </row>
    <row r="514" spans="6:22" x14ac:dyDescent="0.3">
      <c r="F514" s="53"/>
      <c r="G514" s="53"/>
      <c r="H514" s="53"/>
      <c r="P514" s="53"/>
      <c r="T514" s="53"/>
      <c r="U514" s="53"/>
      <c r="V514" s="53"/>
    </row>
    <row r="515" spans="6:22" x14ac:dyDescent="0.3">
      <c r="F515" s="53"/>
      <c r="G515" s="53"/>
      <c r="H515" s="53"/>
      <c r="P515" s="53"/>
      <c r="T515" s="53"/>
      <c r="U515" s="53"/>
      <c r="V515" s="53"/>
    </row>
    <row r="516" spans="6:22" x14ac:dyDescent="0.3">
      <c r="F516" s="53"/>
      <c r="G516" s="53"/>
      <c r="H516" s="53"/>
      <c r="P516" s="53"/>
      <c r="T516" s="53"/>
      <c r="U516" s="53"/>
      <c r="V516" s="53"/>
    </row>
    <row r="517" spans="6:22" x14ac:dyDescent="0.3">
      <c r="F517" s="53"/>
      <c r="G517" s="53"/>
      <c r="H517" s="53"/>
      <c r="P517" s="53"/>
      <c r="T517" s="53"/>
      <c r="U517" s="53"/>
      <c r="V517" s="53"/>
    </row>
    <row r="518" spans="6:22" x14ac:dyDescent="0.3">
      <c r="F518" s="53"/>
      <c r="G518" s="53"/>
      <c r="H518" s="53"/>
      <c r="P518" s="53"/>
      <c r="T518" s="53"/>
      <c r="U518" s="53"/>
      <c r="V518" s="53"/>
    </row>
    <row r="519" spans="6:22" x14ac:dyDescent="0.3">
      <c r="F519" s="53"/>
      <c r="G519" s="53"/>
      <c r="H519" s="53"/>
      <c r="P519" s="53"/>
      <c r="T519" s="53"/>
      <c r="U519" s="53"/>
      <c r="V519" s="53"/>
    </row>
    <row r="520" spans="6:22" x14ac:dyDescent="0.3">
      <c r="F520" s="53"/>
      <c r="G520" s="53"/>
      <c r="H520" s="53"/>
      <c r="P520" s="53"/>
      <c r="T520" s="53"/>
      <c r="U520" s="53"/>
      <c r="V520" s="53"/>
    </row>
    <row r="521" spans="6:22" x14ac:dyDescent="0.3">
      <c r="F521" s="53"/>
      <c r="G521" s="53"/>
      <c r="H521" s="53"/>
      <c r="P521" s="53"/>
      <c r="T521" s="53"/>
      <c r="U521" s="53"/>
      <c r="V521" s="53"/>
    </row>
    <row r="522" spans="6:22" x14ac:dyDescent="0.3">
      <c r="F522" s="53"/>
      <c r="G522" s="53"/>
      <c r="H522" s="53"/>
      <c r="P522" s="53"/>
      <c r="T522" s="53"/>
      <c r="U522" s="53"/>
      <c r="V522" s="53"/>
    </row>
    <row r="523" spans="6:22" x14ac:dyDescent="0.3">
      <c r="F523" s="53"/>
      <c r="G523" s="53"/>
      <c r="H523" s="53"/>
      <c r="P523" s="53"/>
      <c r="T523" s="53"/>
      <c r="U523" s="53"/>
      <c r="V523" s="53"/>
    </row>
    <row r="524" spans="6:22" x14ac:dyDescent="0.3">
      <c r="F524" s="53"/>
      <c r="G524" s="53"/>
      <c r="H524" s="53"/>
      <c r="P524" s="53"/>
      <c r="T524" s="53"/>
      <c r="U524" s="53"/>
      <c r="V524" s="53"/>
    </row>
    <row r="525" spans="6:22" x14ac:dyDescent="0.3">
      <c r="F525" s="53"/>
      <c r="G525" s="53"/>
      <c r="H525" s="53"/>
      <c r="P525" s="53"/>
      <c r="T525" s="53"/>
      <c r="U525" s="53"/>
      <c r="V525" s="53"/>
    </row>
    <row r="526" spans="6:22" x14ac:dyDescent="0.3">
      <c r="F526" s="53"/>
      <c r="G526" s="53"/>
      <c r="H526" s="53"/>
      <c r="P526" s="53"/>
      <c r="T526" s="53"/>
      <c r="U526" s="53"/>
      <c r="V526" s="53"/>
    </row>
    <row r="527" spans="6:22" x14ac:dyDescent="0.3">
      <c r="F527" s="53"/>
      <c r="G527" s="53"/>
      <c r="H527" s="53"/>
      <c r="P527" s="53"/>
      <c r="T527" s="53"/>
      <c r="U527" s="53"/>
      <c r="V527" s="53"/>
    </row>
    <row r="528" spans="6:22" x14ac:dyDescent="0.3">
      <c r="F528" s="53"/>
      <c r="G528" s="53"/>
      <c r="H528" s="53"/>
      <c r="P528" s="53"/>
      <c r="T528" s="53"/>
      <c r="U528" s="53"/>
      <c r="V528" s="53"/>
    </row>
    <row r="529" spans="6:22" x14ac:dyDescent="0.3">
      <c r="F529" s="53"/>
      <c r="G529" s="53"/>
      <c r="H529" s="53"/>
      <c r="P529" s="53"/>
      <c r="T529" s="53"/>
      <c r="U529" s="53"/>
      <c r="V529" s="53"/>
    </row>
    <row r="530" spans="6:22" x14ac:dyDescent="0.3">
      <c r="F530" s="53"/>
      <c r="G530" s="53"/>
      <c r="H530" s="53"/>
      <c r="P530" s="53"/>
      <c r="T530" s="53"/>
      <c r="U530" s="53"/>
      <c r="V530" s="53"/>
    </row>
    <row r="531" spans="6:22" x14ac:dyDescent="0.3">
      <c r="F531" s="53"/>
      <c r="G531" s="53"/>
      <c r="H531" s="53"/>
      <c r="P531" s="53"/>
      <c r="T531" s="53"/>
      <c r="U531" s="53"/>
      <c r="V531" s="53"/>
    </row>
    <row r="532" spans="6:22" x14ac:dyDescent="0.3">
      <c r="F532" s="53"/>
      <c r="G532" s="53"/>
      <c r="H532" s="53"/>
      <c r="P532" s="53"/>
      <c r="T532" s="53"/>
      <c r="U532" s="53"/>
      <c r="V532" s="53"/>
    </row>
    <row r="533" spans="6:22" x14ac:dyDescent="0.3">
      <c r="F533" s="53"/>
      <c r="G533" s="53"/>
      <c r="H533" s="53"/>
      <c r="P533" s="53"/>
      <c r="T533" s="53"/>
      <c r="U533" s="53"/>
      <c r="V533" s="53"/>
    </row>
    <row r="534" spans="6:22" x14ac:dyDescent="0.3">
      <c r="F534" s="53"/>
      <c r="G534" s="53"/>
      <c r="H534" s="53"/>
      <c r="P534" s="53"/>
      <c r="T534" s="53"/>
      <c r="U534" s="53"/>
      <c r="V534" s="53"/>
    </row>
    <row r="535" spans="6:22" x14ac:dyDescent="0.3">
      <c r="F535" s="53"/>
      <c r="G535" s="53"/>
      <c r="H535" s="53"/>
      <c r="P535" s="53"/>
      <c r="T535" s="53"/>
      <c r="U535" s="53"/>
      <c r="V535" s="53"/>
    </row>
    <row r="536" spans="6:22" x14ac:dyDescent="0.3">
      <c r="F536" s="53"/>
      <c r="G536" s="53"/>
      <c r="H536" s="53"/>
      <c r="P536" s="53"/>
      <c r="T536" s="53"/>
      <c r="U536" s="53"/>
      <c r="V536" s="53"/>
    </row>
    <row r="537" spans="6:22" x14ac:dyDescent="0.3">
      <c r="F537" s="53"/>
      <c r="G537" s="53"/>
      <c r="H537" s="53"/>
      <c r="P537" s="53"/>
      <c r="T537" s="53"/>
      <c r="U537" s="53"/>
      <c r="V537" s="53"/>
    </row>
    <row r="538" spans="6:22" x14ac:dyDescent="0.3">
      <c r="F538" s="53"/>
      <c r="G538" s="53"/>
      <c r="H538" s="53"/>
      <c r="P538" s="53"/>
      <c r="T538" s="53"/>
      <c r="U538" s="53"/>
      <c r="V538" s="53"/>
    </row>
    <row r="539" spans="6:22" x14ac:dyDescent="0.3">
      <c r="F539" s="53"/>
      <c r="G539" s="53"/>
      <c r="H539" s="53"/>
      <c r="P539" s="53"/>
      <c r="T539" s="53"/>
      <c r="U539" s="53"/>
      <c r="V539" s="53"/>
    </row>
    <row r="540" spans="6:22" x14ac:dyDescent="0.3">
      <c r="F540" s="53"/>
      <c r="G540" s="53"/>
      <c r="H540" s="53"/>
      <c r="P540" s="53"/>
      <c r="T540" s="53"/>
      <c r="U540" s="53"/>
      <c r="V540" s="53"/>
    </row>
    <row r="541" spans="6:22" x14ac:dyDescent="0.3">
      <c r="F541" s="53"/>
      <c r="G541" s="53"/>
      <c r="H541" s="53"/>
      <c r="P541" s="53"/>
      <c r="T541" s="53"/>
      <c r="U541" s="53"/>
      <c r="V541" s="53"/>
    </row>
    <row r="542" spans="6:22" x14ac:dyDescent="0.3">
      <c r="F542" s="53"/>
      <c r="G542" s="53"/>
      <c r="H542" s="53"/>
      <c r="P542" s="53"/>
      <c r="T542" s="53"/>
      <c r="U542" s="53"/>
      <c r="V542" s="53"/>
    </row>
    <row r="543" spans="6:22" x14ac:dyDescent="0.3">
      <c r="F543" s="53"/>
      <c r="G543" s="53"/>
      <c r="H543" s="53"/>
      <c r="P543" s="53"/>
      <c r="T543" s="53"/>
      <c r="U543" s="53"/>
      <c r="V543" s="53"/>
    </row>
    <row r="544" spans="6:22" x14ac:dyDescent="0.3">
      <c r="F544" s="53"/>
      <c r="G544" s="53"/>
      <c r="H544" s="53"/>
      <c r="P544" s="53"/>
      <c r="T544" s="53"/>
      <c r="U544" s="53"/>
      <c r="V544" s="53"/>
    </row>
    <row r="545" spans="6:22" x14ac:dyDescent="0.3">
      <c r="F545" s="53"/>
      <c r="G545" s="53"/>
      <c r="H545" s="53"/>
      <c r="P545" s="53"/>
      <c r="T545" s="53"/>
      <c r="U545" s="53"/>
      <c r="V545" s="53"/>
    </row>
    <row r="546" spans="6:22" x14ac:dyDescent="0.3">
      <c r="F546" s="53"/>
      <c r="G546" s="53"/>
      <c r="H546" s="53"/>
      <c r="P546" s="53"/>
      <c r="T546" s="53"/>
      <c r="U546" s="53"/>
      <c r="V546" s="53"/>
    </row>
    <row r="547" spans="6:22" x14ac:dyDescent="0.3">
      <c r="F547" s="53"/>
      <c r="G547" s="53"/>
      <c r="H547" s="53"/>
      <c r="P547" s="53"/>
      <c r="T547" s="53"/>
      <c r="U547" s="53"/>
      <c r="V547" s="53"/>
    </row>
    <row r="548" spans="6:22" x14ac:dyDescent="0.3">
      <c r="F548" s="53"/>
      <c r="G548" s="53"/>
      <c r="H548" s="53"/>
      <c r="P548" s="53"/>
      <c r="T548" s="53"/>
      <c r="U548" s="53"/>
      <c r="V548" s="53"/>
    </row>
    <row r="549" spans="6:22" x14ac:dyDescent="0.3">
      <c r="F549" s="53"/>
      <c r="G549" s="53"/>
      <c r="H549" s="53"/>
      <c r="P549" s="53"/>
      <c r="T549" s="53"/>
      <c r="U549" s="53"/>
      <c r="V549" s="53"/>
    </row>
    <row r="550" spans="6:22" x14ac:dyDescent="0.3">
      <c r="F550" s="53"/>
      <c r="G550" s="53"/>
      <c r="H550" s="53"/>
      <c r="P550" s="53"/>
      <c r="T550" s="53"/>
      <c r="U550" s="53"/>
      <c r="V550" s="53"/>
    </row>
    <row r="551" spans="6:22" x14ac:dyDescent="0.3">
      <c r="F551" s="53"/>
      <c r="G551" s="53"/>
      <c r="H551" s="53"/>
      <c r="P551" s="53"/>
      <c r="T551" s="53"/>
      <c r="U551" s="53"/>
      <c r="V551" s="53"/>
    </row>
    <row r="552" spans="6:22" x14ac:dyDescent="0.3">
      <c r="F552" s="53"/>
      <c r="G552" s="53"/>
      <c r="H552" s="53"/>
      <c r="P552" s="53"/>
      <c r="T552" s="53"/>
      <c r="U552" s="53"/>
      <c r="V552" s="53"/>
    </row>
    <row r="553" spans="6:22" x14ac:dyDescent="0.3">
      <c r="F553" s="53"/>
      <c r="G553" s="53"/>
      <c r="H553" s="53"/>
      <c r="P553" s="53"/>
      <c r="T553" s="53"/>
      <c r="U553" s="53"/>
      <c r="V553" s="53"/>
    </row>
    <row r="554" spans="6:22" x14ac:dyDescent="0.3">
      <c r="F554" s="53"/>
      <c r="G554" s="53"/>
      <c r="H554" s="53"/>
      <c r="P554" s="53"/>
      <c r="T554" s="53"/>
      <c r="U554" s="53"/>
      <c r="V554" s="53"/>
    </row>
    <row r="555" spans="6:22" x14ac:dyDescent="0.3">
      <c r="F555" s="53"/>
      <c r="G555" s="53"/>
      <c r="H555" s="53"/>
      <c r="P555" s="53"/>
      <c r="T555" s="53"/>
      <c r="U555" s="53"/>
      <c r="V555" s="53"/>
    </row>
    <row r="556" spans="6:22" x14ac:dyDescent="0.3">
      <c r="F556" s="53"/>
      <c r="G556" s="53"/>
      <c r="H556" s="53"/>
      <c r="P556" s="53"/>
      <c r="T556" s="53"/>
      <c r="U556" s="53"/>
      <c r="V556" s="53"/>
    </row>
    <row r="557" spans="6:22" x14ac:dyDescent="0.3">
      <c r="F557" s="53"/>
      <c r="G557" s="53"/>
      <c r="H557" s="53"/>
      <c r="P557" s="53"/>
      <c r="T557" s="53"/>
      <c r="U557" s="53"/>
      <c r="V557" s="53"/>
    </row>
    <row r="558" spans="6:22" x14ac:dyDescent="0.3">
      <c r="F558" s="53"/>
      <c r="G558" s="53"/>
      <c r="H558" s="53"/>
      <c r="P558" s="53"/>
      <c r="T558" s="53"/>
      <c r="U558" s="53"/>
      <c r="V558" s="53"/>
    </row>
    <row r="559" spans="6:22" x14ac:dyDescent="0.3">
      <c r="F559" s="53"/>
      <c r="G559" s="53"/>
      <c r="H559" s="53"/>
      <c r="P559" s="53"/>
      <c r="T559" s="53"/>
      <c r="U559" s="53"/>
      <c r="V559" s="53"/>
    </row>
    <row r="560" spans="6:22" x14ac:dyDescent="0.3">
      <c r="F560" s="53"/>
      <c r="G560" s="53"/>
      <c r="H560" s="53"/>
      <c r="P560" s="53"/>
      <c r="T560" s="53"/>
      <c r="U560" s="53"/>
      <c r="V560" s="53"/>
    </row>
    <row r="561" spans="6:22" x14ac:dyDescent="0.3">
      <c r="F561" s="53"/>
      <c r="G561" s="53"/>
      <c r="H561" s="53"/>
      <c r="P561" s="53"/>
      <c r="T561" s="53"/>
      <c r="U561" s="53"/>
      <c r="V561" s="53"/>
    </row>
    <row r="562" spans="6:22" x14ac:dyDescent="0.3">
      <c r="F562" s="53"/>
      <c r="G562" s="53"/>
      <c r="H562" s="53"/>
      <c r="P562" s="53"/>
      <c r="T562" s="53"/>
      <c r="U562" s="53"/>
      <c r="V562" s="53"/>
    </row>
    <row r="563" spans="6:22" x14ac:dyDescent="0.3">
      <c r="F563" s="53"/>
      <c r="G563" s="53"/>
      <c r="H563" s="53"/>
      <c r="P563" s="53"/>
      <c r="T563" s="53"/>
      <c r="U563" s="53"/>
      <c r="V563" s="53"/>
    </row>
    <row r="564" spans="6:22" x14ac:dyDescent="0.3">
      <c r="F564" s="53"/>
      <c r="G564" s="53"/>
      <c r="H564" s="53"/>
      <c r="P564" s="53"/>
      <c r="T564" s="53"/>
      <c r="U564" s="53"/>
      <c r="V564" s="53"/>
    </row>
    <row r="565" spans="6:22" x14ac:dyDescent="0.3">
      <c r="F565" s="53"/>
      <c r="G565" s="53"/>
      <c r="H565" s="53"/>
      <c r="P565" s="53"/>
      <c r="T565" s="53"/>
      <c r="U565" s="53"/>
      <c r="V565" s="53"/>
    </row>
    <row r="566" spans="6:22" x14ac:dyDescent="0.3">
      <c r="F566" s="53"/>
      <c r="G566" s="53"/>
      <c r="H566" s="53"/>
      <c r="P566" s="53"/>
      <c r="T566" s="53"/>
      <c r="U566" s="53"/>
      <c r="V566" s="53"/>
    </row>
    <row r="567" spans="6:22" x14ac:dyDescent="0.3">
      <c r="F567" s="53"/>
      <c r="G567" s="53"/>
      <c r="H567" s="53"/>
      <c r="P567" s="53"/>
      <c r="T567" s="53"/>
      <c r="U567" s="53"/>
      <c r="V567" s="53"/>
    </row>
    <row r="568" spans="6:22" x14ac:dyDescent="0.3">
      <c r="F568" s="53"/>
      <c r="G568" s="53"/>
      <c r="H568" s="53"/>
      <c r="P568" s="53"/>
      <c r="T568" s="53"/>
      <c r="U568" s="53"/>
      <c r="V568" s="53"/>
    </row>
    <row r="569" spans="6:22" x14ac:dyDescent="0.3">
      <c r="F569" s="53"/>
      <c r="G569" s="53"/>
      <c r="H569" s="53"/>
      <c r="P569" s="53"/>
      <c r="T569" s="53"/>
      <c r="U569" s="53"/>
      <c r="V569" s="53"/>
    </row>
    <row r="570" spans="6:22" x14ac:dyDescent="0.3">
      <c r="F570" s="53"/>
      <c r="G570" s="53"/>
      <c r="H570" s="53"/>
      <c r="P570" s="53"/>
      <c r="T570" s="53"/>
      <c r="U570" s="53"/>
      <c r="V570" s="53"/>
    </row>
    <row r="571" spans="6:22" x14ac:dyDescent="0.3">
      <c r="F571" s="53"/>
      <c r="G571" s="53"/>
      <c r="H571" s="53"/>
      <c r="P571" s="53"/>
      <c r="T571" s="53"/>
      <c r="U571" s="53"/>
      <c r="V571" s="53"/>
    </row>
    <row r="572" spans="6:22" x14ac:dyDescent="0.3">
      <c r="F572" s="53"/>
      <c r="G572" s="53"/>
      <c r="H572" s="53"/>
      <c r="P572" s="53"/>
      <c r="T572" s="53"/>
      <c r="U572" s="53"/>
      <c r="V572" s="53"/>
    </row>
    <row r="573" spans="6:22" x14ac:dyDescent="0.3">
      <c r="F573" s="53"/>
      <c r="G573" s="53"/>
      <c r="H573" s="53"/>
      <c r="P573" s="53"/>
      <c r="T573" s="53"/>
      <c r="U573" s="53"/>
      <c r="V573" s="53"/>
    </row>
    <row r="574" spans="6:22" x14ac:dyDescent="0.3">
      <c r="F574" s="53"/>
      <c r="G574" s="53"/>
      <c r="H574" s="53"/>
      <c r="P574" s="53"/>
      <c r="T574" s="53"/>
      <c r="U574" s="53"/>
      <c r="V574" s="53"/>
    </row>
    <row r="575" spans="6:22" x14ac:dyDescent="0.3">
      <c r="F575" s="53"/>
      <c r="G575" s="53"/>
      <c r="H575" s="53"/>
      <c r="P575" s="53"/>
      <c r="T575" s="53"/>
      <c r="U575" s="53"/>
      <c r="V575" s="53"/>
    </row>
    <row r="576" spans="6:22" x14ac:dyDescent="0.3">
      <c r="F576" s="53"/>
      <c r="G576" s="53"/>
      <c r="H576" s="53"/>
      <c r="P576" s="53"/>
      <c r="T576" s="53"/>
      <c r="U576" s="53"/>
      <c r="V576" s="53"/>
    </row>
    <row r="577" spans="6:22" x14ac:dyDescent="0.3">
      <c r="F577" s="53"/>
      <c r="G577" s="53"/>
      <c r="H577" s="53"/>
      <c r="P577" s="53"/>
      <c r="T577" s="53"/>
      <c r="U577" s="53"/>
      <c r="V577" s="53"/>
    </row>
    <row r="578" spans="6:22" x14ac:dyDescent="0.3">
      <c r="F578" s="53"/>
      <c r="G578" s="53"/>
      <c r="H578" s="53"/>
      <c r="P578" s="53"/>
      <c r="T578" s="53"/>
      <c r="U578" s="53"/>
      <c r="V578" s="53"/>
    </row>
    <row r="579" spans="6:22" x14ac:dyDescent="0.3">
      <c r="F579" s="53"/>
      <c r="G579" s="53"/>
      <c r="H579" s="53"/>
      <c r="P579" s="53"/>
      <c r="T579" s="53"/>
      <c r="U579" s="53"/>
      <c r="V579" s="53"/>
    </row>
    <row r="580" spans="6:22" x14ac:dyDescent="0.3">
      <c r="F580" s="53"/>
      <c r="G580" s="53"/>
      <c r="H580" s="53"/>
      <c r="P580" s="53"/>
      <c r="T580" s="53"/>
      <c r="U580" s="53"/>
      <c r="V580" s="53"/>
    </row>
    <row r="581" spans="6:22" x14ac:dyDescent="0.3">
      <c r="F581" s="53"/>
      <c r="G581" s="53"/>
      <c r="H581" s="53"/>
      <c r="P581" s="53"/>
      <c r="T581" s="53"/>
      <c r="U581" s="53"/>
      <c r="V581" s="53"/>
    </row>
    <row r="582" spans="6:22" x14ac:dyDescent="0.3">
      <c r="F582" s="53"/>
      <c r="G582" s="53"/>
      <c r="H582" s="53"/>
      <c r="P582" s="53"/>
      <c r="T582" s="53"/>
      <c r="U582" s="53"/>
      <c r="V582" s="53"/>
    </row>
    <row r="583" spans="6:22" x14ac:dyDescent="0.3">
      <c r="F583" s="53"/>
      <c r="G583" s="53"/>
      <c r="H583" s="53"/>
      <c r="P583" s="53"/>
      <c r="T583" s="53"/>
      <c r="U583" s="53"/>
      <c r="V583" s="53"/>
    </row>
    <row r="584" spans="6:22" x14ac:dyDescent="0.3">
      <c r="F584" s="53"/>
      <c r="G584" s="53"/>
      <c r="H584" s="53"/>
      <c r="P584" s="53"/>
      <c r="T584" s="53"/>
      <c r="U584" s="53"/>
      <c r="V584" s="53"/>
    </row>
    <row r="585" spans="6:22" x14ac:dyDescent="0.3">
      <c r="F585" s="53"/>
      <c r="G585" s="53"/>
      <c r="H585" s="53"/>
      <c r="P585" s="53"/>
      <c r="T585" s="53"/>
      <c r="U585" s="53"/>
      <c r="V585" s="53"/>
    </row>
    <row r="586" spans="6:22" x14ac:dyDescent="0.3">
      <c r="F586" s="53"/>
      <c r="G586" s="53"/>
      <c r="H586" s="53"/>
      <c r="P586" s="53"/>
      <c r="T586" s="53"/>
      <c r="U586" s="53"/>
      <c r="V586" s="53"/>
    </row>
    <row r="587" spans="6:22" x14ac:dyDescent="0.3">
      <c r="F587" s="53"/>
      <c r="G587" s="53"/>
      <c r="H587" s="53"/>
      <c r="P587" s="53"/>
      <c r="T587" s="53"/>
      <c r="U587" s="53"/>
      <c r="V587" s="53"/>
    </row>
    <row r="588" spans="6:22" x14ac:dyDescent="0.3">
      <c r="F588" s="53"/>
      <c r="G588" s="53"/>
      <c r="H588" s="53"/>
      <c r="P588" s="53"/>
      <c r="T588" s="53"/>
      <c r="U588" s="53"/>
      <c r="V588" s="53"/>
    </row>
    <row r="589" spans="6:22" x14ac:dyDescent="0.3">
      <c r="F589" s="53"/>
      <c r="G589" s="53"/>
      <c r="H589" s="53"/>
      <c r="P589" s="53"/>
      <c r="T589" s="53"/>
      <c r="U589" s="53"/>
      <c r="V589" s="53"/>
    </row>
    <row r="590" spans="6:22" x14ac:dyDescent="0.3">
      <c r="F590" s="53"/>
      <c r="G590" s="53"/>
      <c r="H590" s="53"/>
      <c r="P590" s="53"/>
      <c r="T590" s="53"/>
      <c r="U590" s="53"/>
      <c r="V590" s="53"/>
    </row>
    <row r="591" spans="6:22" x14ac:dyDescent="0.3">
      <c r="F591" s="53"/>
      <c r="G591" s="53"/>
      <c r="H591" s="53"/>
      <c r="P591" s="53"/>
      <c r="T591" s="53"/>
      <c r="U591" s="53"/>
      <c r="V591" s="53"/>
    </row>
    <row r="592" spans="6:22" x14ac:dyDescent="0.3">
      <c r="F592" s="53"/>
      <c r="G592" s="53"/>
      <c r="H592" s="53"/>
      <c r="P592" s="53"/>
      <c r="T592" s="53"/>
      <c r="U592" s="53"/>
      <c r="V592" s="53"/>
    </row>
    <row r="593" spans="6:22" x14ac:dyDescent="0.3">
      <c r="F593" s="53"/>
      <c r="G593" s="53"/>
      <c r="H593" s="53"/>
      <c r="P593" s="53"/>
      <c r="T593" s="53"/>
      <c r="U593" s="53"/>
      <c r="V593" s="53"/>
    </row>
    <row r="594" spans="6:22" x14ac:dyDescent="0.3">
      <c r="F594" s="53"/>
      <c r="G594" s="53"/>
      <c r="H594" s="53"/>
      <c r="P594" s="53"/>
      <c r="T594" s="53"/>
      <c r="U594" s="53"/>
      <c r="V594" s="53"/>
    </row>
    <row r="595" spans="6:22" x14ac:dyDescent="0.3">
      <c r="F595" s="53"/>
      <c r="G595" s="53"/>
      <c r="H595" s="53"/>
      <c r="P595" s="53"/>
      <c r="T595" s="53"/>
      <c r="U595" s="53"/>
      <c r="V595" s="53"/>
    </row>
    <row r="596" spans="6:22" x14ac:dyDescent="0.3">
      <c r="F596" s="53"/>
      <c r="G596" s="53"/>
      <c r="H596" s="53"/>
      <c r="P596" s="53"/>
      <c r="T596" s="53"/>
      <c r="U596" s="53"/>
      <c r="V596" s="53"/>
    </row>
    <row r="597" spans="6:22" x14ac:dyDescent="0.3">
      <c r="F597" s="53"/>
      <c r="G597" s="53"/>
      <c r="H597" s="53"/>
      <c r="P597" s="53"/>
      <c r="T597" s="53"/>
      <c r="U597" s="53"/>
      <c r="V597" s="53"/>
    </row>
    <row r="598" spans="6:22" x14ac:dyDescent="0.3">
      <c r="F598" s="53"/>
      <c r="G598" s="53"/>
      <c r="H598" s="53"/>
      <c r="P598" s="53"/>
      <c r="T598" s="53"/>
      <c r="U598" s="53"/>
      <c r="V598" s="53"/>
    </row>
    <row r="599" spans="6:22" x14ac:dyDescent="0.3">
      <c r="F599" s="53"/>
      <c r="G599" s="53"/>
      <c r="H599" s="53"/>
      <c r="P599" s="53"/>
      <c r="T599" s="53"/>
      <c r="U599" s="53"/>
      <c r="V599" s="53"/>
    </row>
    <row r="600" spans="6:22" x14ac:dyDescent="0.3">
      <c r="F600" s="53"/>
      <c r="G600" s="53"/>
      <c r="H600" s="53"/>
      <c r="P600" s="53"/>
      <c r="T600" s="53"/>
      <c r="U600" s="53"/>
      <c r="V600" s="53"/>
    </row>
    <row r="601" spans="6:22" x14ac:dyDescent="0.3">
      <c r="F601" s="53"/>
      <c r="G601" s="53"/>
      <c r="H601" s="53"/>
      <c r="P601" s="53"/>
      <c r="T601" s="53"/>
      <c r="U601" s="53"/>
      <c r="V601" s="53"/>
    </row>
    <row r="602" spans="6:22" x14ac:dyDescent="0.3">
      <c r="F602" s="53"/>
      <c r="G602" s="53"/>
      <c r="H602" s="53"/>
      <c r="P602" s="53"/>
      <c r="T602" s="53"/>
      <c r="U602" s="53"/>
      <c r="V602" s="53"/>
    </row>
    <row r="603" spans="6:22" x14ac:dyDescent="0.3">
      <c r="F603" s="53"/>
      <c r="G603" s="53"/>
      <c r="H603" s="53"/>
      <c r="P603" s="53"/>
      <c r="T603" s="53"/>
      <c r="U603" s="53"/>
      <c r="V603" s="53"/>
    </row>
    <row r="604" spans="6:22" x14ac:dyDescent="0.3">
      <c r="F604" s="53"/>
      <c r="G604" s="53"/>
      <c r="H604" s="53"/>
      <c r="P604" s="53"/>
      <c r="T604" s="53"/>
      <c r="U604" s="53"/>
      <c r="V604" s="53"/>
    </row>
    <row r="605" spans="6:22" x14ac:dyDescent="0.3">
      <c r="F605" s="53"/>
      <c r="G605" s="53"/>
      <c r="H605" s="53"/>
      <c r="P605" s="53"/>
      <c r="T605" s="53"/>
      <c r="U605" s="53"/>
      <c r="V605" s="53"/>
    </row>
    <row r="606" spans="6:22" x14ac:dyDescent="0.3">
      <c r="F606" s="53"/>
      <c r="G606" s="53"/>
      <c r="H606" s="53"/>
      <c r="P606" s="53"/>
      <c r="T606" s="53"/>
      <c r="U606" s="53"/>
      <c r="V606" s="53"/>
    </row>
    <row r="607" spans="6:22" x14ac:dyDescent="0.3">
      <c r="F607" s="53"/>
      <c r="G607" s="53"/>
      <c r="H607" s="53"/>
      <c r="P607" s="53"/>
      <c r="T607" s="53"/>
      <c r="U607" s="53"/>
      <c r="V607" s="53"/>
    </row>
    <row r="608" spans="6:22" x14ac:dyDescent="0.3">
      <c r="F608" s="53"/>
      <c r="G608" s="53"/>
      <c r="H608" s="53"/>
      <c r="P608" s="53"/>
      <c r="T608" s="53"/>
      <c r="U608" s="53"/>
      <c r="V608" s="53"/>
    </row>
    <row r="609" spans="6:22" x14ac:dyDescent="0.3">
      <c r="F609" s="53"/>
      <c r="G609" s="53"/>
      <c r="H609" s="53"/>
      <c r="P609" s="53"/>
      <c r="T609" s="53"/>
      <c r="U609" s="53"/>
      <c r="V609" s="53"/>
    </row>
    <row r="610" spans="6:22" x14ac:dyDescent="0.3">
      <c r="F610" s="53"/>
      <c r="G610" s="53"/>
      <c r="H610" s="53"/>
      <c r="P610" s="53"/>
      <c r="T610" s="53"/>
      <c r="U610" s="53"/>
      <c r="V610" s="53"/>
    </row>
    <row r="611" spans="6:22" x14ac:dyDescent="0.3">
      <c r="F611" s="53"/>
      <c r="G611" s="53"/>
      <c r="H611" s="53"/>
      <c r="P611" s="53"/>
      <c r="T611" s="53"/>
      <c r="U611" s="53"/>
      <c r="V611" s="53"/>
    </row>
    <row r="612" spans="6:22" x14ac:dyDescent="0.3">
      <c r="F612" s="53"/>
      <c r="G612" s="53"/>
      <c r="H612" s="53"/>
      <c r="P612" s="53"/>
      <c r="T612" s="53"/>
      <c r="U612" s="53"/>
      <c r="V612" s="53"/>
    </row>
    <row r="613" spans="6:22" x14ac:dyDescent="0.3">
      <c r="F613" s="53"/>
      <c r="G613" s="53"/>
      <c r="H613" s="53"/>
      <c r="P613" s="53"/>
      <c r="T613" s="53"/>
      <c r="U613" s="53"/>
      <c r="V613" s="53"/>
    </row>
    <row r="614" spans="6:22" x14ac:dyDescent="0.3">
      <c r="F614" s="53"/>
      <c r="G614" s="53"/>
      <c r="H614" s="53"/>
      <c r="P614" s="53"/>
      <c r="T614" s="53"/>
      <c r="U614" s="53"/>
      <c r="V614" s="53"/>
    </row>
    <row r="615" spans="6:22" x14ac:dyDescent="0.3">
      <c r="F615" s="53"/>
      <c r="G615" s="53"/>
      <c r="H615" s="53"/>
      <c r="P615" s="53"/>
      <c r="T615" s="53"/>
      <c r="U615" s="53"/>
      <c r="V615" s="53"/>
    </row>
    <row r="616" spans="6:22" x14ac:dyDescent="0.3">
      <c r="F616" s="53"/>
      <c r="G616" s="53"/>
      <c r="H616" s="53"/>
      <c r="P616" s="53"/>
      <c r="T616" s="53"/>
      <c r="U616" s="53"/>
      <c r="V616" s="53"/>
    </row>
    <row r="617" spans="6:22" x14ac:dyDescent="0.3">
      <c r="F617" s="53"/>
      <c r="G617" s="53"/>
      <c r="H617" s="53"/>
      <c r="P617" s="53"/>
      <c r="T617" s="53"/>
      <c r="U617" s="53"/>
      <c r="V617" s="53"/>
    </row>
    <row r="618" spans="6:22" x14ac:dyDescent="0.3">
      <c r="F618" s="53"/>
      <c r="G618" s="53"/>
      <c r="H618" s="53"/>
      <c r="P618" s="53"/>
      <c r="T618" s="53"/>
      <c r="U618" s="53"/>
      <c r="V618" s="53"/>
    </row>
    <row r="619" spans="6:22" x14ac:dyDescent="0.3">
      <c r="F619" s="53"/>
      <c r="G619" s="53"/>
      <c r="H619" s="53"/>
      <c r="P619" s="53"/>
      <c r="T619" s="53"/>
      <c r="U619" s="53"/>
      <c r="V619" s="53"/>
    </row>
    <row r="620" spans="6:22" x14ac:dyDescent="0.3">
      <c r="F620" s="53"/>
      <c r="G620" s="53"/>
      <c r="H620" s="53"/>
      <c r="P620" s="53"/>
      <c r="T620" s="53"/>
      <c r="U620" s="53"/>
      <c r="V620" s="53"/>
    </row>
    <row r="621" spans="6:22" x14ac:dyDescent="0.3">
      <c r="F621" s="53"/>
      <c r="G621" s="53"/>
      <c r="H621" s="53"/>
      <c r="P621" s="53"/>
      <c r="T621" s="53"/>
      <c r="U621" s="53"/>
      <c r="V621" s="53"/>
    </row>
    <row r="622" spans="6:22" x14ac:dyDescent="0.3">
      <c r="F622" s="53"/>
      <c r="G622" s="53"/>
      <c r="H622" s="53"/>
      <c r="P622" s="53"/>
      <c r="T622" s="53"/>
      <c r="U622" s="53"/>
      <c r="V622" s="53"/>
    </row>
    <row r="623" spans="6:22" x14ac:dyDescent="0.3">
      <c r="F623" s="53"/>
      <c r="G623" s="53"/>
      <c r="H623" s="53"/>
      <c r="P623" s="53"/>
      <c r="T623" s="53"/>
      <c r="U623" s="53"/>
      <c r="V623" s="53"/>
    </row>
    <row r="624" spans="6:22" x14ac:dyDescent="0.3">
      <c r="F624" s="53"/>
      <c r="G624" s="53"/>
      <c r="H624" s="53"/>
      <c r="P624" s="53"/>
      <c r="T624" s="53"/>
      <c r="U624" s="53"/>
      <c r="V624" s="53"/>
    </row>
    <row r="625" spans="6:22" x14ac:dyDescent="0.3">
      <c r="F625" s="53"/>
      <c r="G625" s="53"/>
      <c r="H625" s="53"/>
      <c r="P625" s="53"/>
      <c r="T625" s="53"/>
      <c r="U625" s="53"/>
      <c r="V625" s="53"/>
    </row>
    <row r="626" spans="6:22" x14ac:dyDescent="0.3">
      <c r="F626" s="53"/>
      <c r="G626" s="53"/>
      <c r="H626" s="53"/>
      <c r="P626" s="53"/>
    </row>
    <row r="627" spans="6:22" x14ac:dyDescent="0.3">
      <c r="F627" s="53"/>
      <c r="G627" s="53"/>
      <c r="H627" s="53"/>
      <c r="P627" s="53"/>
    </row>
    <row r="628" spans="6:22" x14ac:dyDescent="0.3">
      <c r="F628" s="53"/>
      <c r="G628" s="53"/>
      <c r="H628" s="53"/>
      <c r="P628" s="53"/>
    </row>
    <row r="629" spans="6:22" x14ac:dyDescent="0.3">
      <c r="F629" s="53"/>
      <c r="G629" s="53"/>
      <c r="H629" s="53"/>
      <c r="P629" s="53"/>
    </row>
    <row r="630" spans="6:22" x14ac:dyDescent="0.3">
      <c r="F630" s="53"/>
      <c r="G630" s="53"/>
      <c r="H630" s="53"/>
      <c r="P630" s="53"/>
    </row>
    <row r="631" spans="6:22" x14ac:dyDescent="0.3">
      <c r="F631" s="53"/>
      <c r="G631" s="53"/>
      <c r="H631" s="53"/>
      <c r="P631" s="53"/>
    </row>
    <row r="632" spans="6:22" x14ac:dyDescent="0.3">
      <c r="F632" s="53"/>
      <c r="G632" s="53"/>
      <c r="H632" s="53"/>
      <c r="P632" s="53"/>
    </row>
    <row r="633" spans="6:22" x14ac:dyDescent="0.3">
      <c r="F633" s="53"/>
      <c r="G633" s="53"/>
      <c r="H633" s="53"/>
      <c r="P633" s="53"/>
    </row>
    <row r="634" spans="6:22" x14ac:dyDescent="0.3">
      <c r="F634" s="53"/>
      <c r="G634" s="53"/>
      <c r="H634" s="53"/>
      <c r="P634" s="53"/>
    </row>
    <row r="635" spans="6:22" x14ac:dyDescent="0.3">
      <c r="F635" s="53"/>
      <c r="G635" s="53"/>
      <c r="H635" s="53"/>
      <c r="P635" s="53"/>
    </row>
    <row r="636" spans="6:22" x14ac:dyDescent="0.3">
      <c r="F636" s="53"/>
      <c r="G636" s="53"/>
      <c r="H636" s="53"/>
      <c r="P636" s="53"/>
    </row>
    <row r="637" spans="6:22" x14ac:dyDescent="0.3">
      <c r="F637" s="53"/>
      <c r="G637" s="53"/>
      <c r="H637" s="53"/>
      <c r="P637" s="53"/>
    </row>
    <row r="638" spans="6:22" x14ac:dyDescent="0.3">
      <c r="F638" s="53"/>
      <c r="G638" s="53"/>
      <c r="H638" s="53"/>
      <c r="P638" s="53"/>
    </row>
    <row r="639" spans="6:22" x14ac:dyDescent="0.3">
      <c r="F639" s="53"/>
      <c r="G639" s="53"/>
      <c r="H639" s="53"/>
      <c r="P639" s="53"/>
    </row>
    <row r="640" spans="6:22" x14ac:dyDescent="0.3">
      <c r="F640" s="53"/>
      <c r="G640" s="53"/>
      <c r="H640" s="53"/>
      <c r="P640" s="53"/>
    </row>
    <row r="641" spans="6:16" x14ac:dyDescent="0.3">
      <c r="F641" s="53"/>
      <c r="G641" s="53"/>
      <c r="H641" s="53"/>
      <c r="P641" s="53"/>
    </row>
    <row r="642" spans="6:16" x14ac:dyDescent="0.3">
      <c r="F642" s="53"/>
      <c r="G642" s="53"/>
      <c r="H642" s="53"/>
      <c r="P642" s="53"/>
    </row>
    <row r="643" spans="6:16" x14ac:dyDescent="0.3">
      <c r="F643" s="53"/>
      <c r="G643" s="53"/>
      <c r="H643" s="53"/>
      <c r="P643" s="53"/>
    </row>
    <row r="644" spans="6:16" x14ac:dyDescent="0.3">
      <c r="F644" s="53"/>
      <c r="G644" s="53"/>
      <c r="H644" s="53"/>
      <c r="P644" s="53"/>
    </row>
    <row r="645" spans="6:16" x14ac:dyDescent="0.3">
      <c r="F645" s="53"/>
      <c r="G645" s="53"/>
      <c r="H645" s="53"/>
      <c r="P645" s="53"/>
    </row>
    <row r="646" spans="6:16" x14ac:dyDescent="0.3">
      <c r="F646" s="53"/>
      <c r="G646" s="53"/>
      <c r="H646" s="53"/>
      <c r="P646" s="53"/>
    </row>
    <row r="647" spans="6:16" x14ac:dyDescent="0.3">
      <c r="F647" s="53"/>
      <c r="G647" s="53"/>
      <c r="H647" s="53"/>
      <c r="P647" s="53"/>
    </row>
    <row r="648" spans="6:16" x14ac:dyDescent="0.3">
      <c r="F648" s="53"/>
      <c r="G648" s="53"/>
      <c r="H648" s="53"/>
      <c r="P648" s="53"/>
    </row>
    <row r="649" spans="6:16" x14ac:dyDescent="0.3">
      <c r="F649" s="53"/>
      <c r="G649" s="53"/>
      <c r="H649" s="53"/>
      <c r="P649" s="53"/>
    </row>
    <row r="650" spans="6:16" x14ac:dyDescent="0.3">
      <c r="F650" s="53"/>
      <c r="G650" s="53"/>
      <c r="H650" s="53"/>
      <c r="P650" s="53"/>
    </row>
    <row r="651" spans="6:16" x14ac:dyDescent="0.3">
      <c r="F651" s="53"/>
      <c r="G651" s="53"/>
      <c r="H651" s="53"/>
      <c r="P651" s="53"/>
    </row>
    <row r="652" spans="6:16" x14ac:dyDescent="0.3">
      <c r="F652" s="53"/>
      <c r="G652" s="53"/>
      <c r="H652" s="53"/>
      <c r="P652" s="53"/>
    </row>
    <row r="653" spans="6:16" x14ac:dyDescent="0.3">
      <c r="F653" s="53"/>
      <c r="G653" s="53"/>
      <c r="H653" s="53"/>
      <c r="P653" s="53"/>
    </row>
    <row r="654" spans="6:16" x14ac:dyDescent="0.3">
      <c r="F654" s="53"/>
      <c r="G654" s="53"/>
      <c r="H654" s="53"/>
      <c r="P654" s="53"/>
    </row>
    <row r="655" spans="6:16" x14ac:dyDescent="0.3">
      <c r="F655" s="53"/>
      <c r="G655" s="53"/>
      <c r="H655" s="53"/>
      <c r="P655" s="53"/>
    </row>
    <row r="656" spans="6:16" x14ac:dyDescent="0.3">
      <c r="F656" s="53"/>
      <c r="G656" s="53"/>
      <c r="H656" s="53"/>
      <c r="P656" s="53"/>
    </row>
    <row r="657" spans="6:16" x14ac:dyDescent="0.3">
      <c r="F657" s="53"/>
      <c r="G657" s="53"/>
      <c r="H657" s="53"/>
      <c r="P657" s="53"/>
    </row>
    <row r="658" spans="6:16" x14ac:dyDescent="0.3">
      <c r="F658" s="53"/>
      <c r="G658" s="53"/>
      <c r="H658" s="53"/>
      <c r="P658" s="53"/>
    </row>
    <row r="659" spans="6:16" x14ac:dyDescent="0.3">
      <c r="F659" s="53"/>
      <c r="G659" s="53"/>
      <c r="H659" s="53"/>
      <c r="P659" s="53"/>
    </row>
    <row r="660" spans="6:16" x14ac:dyDescent="0.3">
      <c r="F660" s="53"/>
      <c r="G660" s="53"/>
      <c r="H660" s="53"/>
      <c r="P660" s="53"/>
    </row>
    <row r="661" spans="6:16" x14ac:dyDescent="0.3">
      <c r="F661" s="53"/>
      <c r="G661" s="53"/>
      <c r="H661" s="53"/>
      <c r="P661" s="53"/>
    </row>
    <row r="662" spans="6:16" x14ac:dyDescent="0.3">
      <c r="F662" s="53"/>
      <c r="G662" s="53"/>
      <c r="H662" s="53"/>
      <c r="P662" s="53"/>
    </row>
    <row r="663" spans="6:16" x14ac:dyDescent="0.3">
      <c r="F663" s="53"/>
      <c r="G663" s="53"/>
      <c r="H663" s="53"/>
      <c r="P663" s="53"/>
    </row>
    <row r="664" spans="6:16" x14ac:dyDescent="0.3">
      <c r="F664" s="53"/>
      <c r="G664" s="53"/>
      <c r="H664" s="53"/>
      <c r="P664" s="53"/>
    </row>
    <row r="665" spans="6:16" x14ac:dyDescent="0.3">
      <c r="F665" s="53"/>
      <c r="G665" s="53"/>
      <c r="H665" s="53"/>
      <c r="P665" s="53"/>
    </row>
    <row r="666" spans="6:16" x14ac:dyDescent="0.3">
      <c r="F666" s="53"/>
      <c r="G666" s="53"/>
      <c r="H666" s="53"/>
      <c r="P666" s="53"/>
    </row>
    <row r="667" spans="6:16" x14ac:dyDescent="0.3">
      <c r="F667" s="53"/>
      <c r="G667" s="53"/>
      <c r="H667" s="53"/>
      <c r="P667" s="53"/>
    </row>
    <row r="668" spans="6:16" x14ac:dyDescent="0.3">
      <c r="F668" s="53"/>
      <c r="G668" s="53"/>
      <c r="H668" s="53"/>
      <c r="P668" s="53"/>
    </row>
    <row r="669" spans="6:16" x14ac:dyDescent="0.3">
      <c r="F669" s="53"/>
      <c r="G669" s="53"/>
      <c r="H669" s="53"/>
      <c r="P669" s="53"/>
    </row>
    <row r="670" spans="6:16" x14ac:dyDescent="0.3">
      <c r="F670" s="53"/>
      <c r="G670" s="53"/>
      <c r="H670" s="53"/>
      <c r="P670" s="53"/>
    </row>
    <row r="671" spans="6:16" x14ac:dyDescent="0.3">
      <c r="F671" s="53"/>
      <c r="G671" s="53"/>
      <c r="H671" s="53"/>
      <c r="P671" s="53"/>
    </row>
    <row r="672" spans="6:16" x14ac:dyDescent="0.3">
      <c r="F672" s="53"/>
      <c r="G672" s="53"/>
      <c r="H672" s="53"/>
      <c r="P672" s="53"/>
    </row>
    <row r="673" spans="6:16" x14ac:dyDescent="0.3">
      <c r="F673" s="53"/>
      <c r="G673" s="53"/>
      <c r="H673" s="53"/>
      <c r="P673" s="53"/>
    </row>
    <row r="674" spans="6:16" x14ac:dyDescent="0.3">
      <c r="F674" s="53"/>
      <c r="G674" s="53"/>
      <c r="H674" s="53"/>
      <c r="P674" s="53"/>
    </row>
    <row r="675" spans="6:16" x14ac:dyDescent="0.3">
      <c r="F675" s="53"/>
      <c r="G675" s="53"/>
      <c r="H675" s="53"/>
      <c r="P675" s="53"/>
    </row>
    <row r="676" spans="6:16" x14ac:dyDescent="0.3">
      <c r="F676" s="53"/>
      <c r="G676" s="53"/>
      <c r="H676" s="53"/>
      <c r="P676" s="53"/>
    </row>
    <row r="677" spans="6:16" x14ac:dyDescent="0.3">
      <c r="F677" s="53"/>
      <c r="G677" s="53"/>
      <c r="H677" s="53"/>
      <c r="P677" s="53"/>
    </row>
    <row r="678" spans="6:16" x14ac:dyDescent="0.3">
      <c r="F678" s="53"/>
      <c r="G678" s="53"/>
      <c r="H678" s="53"/>
      <c r="P678" s="53"/>
    </row>
    <row r="679" spans="6:16" x14ac:dyDescent="0.3">
      <c r="F679" s="53"/>
      <c r="G679" s="53"/>
      <c r="H679" s="53"/>
      <c r="P679" s="53"/>
    </row>
    <row r="680" spans="6:16" x14ac:dyDescent="0.3">
      <c r="F680" s="53"/>
      <c r="G680" s="53"/>
      <c r="H680" s="53"/>
      <c r="P680" s="53"/>
    </row>
    <row r="681" spans="6:16" x14ac:dyDescent="0.3">
      <c r="F681" s="53"/>
      <c r="G681" s="53"/>
      <c r="H681" s="53"/>
      <c r="P681" s="53"/>
    </row>
    <row r="682" spans="6:16" x14ac:dyDescent="0.3">
      <c r="F682" s="53"/>
      <c r="G682" s="53"/>
      <c r="H682" s="53"/>
      <c r="P682" s="53"/>
    </row>
    <row r="683" spans="6:16" x14ac:dyDescent="0.3">
      <c r="F683" s="53"/>
      <c r="G683" s="53"/>
      <c r="H683" s="53"/>
      <c r="P683" s="53"/>
    </row>
    <row r="684" spans="6:16" x14ac:dyDescent="0.3">
      <c r="F684" s="53"/>
      <c r="G684" s="53"/>
      <c r="H684" s="53"/>
      <c r="P684" s="53"/>
    </row>
    <row r="685" spans="6:16" x14ac:dyDescent="0.3">
      <c r="F685" s="53"/>
      <c r="G685" s="53"/>
      <c r="H685" s="53"/>
      <c r="P685" s="53"/>
    </row>
    <row r="686" spans="6:16" x14ac:dyDescent="0.3">
      <c r="F686" s="53"/>
      <c r="G686" s="53"/>
      <c r="H686" s="53"/>
      <c r="P686" s="53"/>
    </row>
    <row r="687" spans="6:16" x14ac:dyDescent="0.3">
      <c r="F687" s="53"/>
      <c r="G687" s="53"/>
      <c r="H687" s="53"/>
      <c r="P687" s="53"/>
    </row>
    <row r="688" spans="6:16" x14ac:dyDescent="0.3">
      <c r="F688" s="53"/>
      <c r="G688" s="53"/>
      <c r="H688" s="53"/>
      <c r="P688" s="53"/>
    </row>
    <row r="689" spans="6:16" x14ac:dyDescent="0.3">
      <c r="F689" s="53"/>
      <c r="G689" s="53"/>
      <c r="H689" s="53"/>
      <c r="P689" s="53"/>
    </row>
    <row r="690" spans="6:16" x14ac:dyDescent="0.3">
      <c r="F690" s="53"/>
      <c r="G690" s="53"/>
      <c r="H690" s="53"/>
      <c r="P690" s="53"/>
    </row>
    <row r="691" spans="6:16" x14ac:dyDescent="0.3">
      <c r="F691" s="53"/>
      <c r="G691" s="53"/>
      <c r="H691" s="53"/>
      <c r="P691" s="53"/>
    </row>
    <row r="692" spans="6:16" x14ac:dyDescent="0.3">
      <c r="F692" s="53"/>
      <c r="G692" s="53"/>
      <c r="H692" s="53"/>
      <c r="P692" s="53"/>
    </row>
    <row r="693" spans="6:16" x14ac:dyDescent="0.3">
      <c r="F693" s="53"/>
      <c r="G693" s="53"/>
      <c r="H693" s="53"/>
      <c r="P693" s="53"/>
    </row>
    <row r="694" spans="6:16" x14ac:dyDescent="0.3">
      <c r="F694" s="53"/>
      <c r="G694" s="53"/>
      <c r="H694" s="53"/>
      <c r="P694" s="53"/>
    </row>
    <row r="695" spans="6:16" x14ac:dyDescent="0.3">
      <c r="F695" s="53"/>
      <c r="G695" s="53"/>
      <c r="H695" s="53"/>
      <c r="P695" s="53"/>
    </row>
    <row r="696" spans="6:16" x14ac:dyDescent="0.3">
      <c r="F696" s="53"/>
      <c r="G696" s="53"/>
      <c r="H696" s="53"/>
      <c r="P696" s="53"/>
    </row>
    <row r="697" spans="6:16" x14ac:dyDescent="0.3">
      <c r="F697" s="53"/>
      <c r="G697" s="53"/>
      <c r="H697" s="53"/>
      <c r="P697" s="53"/>
    </row>
    <row r="698" spans="6:16" x14ac:dyDescent="0.3">
      <c r="F698" s="53"/>
      <c r="G698" s="53"/>
      <c r="H698" s="53"/>
      <c r="P698" s="53"/>
    </row>
    <row r="699" spans="6:16" x14ac:dyDescent="0.3">
      <c r="F699" s="53"/>
      <c r="G699" s="53"/>
      <c r="H699" s="53"/>
      <c r="P699" s="53"/>
    </row>
    <row r="700" spans="6:16" x14ac:dyDescent="0.3">
      <c r="F700" s="53"/>
      <c r="G700" s="53"/>
      <c r="H700" s="53"/>
      <c r="P700" s="53"/>
    </row>
    <row r="701" spans="6:16" x14ac:dyDescent="0.3">
      <c r="F701" s="53"/>
      <c r="G701" s="53"/>
      <c r="H701" s="53"/>
      <c r="P701" s="53"/>
    </row>
    <row r="702" spans="6:16" x14ac:dyDescent="0.3">
      <c r="F702" s="53"/>
      <c r="G702" s="53"/>
      <c r="H702" s="53"/>
      <c r="P702" s="53"/>
    </row>
    <row r="703" spans="6:16" x14ac:dyDescent="0.3">
      <c r="F703" s="53"/>
      <c r="G703" s="53"/>
      <c r="H703" s="53"/>
      <c r="P703" s="53"/>
    </row>
    <row r="704" spans="6:16" x14ac:dyDescent="0.3">
      <c r="F704" s="53"/>
      <c r="G704" s="53"/>
      <c r="H704" s="53"/>
      <c r="P704" s="53"/>
    </row>
    <row r="705" spans="6:16" x14ac:dyDescent="0.3">
      <c r="F705" s="53"/>
      <c r="G705" s="53"/>
      <c r="H705" s="53"/>
      <c r="P705" s="53"/>
    </row>
    <row r="706" spans="6:16" x14ac:dyDescent="0.3">
      <c r="F706" s="53"/>
      <c r="G706" s="53"/>
      <c r="H706" s="53"/>
      <c r="P706" s="53"/>
    </row>
    <row r="707" spans="6:16" x14ac:dyDescent="0.3">
      <c r="F707" s="53"/>
      <c r="G707" s="53"/>
      <c r="H707" s="53"/>
      <c r="P707" s="53"/>
    </row>
    <row r="708" spans="6:16" x14ac:dyDescent="0.3">
      <c r="F708" s="53"/>
      <c r="G708" s="53"/>
      <c r="H708" s="53"/>
      <c r="P708" s="53"/>
    </row>
    <row r="709" spans="6:16" x14ac:dyDescent="0.3">
      <c r="F709" s="53"/>
      <c r="G709" s="53"/>
      <c r="H709" s="53"/>
      <c r="P709" s="53"/>
    </row>
    <row r="710" spans="6:16" x14ac:dyDescent="0.3">
      <c r="F710" s="53"/>
      <c r="G710" s="53"/>
      <c r="H710" s="53"/>
      <c r="P710" s="53"/>
    </row>
    <row r="711" spans="6:16" x14ac:dyDescent="0.3">
      <c r="F711" s="53"/>
      <c r="G711" s="53"/>
      <c r="H711" s="53"/>
      <c r="P711" s="53"/>
    </row>
    <row r="712" spans="6:16" x14ac:dyDescent="0.3">
      <c r="F712" s="53"/>
      <c r="G712" s="53"/>
      <c r="H712" s="53"/>
      <c r="P712" s="53"/>
    </row>
    <row r="713" spans="6:16" x14ac:dyDescent="0.3">
      <c r="F713" s="53"/>
      <c r="G713" s="53"/>
      <c r="H713" s="53"/>
      <c r="P713" s="53"/>
    </row>
    <row r="714" spans="6:16" x14ac:dyDescent="0.3">
      <c r="F714" s="53"/>
      <c r="G714" s="53"/>
      <c r="H714" s="53"/>
      <c r="P714" s="53"/>
    </row>
    <row r="715" spans="6:16" x14ac:dyDescent="0.3">
      <c r="F715" s="53"/>
      <c r="G715" s="53"/>
      <c r="H715" s="53"/>
      <c r="P715" s="53"/>
    </row>
    <row r="716" spans="6:16" x14ac:dyDescent="0.3">
      <c r="F716" s="53"/>
      <c r="G716" s="53"/>
      <c r="H716" s="53"/>
      <c r="P716" s="53"/>
    </row>
    <row r="717" spans="6:16" x14ac:dyDescent="0.3">
      <c r="F717" s="53"/>
      <c r="G717" s="53"/>
      <c r="H717" s="53"/>
      <c r="P717" s="53"/>
    </row>
    <row r="718" spans="6:16" x14ac:dyDescent="0.3">
      <c r="F718" s="53"/>
      <c r="G718" s="53"/>
      <c r="H718" s="53"/>
      <c r="P718" s="53"/>
    </row>
    <row r="719" spans="6:16" x14ac:dyDescent="0.3">
      <c r="F719" s="53"/>
      <c r="G719" s="53"/>
      <c r="H719" s="53"/>
      <c r="P719" s="53"/>
    </row>
    <row r="720" spans="6:16" x14ac:dyDescent="0.3">
      <c r="F720" s="53"/>
      <c r="G720" s="53"/>
      <c r="H720" s="53"/>
      <c r="P720" s="53"/>
    </row>
    <row r="721" spans="6:16" x14ac:dyDescent="0.3">
      <c r="F721" s="53"/>
      <c r="G721" s="53"/>
      <c r="H721" s="53"/>
      <c r="P721" s="53"/>
    </row>
    <row r="722" spans="6:16" x14ac:dyDescent="0.3">
      <c r="F722" s="53"/>
      <c r="G722" s="53"/>
      <c r="H722" s="53"/>
      <c r="P722" s="53"/>
    </row>
    <row r="723" spans="6:16" x14ac:dyDescent="0.3">
      <c r="F723" s="53"/>
      <c r="G723" s="53"/>
      <c r="H723" s="53"/>
      <c r="P723" s="53"/>
    </row>
    <row r="724" spans="6:16" x14ac:dyDescent="0.3">
      <c r="F724" s="53"/>
      <c r="G724" s="53"/>
      <c r="H724" s="53"/>
      <c r="P724" s="53"/>
    </row>
    <row r="725" spans="6:16" x14ac:dyDescent="0.3">
      <c r="F725" s="53"/>
      <c r="G725" s="53"/>
      <c r="H725" s="53"/>
      <c r="P725" s="53"/>
    </row>
    <row r="726" spans="6:16" x14ac:dyDescent="0.3">
      <c r="F726" s="53"/>
      <c r="G726" s="53"/>
      <c r="H726" s="53"/>
      <c r="P726" s="53"/>
    </row>
    <row r="727" spans="6:16" x14ac:dyDescent="0.3">
      <c r="F727" s="53"/>
      <c r="G727" s="53"/>
      <c r="H727" s="53"/>
      <c r="P727" s="53"/>
    </row>
    <row r="728" spans="6:16" x14ac:dyDescent="0.3">
      <c r="F728" s="53"/>
      <c r="G728" s="53"/>
      <c r="H728" s="53"/>
      <c r="P728" s="53"/>
    </row>
    <row r="729" spans="6:16" x14ac:dyDescent="0.3">
      <c r="F729" s="53"/>
      <c r="G729" s="53"/>
      <c r="H729" s="53"/>
      <c r="P729" s="53"/>
    </row>
    <row r="730" spans="6:16" x14ac:dyDescent="0.3">
      <c r="F730" s="53"/>
      <c r="G730" s="53"/>
      <c r="H730" s="53"/>
      <c r="P730" s="53"/>
    </row>
    <row r="731" spans="6:16" x14ac:dyDescent="0.3">
      <c r="F731" s="53"/>
      <c r="G731" s="53"/>
      <c r="H731" s="53"/>
      <c r="P731" s="53"/>
    </row>
    <row r="732" spans="6:16" x14ac:dyDescent="0.3">
      <c r="F732" s="53"/>
      <c r="G732" s="53"/>
      <c r="H732" s="53"/>
      <c r="P732" s="53"/>
    </row>
    <row r="733" spans="6:16" x14ac:dyDescent="0.3">
      <c r="F733" s="53"/>
      <c r="G733" s="53"/>
      <c r="H733" s="53"/>
      <c r="P733" s="53"/>
    </row>
    <row r="734" spans="6:16" x14ac:dyDescent="0.3">
      <c r="F734" s="53"/>
      <c r="G734" s="53"/>
      <c r="H734" s="53"/>
      <c r="P734" s="53"/>
    </row>
    <row r="735" spans="6:16" x14ac:dyDescent="0.3">
      <c r="F735" s="53"/>
      <c r="G735" s="53"/>
      <c r="H735" s="53"/>
      <c r="P735" s="53"/>
    </row>
    <row r="736" spans="6:16" x14ac:dyDescent="0.3">
      <c r="F736" s="53"/>
      <c r="G736" s="53"/>
      <c r="H736" s="53"/>
      <c r="P736" s="53"/>
    </row>
    <row r="737" spans="6:16" x14ac:dyDescent="0.3">
      <c r="F737" s="53"/>
      <c r="G737" s="53"/>
      <c r="H737" s="53"/>
      <c r="P737" s="53"/>
    </row>
    <row r="738" spans="6:16" x14ac:dyDescent="0.3">
      <c r="F738" s="53"/>
      <c r="G738" s="53"/>
      <c r="H738" s="53"/>
      <c r="P738" s="53"/>
    </row>
    <row r="739" spans="6:16" x14ac:dyDescent="0.3">
      <c r="F739" s="53"/>
      <c r="G739" s="53"/>
      <c r="H739" s="53"/>
      <c r="P739" s="53"/>
    </row>
    <row r="740" spans="6:16" x14ac:dyDescent="0.3">
      <c r="F740" s="53"/>
      <c r="G740" s="53"/>
      <c r="H740" s="53"/>
      <c r="P740" s="53"/>
    </row>
    <row r="741" spans="6:16" x14ac:dyDescent="0.3">
      <c r="F741" s="53"/>
      <c r="G741" s="53"/>
      <c r="H741" s="53"/>
      <c r="P741" s="53"/>
    </row>
    <row r="742" spans="6:16" x14ac:dyDescent="0.3">
      <c r="F742" s="53"/>
      <c r="G742" s="53"/>
      <c r="H742" s="53"/>
      <c r="P742" s="53"/>
    </row>
    <row r="743" spans="6:16" x14ac:dyDescent="0.3">
      <c r="F743" s="53"/>
      <c r="G743" s="53"/>
      <c r="H743" s="53"/>
      <c r="P743" s="53"/>
    </row>
    <row r="744" spans="6:16" x14ac:dyDescent="0.3">
      <c r="F744" s="53"/>
      <c r="G744" s="53"/>
      <c r="H744" s="53"/>
      <c r="P744" s="53"/>
    </row>
    <row r="745" spans="6:16" x14ac:dyDescent="0.3">
      <c r="F745" s="53"/>
      <c r="G745" s="53"/>
      <c r="H745" s="53"/>
      <c r="P745" s="53"/>
    </row>
    <row r="746" spans="6:16" x14ac:dyDescent="0.3">
      <c r="F746" s="53"/>
      <c r="G746" s="53"/>
      <c r="H746" s="53"/>
      <c r="P746" s="53"/>
    </row>
    <row r="747" spans="6:16" x14ac:dyDescent="0.3">
      <c r="F747" s="53"/>
      <c r="G747" s="53"/>
      <c r="H747" s="53"/>
      <c r="P747" s="53"/>
    </row>
    <row r="748" spans="6:16" x14ac:dyDescent="0.3">
      <c r="F748" s="53"/>
      <c r="G748" s="53"/>
      <c r="H748" s="53"/>
      <c r="P748" s="53"/>
    </row>
    <row r="749" spans="6:16" x14ac:dyDescent="0.3">
      <c r="F749" s="53"/>
      <c r="G749" s="53"/>
      <c r="H749" s="53"/>
      <c r="P749" s="53"/>
    </row>
    <row r="750" spans="6:16" x14ac:dyDescent="0.3">
      <c r="F750" s="53"/>
      <c r="G750" s="53"/>
      <c r="H750" s="53"/>
      <c r="P750" s="53"/>
    </row>
    <row r="751" spans="6:16" x14ac:dyDescent="0.3">
      <c r="P751" s="53"/>
    </row>
    <row r="752" spans="6:16" x14ac:dyDescent="0.3">
      <c r="P752" s="53"/>
    </row>
    <row r="753" spans="16:16" x14ac:dyDescent="0.3">
      <c r="P753" s="53"/>
    </row>
    <row r="754" spans="16:16" x14ac:dyDescent="0.3">
      <c r="P754" s="53"/>
    </row>
    <row r="755" spans="16:16" x14ac:dyDescent="0.3">
      <c r="P755" s="53"/>
    </row>
    <row r="756" spans="16:16" x14ac:dyDescent="0.3">
      <c r="P756" s="53"/>
    </row>
    <row r="757" spans="16:16" x14ac:dyDescent="0.3">
      <c r="P757" s="53"/>
    </row>
    <row r="758" spans="16:16" x14ac:dyDescent="0.3">
      <c r="P758" s="53"/>
    </row>
    <row r="759" spans="16:16" x14ac:dyDescent="0.3">
      <c r="P759" s="53"/>
    </row>
    <row r="760" spans="16:16" x14ac:dyDescent="0.3">
      <c r="P760" s="53"/>
    </row>
    <row r="761" spans="16:16" x14ac:dyDescent="0.3">
      <c r="P761" s="53"/>
    </row>
    <row r="762" spans="16:16" x14ac:dyDescent="0.3">
      <c r="P762" s="53"/>
    </row>
    <row r="763" spans="16:16" x14ac:dyDescent="0.3">
      <c r="P763" s="53"/>
    </row>
    <row r="764" spans="16:16" x14ac:dyDescent="0.3">
      <c r="P764" s="53"/>
    </row>
    <row r="765" spans="16:16" x14ac:dyDescent="0.3">
      <c r="P765" s="53"/>
    </row>
    <row r="766" spans="16:16" x14ac:dyDescent="0.3">
      <c r="P766" s="53"/>
    </row>
    <row r="767" spans="16:16" x14ac:dyDescent="0.3">
      <c r="P767" s="53"/>
    </row>
    <row r="768" spans="16:16" x14ac:dyDescent="0.3">
      <c r="P768" s="53"/>
    </row>
    <row r="769" spans="16:16" x14ac:dyDescent="0.3">
      <c r="P769" s="53"/>
    </row>
    <row r="770" spans="16:16" x14ac:dyDescent="0.3">
      <c r="P770" s="53"/>
    </row>
    <row r="771" spans="16:16" x14ac:dyDescent="0.3">
      <c r="P771" s="53"/>
    </row>
    <row r="772" spans="16:16" x14ac:dyDescent="0.3">
      <c r="P772" s="53"/>
    </row>
    <row r="773" spans="16:16" x14ac:dyDescent="0.3">
      <c r="P773" s="53"/>
    </row>
    <row r="774" spans="16:16" x14ac:dyDescent="0.3">
      <c r="P774" s="53"/>
    </row>
    <row r="775" spans="16:16" x14ac:dyDescent="0.3">
      <c r="P775" s="53"/>
    </row>
    <row r="776" spans="16:16" x14ac:dyDescent="0.3">
      <c r="P776" s="53"/>
    </row>
    <row r="777" spans="16:16" x14ac:dyDescent="0.3">
      <c r="P777" s="53"/>
    </row>
    <row r="778" spans="16:16" x14ac:dyDescent="0.3">
      <c r="P778" s="53"/>
    </row>
    <row r="779" spans="16:16" x14ac:dyDescent="0.3">
      <c r="P779" s="53"/>
    </row>
    <row r="780" spans="16:16" x14ac:dyDescent="0.3">
      <c r="P780" s="53"/>
    </row>
    <row r="781" spans="16:16" x14ac:dyDescent="0.3">
      <c r="P781" s="53"/>
    </row>
    <row r="782" spans="16:16" x14ac:dyDescent="0.3">
      <c r="P782" s="53"/>
    </row>
    <row r="783" spans="16:16" x14ac:dyDescent="0.3">
      <c r="P783" s="53"/>
    </row>
    <row r="784" spans="16:16" x14ac:dyDescent="0.3">
      <c r="P784" s="53"/>
    </row>
    <row r="785" spans="16:16" x14ac:dyDescent="0.3">
      <c r="P785" s="53"/>
    </row>
    <row r="786" spans="16:16" x14ac:dyDescent="0.3">
      <c r="P786" s="53"/>
    </row>
    <row r="787" spans="16:16" x14ac:dyDescent="0.3">
      <c r="P787" s="53"/>
    </row>
    <row r="788" spans="16:16" x14ac:dyDescent="0.3">
      <c r="P788" s="53"/>
    </row>
    <row r="789" spans="16:16" x14ac:dyDescent="0.3">
      <c r="P789" s="53"/>
    </row>
    <row r="790" spans="16:16" x14ac:dyDescent="0.3">
      <c r="P790" s="53"/>
    </row>
    <row r="791" spans="16:16" x14ac:dyDescent="0.3">
      <c r="P791" s="53"/>
    </row>
    <row r="792" spans="16:16" x14ac:dyDescent="0.3">
      <c r="P792" s="53"/>
    </row>
    <row r="793" spans="16:16" x14ac:dyDescent="0.3">
      <c r="P793" s="53"/>
    </row>
    <row r="794" spans="16:16" x14ac:dyDescent="0.3">
      <c r="P794" s="53"/>
    </row>
    <row r="795" spans="16:16" x14ac:dyDescent="0.3">
      <c r="P795" s="53"/>
    </row>
    <row r="796" spans="16:16" x14ac:dyDescent="0.3">
      <c r="P796" s="53"/>
    </row>
    <row r="797" spans="16:16" x14ac:dyDescent="0.3">
      <c r="P797" s="53"/>
    </row>
    <row r="798" spans="16:16" x14ac:dyDescent="0.3">
      <c r="P798" s="53"/>
    </row>
    <row r="799" spans="16:16" x14ac:dyDescent="0.3">
      <c r="P799" s="53"/>
    </row>
    <row r="800" spans="16:16" x14ac:dyDescent="0.3">
      <c r="P800" s="53"/>
    </row>
    <row r="801" spans="16:16" x14ac:dyDescent="0.3">
      <c r="P801" s="53"/>
    </row>
    <row r="802" spans="16:16" x14ac:dyDescent="0.3">
      <c r="P802" s="53"/>
    </row>
    <row r="803" spans="16:16" x14ac:dyDescent="0.3">
      <c r="P803" s="53"/>
    </row>
    <row r="804" spans="16:16" x14ac:dyDescent="0.3">
      <c r="P804" s="53"/>
    </row>
    <row r="805" spans="16:16" x14ac:dyDescent="0.3">
      <c r="P805" s="53"/>
    </row>
    <row r="806" spans="16:16" x14ac:dyDescent="0.3">
      <c r="P806" s="53"/>
    </row>
    <row r="807" spans="16:16" x14ac:dyDescent="0.3">
      <c r="P807" s="53"/>
    </row>
    <row r="808" spans="16:16" x14ac:dyDescent="0.3">
      <c r="P808" s="53"/>
    </row>
    <row r="809" spans="16:16" x14ac:dyDescent="0.3">
      <c r="P809" s="53"/>
    </row>
    <row r="810" spans="16:16" x14ac:dyDescent="0.3">
      <c r="P810" s="53"/>
    </row>
    <row r="811" spans="16:16" x14ac:dyDescent="0.3">
      <c r="P811" s="53"/>
    </row>
    <row r="812" spans="16:16" x14ac:dyDescent="0.3">
      <c r="P812" s="53"/>
    </row>
    <row r="813" spans="16:16" x14ac:dyDescent="0.3">
      <c r="P813" s="53"/>
    </row>
    <row r="814" spans="16:16" x14ac:dyDescent="0.3">
      <c r="P814" s="53"/>
    </row>
    <row r="815" spans="16:16" x14ac:dyDescent="0.3">
      <c r="P815" s="53"/>
    </row>
    <row r="816" spans="16:16" x14ac:dyDescent="0.3">
      <c r="P816" s="53"/>
    </row>
    <row r="817" spans="16:16" x14ac:dyDescent="0.3">
      <c r="P817" s="53"/>
    </row>
    <row r="818" spans="16:16" x14ac:dyDescent="0.3">
      <c r="P818" s="53"/>
    </row>
    <row r="819" spans="16:16" x14ac:dyDescent="0.3">
      <c r="P819" s="53"/>
    </row>
    <row r="820" spans="16:16" x14ac:dyDescent="0.3">
      <c r="P820" s="53"/>
    </row>
    <row r="821" spans="16:16" x14ac:dyDescent="0.3">
      <c r="P821" s="53"/>
    </row>
    <row r="822" spans="16:16" x14ac:dyDescent="0.3">
      <c r="P822" s="53"/>
    </row>
    <row r="823" spans="16:16" x14ac:dyDescent="0.3">
      <c r="P823" s="53"/>
    </row>
    <row r="824" spans="16:16" x14ac:dyDescent="0.3">
      <c r="P824" s="53"/>
    </row>
    <row r="825" spans="16:16" x14ac:dyDescent="0.3">
      <c r="P825" s="53"/>
    </row>
    <row r="826" spans="16:16" x14ac:dyDescent="0.3">
      <c r="P826" s="53"/>
    </row>
    <row r="827" spans="16:16" x14ac:dyDescent="0.3">
      <c r="P827" s="53"/>
    </row>
    <row r="828" spans="16:16" x14ac:dyDescent="0.3">
      <c r="P828" s="53"/>
    </row>
    <row r="829" spans="16:16" x14ac:dyDescent="0.3">
      <c r="P829" s="53"/>
    </row>
    <row r="830" spans="16:16" x14ac:dyDescent="0.3">
      <c r="P830" s="53"/>
    </row>
    <row r="831" spans="16:16" x14ac:dyDescent="0.3">
      <c r="P831" s="53"/>
    </row>
    <row r="832" spans="16:16" x14ac:dyDescent="0.3">
      <c r="P832" s="53"/>
    </row>
    <row r="833" spans="16:16" x14ac:dyDescent="0.3">
      <c r="P833" s="53"/>
    </row>
    <row r="834" spans="16:16" x14ac:dyDescent="0.3">
      <c r="P834" s="53"/>
    </row>
    <row r="835" spans="16:16" x14ac:dyDescent="0.3">
      <c r="P835" s="53"/>
    </row>
    <row r="836" spans="16:16" x14ac:dyDescent="0.3">
      <c r="P836" s="53"/>
    </row>
    <row r="837" spans="16:16" x14ac:dyDescent="0.3">
      <c r="P837" s="53"/>
    </row>
    <row r="838" spans="16:16" x14ac:dyDescent="0.3">
      <c r="P838" s="53"/>
    </row>
    <row r="839" spans="16:16" x14ac:dyDescent="0.3">
      <c r="P839" s="53"/>
    </row>
    <row r="840" spans="16:16" x14ac:dyDescent="0.3">
      <c r="P840" s="53"/>
    </row>
    <row r="841" spans="16:16" x14ac:dyDescent="0.3">
      <c r="P841" s="53"/>
    </row>
    <row r="842" spans="16:16" x14ac:dyDescent="0.3">
      <c r="P842" s="53"/>
    </row>
    <row r="843" spans="16:16" x14ac:dyDescent="0.3">
      <c r="P843" s="53"/>
    </row>
    <row r="844" spans="16:16" x14ac:dyDescent="0.3">
      <c r="P844" s="53"/>
    </row>
    <row r="845" spans="16:16" x14ac:dyDescent="0.3">
      <c r="P845" s="53"/>
    </row>
    <row r="846" spans="16:16" x14ac:dyDescent="0.3">
      <c r="P846" s="53"/>
    </row>
    <row r="847" spans="16:16" x14ac:dyDescent="0.3">
      <c r="P847" s="53"/>
    </row>
    <row r="848" spans="16:16" x14ac:dyDescent="0.3">
      <c r="P848" s="53"/>
    </row>
    <row r="849" spans="16:16" x14ac:dyDescent="0.3">
      <c r="P849" s="53"/>
    </row>
    <row r="850" spans="16:16" x14ac:dyDescent="0.3">
      <c r="P850" s="53"/>
    </row>
    <row r="851" spans="16:16" x14ac:dyDescent="0.3">
      <c r="P851" s="53"/>
    </row>
    <row r="852" spans="16:16" x14ac:dyDescent="0.3">
      <c r="P852" s="53"/>
    </row>
    <row r="853" spans="16:16" x14ac:dyDescent="0.3">
      <c r="P853" s="53"/>
    </row>
    <row r="854" spans="16:16" x14ac:dyDescent="0.3">
      <c r="P854" s="53"/>
    </row>
    <row r="855" spans="16:16" x14ac:dyDescent="0.3">
      <c r="P855" s="53"/>
    </row>
    <row r="856" spans="16:16" x14ac:dyDescent="0.3">
      <c r="P856" s="53"/>
    </row>
    <row r="857" spans="16:16" x14ac:dyDescent="0.3">
      <c r="P857" s="53"/>
    </row>
    <row r="858" spans="16:16" x14ac:dyDescent="0.3">
      <c r="P858" s="53"/>
    </row>
    <row r="859" spans="16:16" x14ac:dyDescent="0.3">
      <c r="P859" s="53"/>
    </row>
    <row r="860" spans="16:16" x14ac:dyDescent="0.3">
      <c r="P860" s="53"/>
    </row>
    <row r="861" spans="16:16" x14ac:dyDescent="0.3">
      <c r="P861" s="53"/>
    </row>
    <row r="862" spans="16:16" x14ac:dyDescent="0.3">
      <c r="P862" s="53"/>
    </row>
    <row r="863" spans="16:16" x14ac:dyDescent="0.3">
      <c r="P863" s="53"/>
    </row>
    <row r="864" spans="16:16" x14ac:dyDescent="0.3">
      <c r="P864" s="53"/>
    </row>
    <row r="865" spans="16:16" x14ac:dyDescent="0.3">
      <c r="P865" s="53"/>
    </row>
    <row r="866" spans="16:16" x14ac:dyDescent="0.3">
      <c r="P866" s="53"/>
    </row>
    <row r="867" spans="16:16" x14ac:dyDescent="0.3">
      <c r="P867" s="53"/>
    </row>
    <row r="868" spans="16:16" x14ac:dyDescent="0.3">
      <c r="P868" s="53"/>
    </row>
    <row r="869" spans="16:16" x14ac:dyDescent="0.3">
      <c r="P869" s="53"/>
    </row>
    <row r="870" spans="16:16" x14ac:dyDescent="0.3">
      <c r="P870" s="53"/>
    </row>
    <row r="871" spans="16:16" x14ac:dyDescent="0.3">
      <c r="P871" s="53"/>
    </row>
    <row r="872" spans="16:16" x14ac:dyDescent="0.3">
      <c r="P872" s="53"/>
    </row>
    <row r="873" spans="16:16" x14ac:dyDescent="0.3">
      <c r="P873" s="53"/>
    </row>
    <row r="874" spans="16:16" x14ac:dyDescent="0.3">
      <c r="P874" s="53"/>
    </row>
    <row r="875" spans="16:16" x14ac:dyDescent="0.3">
      <c r="P875" s="53"/>
    </row>
    <row r="876" spans="16:16" x14ac:dyDescent="0.3">
      <c r="P876" s="53"/>
    </row>
    <row r="877" spans="16:16" x14ac:dyDescent="0.3">
      <c r="P877" s="53"/>
    </row>
    <row r="878" spans="16:16" x14ac:dyDescent="0.3">
      <c r="P878" s="53"/>
    </row>
    <row r="879" spans="16:16" x14ac:dyDescent="0.3">
      <c r="P879" s="53"/>
    </row>
    <row r="880" spans="16:16" x14ac:dyDescent="0.3">
      <c r="P880" s="53"/>
    </row>
    <row r="881" spans="16:16" x14ac:dyDescent="0.3">
      <c r="P881" s="53"/>
    </row>
    <row r="882" spans="16:16" x14ac:dyDescent="0.3">
      <c r="P882" s="53"/>
    </row>
    <row r="883" spans="16:16" x14ac:dyDescent="0.3">
      <c r="P883" s="53"/>
    </row>
    <row r="884" spans="16:16" x14ac:dyDescent="0.3">
      <c r="P884" s="53"/>
    </row>
    <row r="885" spans="16:16" x14ac:dyDescent="0.3">
      <c r="P885" s="53"/>
    </row>
    <row r="886" spans="16:16" x14ac:dyDescent="0.3">
      <c r="P886" s="53"/>
    </row>
    <row r="887" spans="16:16" x14ac:dyDescent="0.3">
      <c r="P887" s="53"/>
    </row>
    <row r="888" spans="16:16" x14ac:dyDescent="0.3">
      <c r="P888" s="53"/>
    </row>
    <row r="889" spans="16:16" x14ac:dyDescent="0.3">
      <c r="P889" s="53"/>
    </row>
    <row r="890" spans="16:16" x14ac:dyDescent="0.3">
      <c r="P890" s="53"/>
    </row>
    <row r="891" spans="16:16" x14ac:dyDescent="0.3">
      <c r="P891" s="53"/>
    </row>
    <row r="892" spans="16:16" x14ac:dyDescent="0.3">
      <c r="P892" s="53"/>
    </row>
    <row r="893" spans="16:16" x14ac:dyDescent="0.3">
      <c r="P893" s="53"/>
    </row>
    <row r="894" spans="16:16" x14ac:dyDescent="0.3">
      <c r="P894" s="53"/>
    </row>
    <row r="895" spans="16:16" x14ac:dyDescent="0.3">
      <c r="P895" s="53"/>
    </row>
    <row r="896" spans="16:16" x14ac:dyDescent="0.3">
      <c r="P896" s="53"/>
    </row>
    <row r="897" spans="16:16" x14ac:dyDescent="0.3">
      <c r="P897" s="53"/>
    </row>
    <row r="898" spans="16:16" x14ac:dyDescent="0.3">
      <c r="P898" s="53"/>
    </row>
    <row r="899" spans="16:16" x14ac:dyDescent="0.3">
      <c r="P899" s="53"/>
    </row>
    <row r="900" spans="16:16" x14ac:dyDescent="0.3">
      <c r="P900" s="53"/>
    </row>
    <row r="901" spans="16:16" x14ac:dyDescent="0.3">
      <c r="P901" s="53"/>
    </row>
    <row r="902" spans="16:16" x14ac:dyDescent="0.3">
      <c r="P902" s="53"/>
    </row>
    <row r="903" spans="16:16" x14ac:dyDescent="0.3">
      <c r="P903" s="53"/>
    </row>
    <row r="904" spans="16:16" x14ac:dyDescent="0.3">
      <c r="P904" s="53"/>
    </row>
    <row r="905" spans="16:16" x14ac:dyDescent="0.3">
      <c r="P905" s="53"/>
    </row>
    <row r="906" spans="16:16" x14ac:dyDescent="0.3">
      <c r="P906" s="53"/>
    </row>
    <row r="907" spans="16:16" x14ac:dyDescent="0.3">
      <c r="P907" s="53"/>
    </row>
    <row r="908" spans="16:16" x14ac:dyDescent="0.3">
      <c r="P908" s="53"/>
    </row>
    <row r="909" spans="16:16" x14ac:dyDescent="0.3">
      <c r="P909" s="53"/>
    </row>
    <row r="910" spans="16:16" x14ac:dyDescent="0.3">
      <c r="P910" s="53"/>
    </row>
    <row r="911" spans="16:16" x14ac:dyDescent="0.3">
      <c r="P911" s="53"/>
    </row>
    <row r="912" spans="16:16" x14ac:dyDescent="0.3">
      <c r="P912" s="53"/>
    </row>
    <row r="913" spans="16:16" x14ac:dyDescent="0.3">
      <c r="P913" s="53"/>
    </row>
    <row r="914" spans="16:16" x14ac:dyDescent="0.3">
      <c r="P914" s="53"/>
    </row>
    <row r="915" spans="16:16" x14ac:dyDescent="0.3">
      <c r="P915" s="53"/>
    </row>
    <row r="916" spans="16:16" x14ac:dyDescent="0.3">
      <c r="P916" s="53"/>
    </row>
    <row r="917" spans="16:16" x14ac:dyDescent="0.3">
      <c r="P917" s="53"/>
    </row>
    <row r="918" spans="16:16" x14ac:dyDescent="0.3">
      <c r="P918" s="53"/>
    </row>
    <row r="919" spans="16:16" x14ac:dyDescent="0.3">
      <c r="P919" s="53"/>
    </row>
    <row r="920" spans="16:16" x14ac:dyDescent="0.3">
      <c r="P920" s="53"/>
    </row>
    <row r="921" spans="16:16" x14ac:dyDescent="0.3">
      <c r="P921" s="53"/>
    </row>
    <row r="922" spans="16:16" x14ac:dyDescent="0.3">
      <c r="P922" s="53"/>
    </row>
    <row r="923" spans="16:16" x14ac:dyDescent="0.3">
      <c r="P923" s="53"/>
    </row>
    <row r="924" spans="16:16" x14ac:dyDescent="0.3">
      <c r="P924" s="53"/>
    </row>
    <row r="925" spans="16:16" x14ac:dyDescent="0.3">
      <c r="P925" s="53"/>
    </row>
    <row r="926" spans="16:16" x14ac:dyDescent="0.3">
      <c r="P926" s="53"/>
    </row>
    <row r="927" spans="16:16" x14ac:dyDescent="0.3">
      <c r="P927" s="53"/>
    </row>
    <row r="928" spans="16:16" x14ac:dyDescent="0.3">
      <c r="P928" s="53"/>
    </row>
    <row r="929" spans="16:16" x14ac:dyDescent="0.3">
      <c r="P929" s="53"/>
    </row>
    <row r="930" spans="16:16" x14ac:dyDescent="0.3">
      <c r="P930" s="53"/>
    </row>
    <row r="931" spans="16:16" x14ac:dyDescent="0.3">
      <c r="P931" s="53"/>
    </row>
  </sheetData>
  <customSheetViews>
    <customSheetView guid="{B7519FF1-05A6-4A79-8E47-A233872313D4}" scale="75" fitToPage="1">
      <selection activeCell="F9" sqref="F9"/>
      <pageMargins left="0.5" right="0.5" top="1" bottom="0" header="0.5" footer="0.5"/>
      <pageSetup scale="58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54" orientation="landscape" horizontalDpi="300" verticalDpi="300" r:id="rId2"/>
  <headerFooter alignWithMargins="0">
    <oddHeader>&amp;R&amp;"Times New Roman,Bold"&amp;10KyPSC Case No. 2021-00190
STAFF-DR-01-049 Attachment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4" transitionEvaluation="1" transitionEntry="1" codeName="Sheet5"/>
  <dimension ref="A1:T602"/>
  <sheetViews>
    <sheetView tabSelected="1" view="pageBreakPreview" topLeftCell="A14" zoomScale="60" zoomScaleNormal="75" workbookViewId="0">
      <selection activeCell="P13" sqref="P13"/>
    </sheetView>
  </sheetViews>
  <sheetFormatPr defaultColWidth="9.75" defaultRowHeight="15.6" x14ac:dyDescent="0.3"/>
  <cols>
    <col min="1" max="1" width="5.6640625" style="21" customWidth="1"/>
    <col min="2" max="2" width="0.33203125" style="21" customWidth="1"/>
    <col min="3" max="3" width="9.33203125" style="21" customWidth="1"/>
    <col min="4" max="4" width="24.33203125" style="21" customWidth="1"/>
    <col min="5" max="5" width="0.58203125" style="21" customWidth="1"/>
    <col min="6" max="6" width="14.08203125" style="21" customWidth="1"/>
    <col min="7" max="7" width="0.58203125" style="21" customWidth="1"/>
    <col min="8" max="8" width="15.75" style="21" customWidth="1"/>
    <col min="9" max="9" width="0.75" style="21" customWidth="1"/>
    <col min="10" max="10" width="9.75" style="21" customWidth="1"/>
    <col min="11" max="11" width="0.4140625" style="21" customWidth="1"/>
    <col min="12" max="12" width="15.6640625" style="21" customWidth="1"/>
    <col min="13" max="13" width="0.9140625" style="21" customWidth="1"/>
    <col min="14" max="14" width="12.75" style="21" customWidth="1"/>
    <col min="15" max="15" width="0.6640625" style="21" customWidth="1"/>
    <col min="16" max="16" width="15.4140625" style="21" customWidth="1"/>
    <col min="17" max="17" width="0.75" style="21" customWidth="1"/>
    <col min="18" max="18" width="16.08203125" style="21" customWidth="1"/>
    <col min="19" max="19" width="9.75" style="21"/>
    <col min="20" max="20" width="13.33203125" style="21" customWidth="1"/>
    <col min="21" max="70" width="9.75" style="21"/>
    <col min="71" max="71" width="20.75" style="21" customWidth="1"/>
    <col min="72" max="16384" width="9.75" style="21"/>
  </cols>
  <sheetData>
    <row r="1" spans="1:18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20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3">
      <c r="A5" s="20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</row>
    <row r="7" spans="1:18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179</v>
      </c>
    </row>
    <row r="8" spans="1:18" x14ac:dyDescent="0.3">
      <c r="A8" s="26" t="s">
        <v>103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</row>
    <row r="9" spans="1:18" x14ac:dyDescent="0.3">
      <c r="A9" s="26" t="str">
        <f>TIME</f>
        <v>12 MONTHS FORECASTED</v>
      </c>
      <c r="B9" s="25"/>
      <c r="C9" s="25"/>
      <c r="D9" s="25"/>
      <c r="E9" s="25"/>
      <c r="F9" s="184" t="str">
        <f>INPUT!D4</f>
        <v>INCLUDES ALL RIDERS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</row>
    <row r="13" spans="1:18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</row>
    <row r="14" spans="1:18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199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20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0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20" x14ac:dyDescent="0.3">
      <c r="A19" s="25">
        <v>1</v>
      </c>
      <c r="B19" s="25"/>
      <c r="C19" s="190" t="s">
        <v>145</v>
      </c>
      <c r="D19" s="25"/>
      <c r="E19" s="25"/>
      <c r="F19" s="25"/>
      <c r="G19" s="2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20" x14ac:dyDescent="0.3">
      <c r="A20" s="24">
        <v>2</v>
      </c>
      <c r="B20" s="25"/>
      <c r="C20" s="26" t="s">
        <v>48</v>
      </c>
      <c r="D20" s="27" t="s">
        <v>49</v>
      </c>
      <c r="E20" s="26"/>
      <c r="F20" s="37">
        <f>'Rate RS'!F38</f>
        <v>1130041</v>
      </c>
      <c r="G20" s="25"/>
      <c r="H20" s="37">
        <f>'Rate RS'!H38</f>
        <v>6481479</v>
      </c>
      <c r="I20" s="37"/>
      <c r="J20" s="91">
        <f>IF(F20=0,"0.0 ",ROUND((L20/H20),4))</f>
        <v>9.6153999999999993</v>
      </c>
      <c r="K20" s="46"/>
      <c r="L20" s="37">
        <f>'Rate RS'!L38</f>
        <v>62322081</v>
      </c>
      <c r="M20" s="37"/>
      <c r="N20" s="81">
        <f>ROUND((L20/L$21)*100,2)</f>
        <v>100</v>
      </c>
      <c r="O20" s="46"/>
      <c r="P20" s="37">
        <f>'Rate RS'!P38</f>
        <v>26327768</v>
      </c>
      <c r="Q20" s="37"/>
      <c r="R20" s="37">
        <f>'Rate RS'!R38</f>
        <v>88649849</v>
      </c>
    </row>
    <row r="21" spans="1:20" ht="22.5" customHeight="1" x14ac:dyDescent="0.3">
      <c r="A21" s="24">
        <v>3</v>
      </c>
      <c r="B21" s="25"/>
      <c r="D21" s="191" t="s">
        <v>150</v>
      </c>
      <c r="E21" s="25"/>
      <c r="F21" s="116">
        <f>F20</f>
        <v>1130041</v>
      </c>
      <c r="G21" s="25"/>
      <c r="H21" s="116">
        <f>H20</f>
        <v>6481479</v>
      </c>
      <c r="I21" s="37"/>
      <c r="J21" s="91">
        <f>IF(F21=0,"0.0 ",ROUND((L21/H21),4))</f>
        <v>9.6153999999999993</v>
      </c>
      <c r="K21" s="46"/>
      <c r="L21" s="116">
        <f>L20</f>
        <v>62322081</v>
      </c>
      <c r="M21" s="37"/>
      <c r="N21" s="117">
        <f>ROUND((L21/L$48)*100,2)</f>
        <v>69.62</v>
      </c>
      <c r="O21" s="46"/>
      <c r="P21" s="116">
        <f>P20</f>
        <v>26327768</v>
      </c>
      <c r="Q21" s="37"/>
      <c r="R21" s="116">
        <f>R20</f>
        <v>88649849</v>
      </c>
    </row>
    <row r="22" spans="1:20" x14ac:dyDescent="0.3">
      <c r="A22" s="25"/>
      <c r="B22" s="25"/>
      <c r="C22" s="25"/>
      <c r="D22" s="25"/>
      <c r="E22" s="25"/>
      <c r="F22" s="37"/>
      <c r="G22" s="25"/>
      <c r="H22" s="37"/>
      <c r="I22" s="37"/>
      <c r="J22" s="80"/>
      <c r="K22" s="46"/>
      <c r="L22" s="37"/>
      <c r="M22" s="37"/>
      <c r="N22" s="81"/>
      <c r="O22" s="46"/>
      <c r="P22" s="37"/>
      <c r="Q22" s="37"/>
      <c r="R22" s="37"/>
    </row>
    <row r="23" spans="1:20" x14ac:dyDescent="0.3">
      <c r="A23" s="24">
        <v>4</v>
      </c>
      <c r="B23" s="25"/>
      <c r="C23" s="26" t="s">
        <v>119</v>
      </c>
      <c r="D23" s="26" t="s">
        <v>120</v>
      </c>
      <c r="E23" s="26"/>
      <c r="F23" s="37">
        <f>'Rate GS COM'!F37</f>
        <v>78612</v>
      </c>
      <c r="G23" s="25"/>
      <c r="H23" s="37">
        <f>'Rate GS COM'!H37</f>
        <v>2857007</v>
      </c>
      <c r="I23" s="37"/>
      <c r="J23" s="91">
        <f>IF(F23=0,"0.0 ",ROUND((L23/H23),4))</f>
        <v>5.5369999999999999</v>
      </c>
      <c r="K23" s="46"/>
      <c r="L23" s="37">
        <f>'Rate GS COM'!L37</f>
        <v>15819246</v>
      </c>
      <c r="M23" s="37"/>
      <c r="N23" s="81">
        <f>ROUND((L23/L$26)*100,2)</f>
        <v>85.15</v>
      </c>
      <c r="O23" s="46"/>
      <c r="P23" s="37">
        <f>'Rate GS COM'!P37</f>
        <v>11605162</v>
      </c>
      <c r="Q23" s="37"/>
      <c r="R23" s="37">
        <f>'Rate GS COM'!R37</f>
        <v>27424408</v>
      </c>
    </row>
    <row r="24" spans="1:20" x14ac:dyDescent="0.3">
      <c r="A24" s="24">
        <v>5</v>
      </c>
      <c r="B24" s="25"/>
      <c r="C24" s="26" t="s">
        <v>119</v>
      </c>
      <c r="D24" s="26" t="s">
        <v>126</v>
      </c>
      <c r="E24" s="26"/>
      <c r="F24" s="37">
        <f>'Rate GS IND'!F37</f>
        <v>2547</v>
      </c>
      <c r="G24" s="25"/>
      <c r="H24" s="37">
        <f>'Rate GS IND'!H37</f>
        <v>290082</v>
      </c>
      <c r="I24" s="37"/>
      <c r="J24" s="91">
        <f>IF(F24=0,"0.0 ",ROUND((L24/H24),4))</f>
        <v>4.4504000000000001</v>
      </c>
      <c r="K24" s="46"/>
      <c r="L24" s="37">
        <f>'Rate GS IND'!L37</f>
        <v>1290968</v>
      </c>
      <c r="M24" s="37"/>
      <c r="N24" s="81">
        <f>ROUND((L24/L$26)*100,2)</f>
        <v>6.95</v>
      </c>
      <c r="O24" s="46"/>
      <c r="P24" s="37">
        <f>'Rate GS IND'!P37</f>
        <v>1178313</v>
      </c>
      <c r="Q24" s="37"/>
      <c r="R24" s="37">
        <f>'Rate GS IND'!R37</f>
        <v>2469281</v>
      </c>
    </row>
    <row r="25" spans="1:20" x14ac:dyDescent="0.3">
      <c r="A25" s="24">
        <v>6</v>
      </c>
      <c r="B25" s="25"/>
      <c r="C25" s="26" t="s">
        <v>119</v>
      </c>
      <c r="D25" s="26" t="s">
        <v>148</v>
      </c>
      <c r="E25" s="26"/>
      <c r="F25" s="36">
        <f>'Rate GS OPA'!F37</f>
        <v>2861</v>
      </c>
      <c r="G25" s="25"/>
      <c r="H25" s="36">
        <f>'Rate GS OPA'!H37</f>
        <v>330383</v>
      </c>
      <c r="I25" s="37"/>
      <c r="J25" s="91">
        <f>IF(F25=0,"0.0 ",ROUND((L25/H25),4))</f>
        <v>4.4433999999999996</v>
      </c>
      <c r="K25" s="46"/>
      <c r="L25" s="36">
        <f>'Rate GS OPA'!L37</f>
        <v>1468010</v>
      </c>
      <c r="M25" s="37"/>
      <c r="N25" s="82">
        <f>ROUND((L25/L$26)*100,2)</f>
        <v>7.9</v>
      </c>
      <c r="O25" s="46"/>
      <c r="P25" s="36">
        <f>'Rate GS OPA'!P37</f>
        <v>1342016</v>
      </c>
      <c r="Q25" s="37"/>
      <c r="R25" s="36">
        <f>'Rate GS OPA'!R37</f>
        <v>2810026</v>
      </c>
    </row>
    <row r="26" spans="1:20" ht="22.5" customHeight="1" x14ac:dyDescent="0.3">
      <c r="A26" s="24">
        <v>7</v>
      </c>
      <c r="B26" s="25"/>
      <c r="D26" s="177" t="s">
        <v>149</v>
      </c>
      <c r="E26" s="26"/>
      <c r="F26" s="116">
        <f>SUM(F23:F25)</f>
        <v>84020</v>
      </c>
      <c r="G26" s="25"/>
      <c r="H26" s="116">
        <f>SUM(H23:H25)</f>
        <v>3477472</v>
      </c>
      <c r="I26" s="37"/>
      <c r="J26" s="91">
        <f>IF(F26=0,"0.0 ",ROUND((L26/H26),4))</f>
        <v>5.3425000000000002</v>
      </c>
      <c r="K26" s="46"/>
      <c r="L26" s="116">
        <f>SUM(L23:L25)</f>
        <v>18578224</v>
      </c>
      <c r="M26" s="37"/>
      <c r="N26" s="117">
        <f>ROUND((L26/L$48)*100,2)</f>
        <v>20.75</v>
      </c>
      <c r="O26" s="46"/>
      <c r="P26" s="116">
        <f>SUM(P23:P25)</f>
        <v>14125491</v>
      </c>
      <c r="Q26" s="37"/>
      <c r="R26" s="116">
        <f>SUM(R23:R25)</f>
        <v>32703715</v>
      </c>
    </row>
    <row r="27" spans="1:20" x14ac:dyDescent="0.3">
      <c r="A27" s="24"/>
      <c r="B27" s="25"/>
      <c r="C27" s="26"/>
      <c r="D27" s="26"/>
      <c r="E27" s="26"/>
      <c r="F27" s="37"/>
      <c r="G27" s="25"/>
      <c r="H27" s="37"/>
      <c r="I27" s="37"/>
      <c r="J27" s="86"/>
      <c r="K27" s="46"/>
      <c r="L27" s="37"/>
      <c r="M27" s="37"/>
      <c r="N27" s="32"/>
      <c r="O27" s="46"/>
      <c r="P27" s="37"/>
      <c r="Q27" s="37"/>
      <c r="R27" s="37"/>
    </row>
    <row r="28" spans="1:20" ht="16.2" thickBot="1" x14ac:dyDescent="0.35">
      <c r="A28" s="24">
        <v>8</v>
      </c>
      <c r="B28" s="25"/>
      <c r="C28" s="191" t="s">
        <v>154</v>
      </c>
      <c r="D28" s="26"/>
      <c r="E28" s="26"/>
      <c r="F28" s="40">
        <f>F21+F26</f>
        <v>1214061</v>
      </c>
      <c r="G28" s="25"/>
      <c r="H28" s="40">
        <f>H21+H26</f>
        <v>9958951</v>
      </c>
      <c r="I28" s="37"/>
      <c r="J28" s="91">
        <f>IF(F28=0,"0.0 ",ROUND((L28/H28),4))</f>
        <v>8.1234000000000002</v>
      </c>
      <c r="K28" s="46"/>
      <c r="L28" s="40">
        <f>L21+L26</f>
        <v>80900305</v>
      </c>
      <c r="M28" s="37"/>
      <c r="N28" s="83">
        <f>ROUND((L28/L$48)*100,2)</f>
        <v>90.37</v>
      </c>
      <c r="O28" s="46"/>
      <c r="P28" s="40">
        <f>P21+P26</f>
        <v>40453259</v>
      </c>
      <c r="Q28" s="37"/>
      <c r="R28" s="40">
        <f>R21+R26</f>
        <v>121353564</v>
      </c>
    </row>
    <row r="29" spans="1:20" ht="16.2" thickTop="1" x14ac:dyDescent="0.3">
      <c r="A29" s="24"/>
      <c r="B29" s="25"/>
      <c r="C29" s="26"/>
      <c r="D29" s="26"/>
      <c r="E29" s="26"/>
      <c r="F29" s="32"/>
      <c r="G29" s="25"/>
      <c r="H29" s="32"/>
      <c r="I29" s="37"/>
      <c r="J29" s="86"/>
      <c r="K29" s="46"/>
      <c r="L29" s="32"/>
      <c r="M29" s="37"/>
      <c r="N29" s="32"/>
      <c r="O29" s="46"/>
      <c r="P29" s="32"/>
      <c r="Q29" s="37"/>
      <c r="R29" s="32"/>
    </row>
    <row r="30" spans="1:20" x14ac:dyDescent="0.3">
      <c r="A30" s="24">
        <v>9</v>
      </c>
      <c r="B30" s="25"/>
      <c r="C30" s="192" t="s">
        <v>151</v>
      </c>
      <c r="D30" s="26"/>
      <c r="E30" s="26"/>
      <c r="F30" s="32"/>
      <c r="G30" s="25"/>
      <c r="H30" s="32"/>
      <c r="I30" s="37"/>
      <c r="J30" s="86"/>
      <c r="K30" s="46"/>
      <c r="L30" s="32"/>
      <c r="M30" s="37"/>
      <c r="N30" s="32"/>
      <c r="O30" s="46"/>
      <c r="P30" s="32"/>
      <c r="Q30" s="37"/>
      <c r="R30" s="32"/>
    </row>
    <row r="31" spans="1:20" x14ac:dyDescent="0.3">
      <c r="A31" s="24">
        <v>10</v>
      </c>
      <c r="C31" s="26" t="s">
        <v>299</v>
      </c>
      <c r="D31" s="27" t="s">
        <v>171</v>
      </c>
      <c r="E31" s="26"/>
      <c r="F31" s="37">
        <f>'Rate FT-LG'!F34</f>
        <v>1092</v>
      </c>
      <c r="G31" s="25"/>
      <c r="H31" s="37">
        <f>'Rate FT-LG'!H34</f>
        <v>2736182</v>
      </c>
      <c r="I31" s="37"/>
      <c r="J31" s="91">
        <f>IF(F31=0,"0.0 ",ROUND((L31/H31),4))</f>
        <v>2.3054999999999999</v>
      </c>
      <c r="K31" s="46"/>
      <c r="L31" s="37">
        <f>'Rate FT-LG'!L34</f>
        <v>6308299</v>
      </c>
      <c r="M31" s="37"/>
      <c r="N31" s="81">
        <f>ROUND((L31/L$33)*100,2)</f>
        <v>75.48</v>
      </c>
      <c r="O31" s="46"/>
      <c r="P31" s="37">
        <f>'Rate FT-LG'!P34</f>
        <v>-7935</v>
      </c>
      <c r="Q31" s="37"/>
      <c r="R31" s="37">
        <f>'Rate FT-LG'!R34</f>
        <v>6300364</v>
      </c>
      <c r="T31" s="55"/>
    </row>
    <row r="32" spans="1:20" x14ac:dyDescent="0.3">
      <c r="A32" s="24">
        <v>11</v>
      </c>
      <c r="C32" s="21" t="s">
        <v>156</v>
      </c>
      <c r="D32" s="26" t="s">
        <v>303</v>
      </c>
      <c r="E32" s="26"/>
      <c r="F32" s="37">
        <f>'Rate IT'!F34</f>
        <v>264</v>
      </c>
      <c r="G32" s="25"/>
      <c r="H32" s="37">
        <f>'Rate IT'!H34</f>
        <v>1672200</v>
      </c>
      <c r="I32" s="37"/>
      <c r="J32" s="91">
        <f>IF(F32=0,"0.0 ",ROUND((L32/H32),4))</f>
        <v>1.2252000000000001</v>
      </c>
      <c r="K32" s="46"/>
      <c r="L32" s="37">
        <f>'Rate IT'!L34</f>
        <v>2048757</v>
      </c>
      <c r="M32" s="37"/>
      <c r="N32" s="81">
        <f>ROUND((L32/L$33)*100,2)</f>
        <v>24.52</v>
      </c>
      <c r="O32" s="46"/>
      <c r="P32" s="37">
        <f>'Rate IT'!P34</f>
        <v>0</v>
      </c>
      <c r="Q32" s="37"/>
      <c r="R32" s="37">
        <f>'Rate IT'!R34</f>
        <v>2048757</v>
      </c>
    </row>
    <row r="33" spans="1:18" ht="22.5" customHeight="1" thickBot="1" x14ac:dyDescent="0.35">
      <c r="A33" s="24">
        <v>12</v>
      </c>
      <c r="B33" s="25"/>
      <c r="C33" s="191" t="s">
        <v>152</v>
      </c>
      <c r="D33" s="25"/>
      <c r="E33" s="25"/>
      <c r="F33" s="84">
        <f>SUM(F31:F32)</f>
        <v>1356</v>
      </c>
      <c r="G33" s="25"/>
      <c r="H33" s="84">
        <f>SUM(H31:H32)</f>
        <v>4408382</v>
      </c>
      <c r="I33" s="37"/>
      <c r="J33" s="91">
        <f>IF(F33=0,"0.0 ",ROUND((L33/H33),4))</f>
        <v>1.8956999999999999</v>
      </c>
      <c r="K33" s="46"/>
      <c r="L33" s="84">
        <f>SUM(L31:L32)</f>
        <v>8357056</v>
      </c>
      <c r="M33" s="37"/>
      <c r="N33" s="85">
        <f>ROUND((L33/L$48)*100,2)</f>
        <v>9.34</v>
      </c>
      <c r="O33" s="46"/>
      <c r="P33" s="84">
        <f>SUM(P31:P32)</f>
        <v>-7935</v>
      </c>
      <c r="Q33" s="37"/>
      <c r="R33" s="84">
        <f>SUM(R31:R32)</f>
        <v>8349121</v>
      </c>
    </row>
    <row r="34" spans="1:18" ht="22.5" customHeight="1" thickTop="1" thickBot="1" x14ac:dyDescent="0.35">
      <c r="A34" s="24">
        <v>13</v>
      </c>
      <c r="B34" s="25"/>
      <c r="C34" s="133" t="s">
        <v>200</v>
      </c>
      <c r="D34" s="184"/>
      <c r="E34" s="25"/>
      <c r="F34" s="134">
        <f>F28+F33</f>
        <v>1215417</v>
      </c>
      <c r="G34" s="25"/>
      <c r="H34" s="134">
        <f>H28+H33</f>
        <v>14367333</v>
      </c>
      <c r="I34" s="37"/>
      <c r="J34" s="91">
        <f>IF(F34=0,"0.0 ",ROUND((L34/H34),4))</f>
        <v>6.2125000000000004</v>
      </c>
      <c r="K34" s="46"/>
      <c r="L34" s="134">
        <f>L28+L33</f>
        <v>89257361</v>
      </c>
      <c r="M34" s="37"/>
      <c r="N34" s="146">
        <f>N28+N33</f>
        <v>99.710000000000008</v>
      </c>
      <c r="O34" s="46"/>
      <c r="P34" s="134">
        <f>P28+P33</f>
        <v>40445324</v>
      </c>
      <c r="Q34" s="37"/>
      <c r="R34" s="134">
        <f>R28+R33</f>
        <v>129702685</v>
      </c>
    </row>
    <row r="35" spans="1:18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86"/>
      <c r="K35" s="46"/>
      <c r="L35" s="37"/>
      <c r="M35" s="37"/>
      <c r="N35" s="81"/>
      <c r="O35" s="46"/>
      <c r="P35" s="37"/>
      <c r="Q35" s="37"/>
      <c r="R35" s="37"/>
    </row>
    <row r="36" spans="1:18" x14ac:dyDescent="0.3">
      <c r="A36" s="24">
        <v>14</v>
      </c>
      <c r="B36" s="25"/>
      <c r="C36" s="183" t="s">
        <v>153</v>
      </c>
      <c r="D36" s="25"/>
      <c r="E36" s="25"/>
      <c r="F36" s="37"/>
      <c r="G36" s="25"/>
      <c r="H36" s="37"/>
      <c r="I36" s="37"/>
      <c r="J36" s="86"/>
      <c r="K36" s="46"/>
      <c r="L36" s="37"/>
      <c r="M36" s="37"/>
      <c r="N36" s="81"/>
      <c r="O36" s="46"/>
      <c r="P36" s="37"/>
      <c r="Q36" s="37"/>
      <c r="R36" s="37"/>
    </row>
    <row r="37" spans="1:18" x14ac:dyDescent="0.3">
      <c r="A37" s="24">
        <v>15</v>
      </c>
      <c r="B37" s="25"/>
      <c r="C37" s="27" t="s">
        <v>139</v>
      </c>
      <c r="E37" s="26"/>
      <c r="F37" s="37">
        <v>0</v>
      </c>
      <c r="G37" s="25"/>
      <c r="H37" s="37">
        <v>0</v>
      </c>
      <c r="I37" s="37"/>
      <c r="J37" s="91"/>
      <c r="K37" s="46"/>
      <c r="L37" s="163">
        <v>0</v>
      </c>
      <c r="M37" s="72"/>
      <c r="N37" s="81">
        <f t="shared" ref="N37:N45" si="0">ROUND((L37/L$46)*100,2)</f>
        <v>0</v>
      </c>
      <c r="O37" s="46"/>
      <c r="P37" s="37">
        <v>0</v>
      </c>
      <c r="Q37" s="37"/>
      <c r="R37" s="165">
        <f t="shared" ref="R37:R45" si="1">L37+P37</f>
        <v>0</v>
      </c>
    </row>
    <row r="38" spans="1:18" x14ac:dyDescent="0.3">
      <c r="A38" s="24">
        <v>16</v>
      </c>
      <c r="B38" s="25"/>
      <c r="C38" s="27" t="s">
        <v>140</v>
      </c>
      <c r="E38" s="26"/>
      <c r="F38" s="37">
        <v>0</v>
      </c>
      <c r="G38" s="25"/>
      <c r="H38" s="37">
        <v>0</v>
      </c>
      <c r="I38" s="37"/>
      <c r="J38" s="91"/>
      <c r="K38" s="46"/>
      <c r="L38" s="163">
        <f>'SCH M-2.2'!L38</f>
        <v>27420</v>
      </c>
      <c r="M38" s="72"/>
      <c r="N38" s="81">
        <f t="shared" si="0"/>
        <v>10.45</v>
      </c>
      <c r="O38" s="46"/>
      <c r="P38" s="37">
        <v>0</v>
      </c>
      <c r="Q38" s="37"/>
      <c r="R38" s="165">
        <f t="shared" si="1"/>
        <v>27420</v>
      </c>
    </row>
    <row r="39" spans="1:18" x14ac:dyDescent="0.3">
      <c r="A39" s="24">
        <v>17</v>
      </c>
      <c r="B39" s="25"/>
      <c r="C39" s="27" t="s">
        <v>180</v>
      </c>
      <c r="E39" s="26"/>
      <c r="F39" s="37">
        <v>0</v>
      </c>
      <c r="G39" s="25"/>
      <c r="H39" s="37">
        <v>0</v>
      </c>
      <c r="I39" s="37"/>
      <c r="J39" s="91"/>
      <c r="K39" s="46"/>
      <c r="L39" s="163">
        <f>'SCH M-2.2'!L39+4673</f>
        <v>28037</v>
      </c>
      <c r="M39" s="72"/>
      <c r="N39" s="81">
        <f t="shared" si="0"/>
        <v>10.69</v>
      </c>
      <c r="O39" s="46"/>
      <c r="P39" s="37">
        <v>0</v>
      </c>
      <c r="Q39" s="37"/>
      <c r="R39" s="165">
        <f t="shared" si="1"/>
        <v>28037</v>
      </c>
    </row>
    <row r="40" spans="1:18" x14ac:dyDescent="0.3">
      <c r="A40" s="24">
        <v>18</v>
      </c>
      <c r="B40" s="25"/>
      <c r="C40" s="27" t="s">
        <v>311</v>
      </c>
      <c r="E40" s="26"/>
      <c r="F40" s="37">
        <v>0</v>
      </c>
      <c r="G40" s="25"/>
      <c r="H40" s="37">
        <v>0</v>
      </c>
      <c r="I40" s="37"/>
      <c r="J40" s="91"/>
      <c r="K40" s="46"/>
      <c r="L40" s="163">
        <f>'SCH M-2.2'!L40</f>
        <v>684</v>
      </c>
      <c r="M40" s="72"/>
      <c r="N40" s="81">
        <f t="shared" si="0"/>
        <v>0.26</v>
      </c>
      <c r="O40" s="46"/>
      <c r="P40" s="37">
        <v>0</v>
      </c>
      <c r="Q40" s="37"/>
      <c r="R40" s="165">
        <f t="shared" si="1"/>
        <v>684</v>
      </c>
    </row>
    <row r="41" spans="1:18" x14ac:dyDescent="0.3">
      <c r="A41" s="24">
        <v>19</v>
      </c>
      <c r="B41" s="25"/>
      <c r="C41" s="26" t="s">
        <v>128</v>
      </c>
      <c r="E41" s="26"/>
      <c r="F41" s="37">
        <f>'SCH M-2.2'!F41</f>
        <v>0</v>
      </c>
      <c r="G41" s="25"/>
      <c r="H41" s="37">
        <f>'SCH M-2.2'!H41</f>
        <v>4158</v>
      </c>
      <c r="I41" s="37"/>
      <c r="J41" s="91"/>
      <c r="K41" s="46"/>
      <c r="L41" s="163">
        <f>R41-P41</f>
        <v>15006.686644385147</v>
      </c>
      <c r="M41" s="72"/>
      <c r="N41" s="81">
        <f t="shared" si="0"/>
        <v>5.72</v>
      </c>
      <c r="O41" s="46"/>
      <c r="P41" s="37">
        <f>'SCH M-2.2'!T41</f>
        <v>16890</v>
      </c>
      <c r="Q41" s="37"/>
      <c r="R41" s="165">
        <f>'Proposed Rates'!G30</f>
        <v>31896.686644385147</v>
      </c>
    </row>
    <row r="42" spans="1:18" x14ac:dyDescent="0.3">
      <c r="A42" s="24">
        <v>20</v>
      </c>
      <c r="B42" s="25"/>
      <c r="C42" s="26" t="s">
        <v>312</v>
      </c>
      <c r="E42" s="26"/>
      <c r="F42" s="37">
        <f>'SCH M-2.2'!F42</f>
        <v>0</v>
      </c>
      <c r="G42" s="25"/>
      <c r="H42" s="37">
        <f>'SCH M-2.2'!H42</f>
        <v>0</v>
      </c>
      <c r="I42" s="37"/>
      <c r="J42" s="91"/>
      <c r="K42" s="46"/>
      <c r="L42" s="163">
        <f>'Proposed Rates'!K31</f>
        <v>190660.96340000012</v>
      </c>
      <c r="M42" s="72"/>
      <c r="N42" s="81">
        <f t="shared" si="0"/>
        <v>72.680000000000007</v>
      </c>
      <c r="O42" s="46"/>
      <c r="P42" s="37">
        <v>0</v>
      </c>
      <c r="Q42" s="37"/>
      <c r="R42" s="165">
        <f t="shared" si="1"/>
        <v>190660.96340000012</v>
      </c>
    </row>
    <row r="43" spans="1:18" x14ac:dyDescent="0.3">
      <c r="A43" s="24">
        <v>21</v>
      </c>
      <c r="B43" s="25"/>
      <c r="C43" s="26" t="s">
        <v>233</v>
      </c>
      <c r="E43" s="26"/>
      <c r="F43" s="37">
        <v>0</v>
      </c>
      <c r="G43" s="25"/>
      <c r="H43" s="37">
        <f>'SCH M-2.2'!H43</f>
        <v>0</v>
      </c>
      <c r="I43" s="37"/>
      <c r="J43" s="91"/>
      <c r="K43" s="46"/>
      <c r="L43" s="163">
        <f>'SCH M-2.2'!L43</f>
        <v>0</v>
      </c>
      <c r="M43" s="72"/>
      <c r="N43" s="81">
        <f t="shared" si="0"/>
        <v>0</v>
      </c>
      <c r="O43" s="46"/>
      <c r="P43" s="37">
        <v>0</v>
      </c>
      <c r="Q43" s="37"/>
      <c r="R43" s="165">
        <f t="shared" si="1"/>
        <v>0</v>
      </c>
    </row>
    <row r="44" spans="1:18" x14ac:dyDescent="0.3">
      <c r="A44" s="24">
        <v>22</v>
      </c>
      <c r="B44" s="25"/>
      <c r="C44" s="26" t="s">
        <v>234</v>
      </c>
      <c r="E44" s="26"/>
      <c r="F44" s="37">
        <v>0</v>
      </c>
      <c r="G44" s="25"/>
      <c r="H44" s="37">
        <f>'SCH M-2.2'!H44</f>
        <v>0</v>
      </c>
      <c r="I44" s="37"/>
      <c r="J44" s="91"/>
      <c r="K44" s="46"/>
      <c r="L44" s="163">
        <f>'SCH M-2.2'!L44</f>
        <v>0</v>
      </c>
      <c r="M44" s="72"/>
      <c r="N44" s="81">
        <f t="shared" si="0"/>
        <v>0</v>
      </c>
      <c r="O44" s="46"/>
      <c r="P44" s="37">
        <v>0</v>
      </c>
      <c r="Q44" s="37"/>
      <c r="R44" s="165">
        <f t="shared" si="1"/>
        <v>0</v>
      </c>
    </row>
    <row r="45" spans="1:18" x14ac:dyDescent="0.3">
      <c r="A45" s="24">
        <v>23</v>
      </c>
      <c r="B45" s="25"/>
      <c r="C45" s="26" t="s">
        <v>53</v>
      </c>
      <c r="E45" s="26"/>
      <c r="F45" s="36">
        <v>0</v>
      </c>
      <c r="G45" s="25"/>
      <c r="H45" s="37">
        <v>0</v>
      </c>
      <c r="I45" s="37"/>
      <c r="J45" s="91"/>
      <c r="K45" s="46"/>
      <c r="L45" s="163">
        <f>'SCH M-2.2'!L45</f>
        <v>528</v>
      </c>
      <c r="M45" s="72"/>
      <c r="N45" s="81">
        <f t="shared" si="0"/>
        <v>0.2</v>
      </c>
      <c r="O45" s="46"/>
      <c r="P45" s="37">
        <v>0</v>
      </c>
      <c r="Q45" s="37"/>
      <c r="R45" s="165">
        <f t="shared" si="1"/>
        <v>528</v>
      </c>
    </row>
    <row r="46" spans="1:18" ht="22.5" customHeight="1" thickBot="1" x14ac:dyDescent="0.35">
      <c r="A46" s="24">
        <v>24</v>
      </c>
      <c r="B46" s="25"/>
      <c r="C46" s="177" t="s">
        <v>54</v>
      </c>
      <c r="D46" s="25"/>
      <c r="E46" s="25"/>
      <c r="F46" s="84">
        <f>SUM(F37:F45)</f>
        <v>0</v>
      </c>
      <c r="G46" s="25"/>
      <c r="H46" s="84">
        <f>SUM(H37:H45)</f>
        <v>4158</v>
      </c>
      <c r="I46" s="37"/>
      <c r="J46" s="91"/>
      <c r="K46" s="46"/>
      <c r="L46" s="164">
        <f>SUM(L37:L45)</f>
        <v>262336.65004438529</v>
      </c>
      <c r="M46" s="37"/>
      <c r="N46" s="85">
        <f>ROUND((L46/L$48)*100,2)</f>
        <v>0.28999999999999998</v>
      </c>
      <c r="O46" s="46"/>
      <c r="P46" s="84">
        <f>SUM(P37:P45)</f>
        <v>16890</v>
      </c>
      <c r="Q46" s="37"/>
      <c r="R46" s="164">
        <f>SUM(R37:R45)</f>
        <v>279226.65004438529</v>
      </c>
    </row>
    <row r="47" spans="1:18" ht="16.2" thickTop="1" x14ac:dyDescent="0.3">
      <c r="A47" s="25"/>
      <c r="B47" s="25"/>
      <c r="C47" s="25"/>
      <c r="D47" s="25"/>
      <c r="E47" s="25"/>
      <c r="F47" s="37"/>
      <c r="G47" s="25"/>
      <c r="H47" s="37"/>
      <c r="I47" s="37"/>
      <c r="J47" s="86"/>
      <c r="K47" s="46"/>
      <c r="L47" s="37"/>
      <c r="M47" s="37"/>
      <c r="N47" s="81"/>
      <c r="O47" s="46"/>
      <c r="P47" s="37"/>
      <c r="Q47" s="37"/>
      <c r="R47" s="37"/>
    </row>
    <row r="48" spans="1:18" ht="16.2" thickBot="1" x14ac:dyDescent="0.35">
      <c r="A48" s="24">
        <v>25</v>
      </c>
      <c r="B48" s="25"/>
      <c r="C48" s="191" t="s">
        <v>155</v>
      </c>
      <c r="D48" s="25"/>
      <c r="E48" s="25"/>
      <c r="F48" s="40">
        <f>F28+F33+F46</f>
        <v>1215417</v>
      </c>
      <c r="G48" s="25"/>
      <c r="H48" s="40">
        <f>H28+H33+H46</f>
        <v>14371491</v>
      </c>
      <c r="I48" s="37"/>
      <c r="J48" s="86">
        <f>IF(F48=0,"0.0 ",ROUND((L48/H48),4))</f>
        <v>6.2290000000000001</v>
      </c>
      <c r="K48" s="46"/>
      <c r="L48" s="40">
        <f>L28+L33+L46</f>
        <v>89519697.650044382</v>
      </c>
      <c r="M48" s="37"/>
      <c r="N48" s="83">
        <v>100</v>
      </c>
      <c r="O48" s="46"/>
      <c r="P48" s="40">
        <f>P28+P33+P46</f>
        <v>40462214</v>
      </c>
      <c r="Q48" s="37"/>
      <c r="R48" s="40">
        <f>R28+R33+R46</f>
        <v>129981911.65004438</v>
      </c>
    </row>
    <row r="49" spans="1:18" ht="16.2" thickTop="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86"/>
      <c r="K49" s="25"/>
      <c r="L49" s="25"/>
      <c r="M49" s="25"/>
      <c r="N49" s="25"/>
      <c r="O49" s="25"/>
      <c r="P49" s="25"/>
      <c r="Q49" s="25"/>
      <c r="R49" s="25"/>
    </row>
    <row r="50" spans="1:18" x14ac:dyDescent="0.3">
      <c r="A50" s="25"/>
      <c r="B50" s="25"/>
      <c r="C50" s="27" t="s">
        <v>182</v>
      </c>
      <c r="D50" s="25"/>
      <c r="E50" s="25"/>
      <c r="F50" s="25"/>
      <c r="G50" s="25"/>
      <c r="H50" s="25"/>
      <c r="I50" s="25"/>
      <c r="J50" s="86"/>
      <c r="K50" s="25"/>
      <c r="L50" s="25"/>
      <c r="M50" s="25"/>
      <c r="N50" s="25"/>
      <c r="O50" s="25"/>
      <c r="P50" s="25"/>
      <c r="Q50" s="25"/>
      <c r="R50" s="25"/>
    </row>
    <row r="51" spans="1:18" x14ac:dyDescent="0.3">
      <c r="A51" s="25"/>
      <c r="B51" s="25"/>
      <c r="C51" s="42" t="s">
        <v>118</v>
      </c>
      <c r="D51" s="25"/>
      <c r="E51" s="25"/>
      <c r="F51" s="25"/>
      <c r="G51" s="25"/>
      <c r="H51" s="25"/>
      <c r="I51" s="25"/>
      <c r="J51" s="86"/>
      <c r="K51" s="25"/>
      <c r="L51" s="25"/>
      <c r="M51" s="25"/>
      <c r="N51" s="25"/>
      <c r="O51" s="25"/>
      <c r="P51" s="25"/>
      <c r="Q51" s="25"/>
      <c r="R51" s="25"/>
    </row>
    <row r="52" spans="1:18" x14ac:dyDescent="0.3">
      <c r="A52" s="25"/>
      <c r="B52" s="25"/>
      <c r="C52" s="26" t="str">
        <f>"(3) REFLECTS AVERAGE EXPECTED GAS COST OF "&amp;TEXT(EGC,"$0.000")&amp;"/MCF."</f>
        <v>(3) REFLECTS AVERAGE EXPECTED GAS COST OF $4.062/MCF.</v>
      </c>
      <c r="D52" s="25"/>
      <c r="E52" s="25"/>
      <c r="F52" s="25"/>
      <c r="G52" s="25"/>
      <c r="H52" s="89"/>
      <c r="I52" s="42"/>
      <c r="J52" s="86"/>
      <c r="K52" s="25"/>
      <c r="L52" s="37"/>
      <c r="M52" s="37"/>
      <c r="N52" s="25"/>
      <c r="O52" s="25"/>
      <c r="P52" s="37"/>
      <c r="Q52" s="37"/>
      <c r="R52" s="37"/>
    </row>
    <row r="53" spans="1:18" x14ac:dyDescent="0.3">
      <c r="A53" s="26"/>
      <c r="B53" s="25"/>
      <c r="C53" s="130"/>
      <c r="D53" s="25"/>
      <c r="E53" s="25"/>
      <c r="F53" s="25"/>
      <c r="G53" s="25"/>
      <c r="H53" s="25"/>
      <c r="I53" s="25"/>
      <c r="J53" s="87"/>
      <c r="K53" s="25"/>
      <c r="L53" s="37"/>
      <c r="M53" s="37"/>
      <c r="N53" s="25"/>
      <c r="O53" s="25"/>
      <c r="P53" s="37"/>
      <c r="Q53" s="37"/>
      <c r="R53" s="37"/>
    </row>
    <row r="54" spans="1:18" x14ac:dyDescent="0.3">
      <c r="A54" s="25"/>
      <c r="B54" s="25"/>
      <c r="C54" s="25"/>
      <c r="D54" s="25"/>
      <c r="E54" s="25"/>
      <c r="F54" s="25"/>
      <c r="G54" s="25"/>
      <c r="H54" s="25"/>
      <c r="I54" s="25"/>
      <c r="J54" s="87"/>
      <c r="K54" s="25"/>
      <c r="L54" s="37"/>
      <c r="M54" s="37"/>
      <c r="N54" s="25"/>
      <c r="O54" s="25"/>
      <c r="P54" s="37"/>
      <c r="Q54" s="37"/>
      <c r="R54" s="37"/>
    </row>
    <row r="55" spans="1:18" x14ac:dyDescent="0.3">
      <c r="A55" s="25"/>
      <c r="B55" s="25"/>
      <c r="C55" s="25"/>
      <c r="D55" s="25"/>
      <c r="E55" s="25"/>
      <c r="F55" s="25"/>
      <c r="G55" s="25"/>
      <c r="H55" s="25"/>
      <c r="I55" s="25"/>
      <c r="J55" s="87"/>
      <c r="K55" s="25"/>
      <c r="L55" s="37"/>
      <c r="M55" s="37"/>
      <c r="N55" s="25"/>
      <c r="O55" s="25"/>
      <c r="P55" s="37"/>
      <c r="Q55" s="37"/>
      <c r="R55" s="37"/>
    </row>
    <row r="56" spans="1:18" x14ac:dyDescent="0.3">
      <c r="A56" s="25"/>
      <c r="B56" s="25"/>
      <c r="C56" s="25"/>
      <c r="D56" s="25"/>
      <c r="E56" s="25"/>
      <c r="F56" s="25"/>
      <c r="G56" s="25"/>
      <c r="H56" s="25"/>
      <c r="I56" s="25"/>
      <c r="J56" s="87"/>
      <c r="K56" s="25"/>
      <c r="L56" s="37"/>
      <c r="M56" s="37"/>
      <c r="N56" s="25"/>
      <c r="O56" s="25"/>
      <c r="P56" s="37"/>
      <c r="Q56" s="37"/>
      <c r="R56" s="37"/>
    </row>
    <row r="57" spans="1:18" x14ac:dyDescent="0.3">
      <c r="A57" s="25"/>
      <c r="B57" s="25"/>
      <c r="C57" s="25"/>
      <c r="D57" s="25"/>
      <c r="E57" s="25"/>
      <c r="F57" s="25"/>
      <c r="G57" s="25"/>
      <c r="H57" s="25"/>
      <c r="I57" s="25"/>
      <c r="J57" s="87"/>
      <c r="K57" s="25"/>
      <c r="L57" s="37"/>
      <c r="M57" s="37"/>
      <c r="N57" s="25"/>
      <c r="O57" s="25"/>
      <c r="P57" s="37"/>
      <c r="Q57" s="37"/>
      <c r="R57" s="37"/>
    </row>
    <row r="58" spans="1:18" x14ac:dyDescent="0.3">
      <c r="A58" s="25"/>
      <c r="B58" s="25"/>
      <c r="C58" s="25"/>
      <c r="D58" s="25"/>
      <c r="E58" s="25"/>
      <c r="F58" s="25"/>
      <c r="G58" s="25"/>
      <c r="H58" s="25"/>
      <c r="I58" s="25"/>
      <c r="J58" s="87"/>
      <c r="K58" s="25"/>
      <c r="L58" s="37"/>
      <c r="M58" s="37"/>
      <c r="N58" s="25"/>
      <c r="O58" s="25"/>
      <c r="P58" s="37"/>
      <c r="Q58" s="37"/>
      <c r="R58" s="37"/>
    </row>
    <row r="59" spans="1:18" x14ac:dyDescent="0.3">
      <c r="A59" s="25"/>
      <c r="B59" s="25"/>
      <c r="C59" s="25"/>
      <c r="D59" s="25"/>
      <c r="E59" s="25"/>
      <c r="F59" s="25"/>
      <c r="G59" s="25"/>
      <c r="H59" s="25"/>
      <c r="I59" s="25"/>
      <c r="J59" s="87"/>
      <c r="K59" s="25"/>
      <c r="L59" s="25"/>
      <c r="M59" s="25"/>
      <c r="N59" s="25"/>
      <c r="O59" s="25"/>
      <c r="P59" s="25"/>
      <c r="Q59" s="25"/>
      <c r="R59" s="25"/>
    </row>
    <row r="60" spans="1:18" x14ac:dyDescent="0.3">
      <c r="A60" s="25"/>
      <c r="B60" s="25"/>
      <c r="C60" s="25"/>
      <c r="D60" s="25"/>
      <c r="E60" s="25"/>
      <c r="F60" s="25"/>
      <c r="G60" s="25"/>
      <c r="H60" s="25"/>
      <c r="I60" s="25"/>
      <c r="J60" s="87"/>
      <c r="K60" s="25"/>
      <c r="L60" s="25"/>
      <c r="M60" s="25"/>
      <c r="N60" s="25"/>
      <c r="O60" s="25"/>
      <c r="P60" s="25"/>
      <c r="Q60" s="25"/>
      <c r="R60" s="25"/>
    </row>
    <row r="61" spans="1:18" x14ac:dyDescent="0.3">
      <c r="A61" s="25"/>
      <c r="B61" s="25"/>
      <c r="C61" s="25"/>
      <c r="D61" s="25"/>
      <c r="E61" s="25"/>
      <c r="F61" s="25"/>
      <c r="G61" s="25"/>
      <c r="H61" s="25"/>
      <c r="I61" s="25"/>
      <c r="J61" s="87"/>
      <c r="K61" s="25"/>
      <c r="L61" s="25"/>
      <c r="M61" s="25"/>
      <c r="N61" s="25"/>
      <c r="O61" s="25"/>
      <c r="P61" s="25"/>
      <c r="Q61" s="25"/>
      <c r="R61" s="25"/>
    </row>
    <row r="62" spans="1:18" x14ac:dyDescent="0.3">
      <c r="A62" s="25"/>
      <c r="B62" s="25"/>
      <c r="C62" s="25"/>
      <c r="D62" s="25"/>
      <c r="E62" s="25"/>
      <c r="F62" s="25"/>
      <c r="G62" s="25"/>
      <c r="H62" s="25"/>
      <c r="I62" s="25"/>
      <c r="J62" s="87"/>
      <c r="K62" s="25"/>
      <c r="L62" s="25"/>
      <c r="M62" s="25"/>
      <c r="N62" s="25"/>
      <c r="O62" s="25"/>
      <c r="P62" s="25"/>
      <c r="Q62" s="25"/>
      <c r="R62" s="25"/>
    </row>
    <row r="63" spans="1:18" x14ac:dyDescent="0.3">
      <c r="A63" s="25"/>
      <c r="B63" s="25"/>
      <c r="C63" s="25"/>
      <c r="D63" s="25"/>
      <c r="E63" s="25"/>
      <c r="F63" s="25"/>
      <c r="G63" s="25"/>
      <c r="H63" s="25"/>
      <c r="I63" s="25"/>
      <c r="J63" s="87"/>
      <c r="K63" s="25"/>
      <c r="L63" s="25"/>
      <c r="M63" s="25"/>
      <c r="N63" s="25"/>
      <c r="O63" s="25"/>
      <c r="P63" s="25"/>
      <c r="Q63" s="25"/>
      <c r="R63" s="25"/>
    </row>
    <row r="64" spans="1:18" x14ac:dyDescent="0.3">
      <c r="A64" s="25"/>
      <c r="B64" s="25"/>
      <c r="C64" s="25"/>
      <c r="D64" s="25"/>
      <c r="E64" s="25"/>
      <c r="F64" s="25"/>
      <c r="G64" s="25"/>
      <c r="H64" s="25"/>
      <c r="I64" s="25"/>
      <c r="J64" s="87"/>
      <c r="K64" s="25"/>
      <c r="L64" s="25"/>
      <c r="M64" s="25"/>
      <c r="N64" s="25"/>
      <c r="O64" s="25"/>
      <c r="P64" s="25"/>
      <c r="Q64" s="25"/>
      <c r="R64" s="25"/>
    </row>
    <row r="65" spans="1:18" x14ac:dyDescent="0.3">
      <c r="A65" s="25"/>
      <c r="B65" s="25"/>
      <c r="C65" s="25"/>
      <c r="D65" s="25"/>
      <c r="E65" s="25"/>
      <c r="F65" s="25"/>
      <c r="G65" s="25"/>
      <c r="H65" s="25"/>
      <c r="I65" s="25"/>
      <c r="J65" s="87"/>
      <c r="K65" s="25"/>
      <c r="L65" s="25"/>
      <c r="M65" s="25"/>
      <c r="N65" s="25"/>
      <c r="O65" s="25"/>
      <c r="P65" s="25"/>
      <c r="Q65" s="25"/>
      <c r="R65" s="25"/>
    </row>
    <row r="66" spans="1:18" x14ac:dyDescent="0.3">
      <c r="A66" s="25"/>
      <c r="B66" s="25"/>
      <c r="C66" s="25"/>
      <c r="D66" s="25"/>
      <c r="E66" s="25"/>
      <c r="F66" s="25"/>
      <c r="G66" s="25"/>
      <c r="H66" s="25"/>
      <c r="I66" s="25"/>
      <c r="J66" s="87"/>
      <c r="K66" s="25"/>
      <c r="L66" s="25"/>
      <c r="M66" s="25"/>
      <c r="N66" s="25"/>
      <c r="O66" s="25"/>
      <c r="P66" s="25"/>
      <c r="Q66" s="25"/>
      <c r="R66" s="25"/>
    </row>
    <row r="67" spans="1:18" x14ac:dyDescent="0.3">
      <c r="A67" s="25"/>
      <c r="B67" s="25"/>
      <c r="C67" s="25"/>
      <c r="D67" s="25"/>
      <c r="E67" s="25"/>
      <c r="F67" s="25"/>
      <c r="G67" s="25"/>
      <c r="H67" s="25"/>
      <c r="I67" s="25"/>
      <c r="J67" s="87"/>
      <c r="K67" s="25"/>
      <c r="L67" s="25"/>
      <c r="M67" s="25"/>
      <c r="N67" s="25"/>
      <c r="O67" s="25"/>
      <c r="P67" s="25"/>
      <c r="Q67" s="25"/>
      <c r="R67" s="25"/>
    </row>
    <row r="68" spans="1:18" x14ac:dyDescent="0.3">
      <c r="A68" s="25"/>
      <c r="B68" s="25"/>
      <c r="C68" s="25"/>
      <c r="D68" s="25"/>
      <c r="E68" s="25"/>
      <c r="F68" s="25"/>
      <c r="G68" s="25"/>
      <c r="H68" s="25"/>
      <c r="I68" s="25"/>
      <c r="J68" s="87"/>
      <c r="K68" s="25"/>
      <c r="L68" s="25"/>
      <c r="M68" s="25"/>
      <c r="N68" s="25"/>
      <c r="O68" s="25"/>
      <c r="P68" s="25"/>
      <c r="Q68" s="25"/>
      <c r="R68" s="25"/>
    </row>
    <row r="69" spans="1:18" x14ac:dyDescent="0.3">
      <c r="A69" s="25"/>
      <c r="B69" s="25"/>
      <c r="C69" s="25"/>
      <c r="D69" s="25"/>
      <c r="E69" s="25"/>
      <c r="F69" s="25"/>
      <c r="G69" s="25"/>
      <c r="H69" s="25"/>
      <c r="I69" s="25"/>
      <c r="J69" s="87"/>
      <c r="K69" s="25"/>
      <c r="L69" s="25"/>
      <c r="M69" s="25"/>
      <c r="N69" s="25"/>
      <c r="O69" s="25"/>
      <c r="P69" s="25"/>
      <c r="Q69" s="25"/>
      <c r="R69" s="25"/>
    </row>
    <row r="70" spans="1:18" x14ac:dyDescent="0.3">
      <c r="A70" s="25"/>
      <c r="B70" s="25"/>
      <c r="C70" s="25"/>
      <c r="D70" s="25"/>
      <c r="E70" s="25"/>
      <c r="F70" s="25"/>
      <c r="G70" s="25"/>
      <c r="H70" s="25"/>
      <c r="I70" s="25"/>
      <c r="J70" s="87"/>
      <c r="K70" s="25"/>
      <c r="L70" s="25"/>
      <c r="M70" s="25"/>
      <c r="N70" s="25"/>
      <c r="O70" s="25"/>
      <c r="P70" s="25"/>
      <c r="Q70" s="25"/>
      <c r="R70" s="25"/>
    </row>
    <row r="71" spans="1:18" x14ac:dyDescent="0.3">
      <c r="A71" s="25"/>
      <c r="B71" s="25"/>
      <c r="C71" s="25"/>
      <c r="D71" s="25"/>
      <c r="E71" s="25"/>
      <c r="F71" s="25"/>
      <c r="G71" s="25"/>
      <c r="H71" s="25"/>
      <c r="I71" s="25"/>
      <c r="J71" s="87"/>
      <c r="K71" s="25"/>
      <c r="L71" s="25"/>
      <c r="M71" s="25"/>
      <c r="N71" s="25"/>
      <c r="O71" s="25"/>
      <c r="P71" s="25"/>
      <c r="Q71" s="25"/>
      <c r="R71" s="25"/>
    </row>
    <row r="72" spans="1:18" x14ac:dyDescent="0.3">
      <c r="A72" s="25"/>
      <c r="B72" s="25"/>
      <c r="C72" s="25"/>
      <c r="D72" s="25"/>
      <c r="E72" s="25"/>
      <c r="F72" s="25"/>
      <c r="G72" s="25"/>
      <c r="H72" s="25"/>
      <c r="I72" s="25"/>
      <c r="J72" s="87"/>
      <c r="K72" s="25"/>
      <c r="L72" s="25"/>
      <c r="M72" s="25"/>
      <c r="N72" s="25"/>
      <c r="O72" s="25"/>
      <c r="P72" s="25"/>
      <c r="Q72" s="25"/>
      <c r="R72" s="25"/>
    </row>
    <row r="73" spans="1:18" x14ac:dyDescent="0.3">
      <c r="A73" s="25"/>
      <c r="B73" s="25"/>
      <c r="C73" s="25"/>
      <c r="D73" s="25"/>
      <c r="E73" s="25"/>
      <c r="F73" s="25"/>
      <c r="G73" s="25"/>
      <c r="H73" s="25"/>
      <c r="I73" s="25"/>
      <c r="J73" s="87"/>
      <c r="K73" s="25"/>
      <c r="L73" s="25"/>
      <c r="M73" s="25"/>
      <c r="N73" s="25"/>
      <c r="O73" s="25"/>
      <c r="P73" s="25"/>
      <c r="Q73" s="25"/>
      <c r="R73" s="25"/>
    </row>
    <row r="74" spans="1:18" x14ac:dyDescent="0.3">
      <c r="A74" s="25"/>
      <c r="B74" s="25"/>
      <c r="C74" s="25"/>
      <c r="D74" s="25"/>
      <c r="E74" s="25"/>
      <c r="F74" s="25"/>
      <c r="G74" s="25"/>
      <c r="H74" s="25"/>
      <c r="I74" s="25"/>
      <c r="J74" s="87"/>
      <c r="K74" s="25"/>
      <c r="L74" s="25"/>
      <c r="M74" s="25"/>
      <c r="N74" s="25"/>
      <c r="O74" s="25"/>
      <c r="P74" s="25"/>
      <c r="Q74" s="25"/>
      <c r="R74" s="25"/>
    </row>
    <row r="75" spans="1:18" x14ac:dyDescent="0.3">
      <c r="A75" s="25"/>
      <c r="B75" s="25"/>
      <c r="C75" s="25"/>
      <c r="D75" s="25"/>
      <c r="E75" s="25"/>
      <c r="F75" s="25"/>
      <c r="G75" s="25"/>
      <c r="H75" s="25"/>
      <c r="I75" s="25"/>
      <c r="J75" s="87"/>
      <c r="K75" s="25"/>
      <c r="L75" s="25"/>
      <c r="M75" s="25"/>
      <c r="N75" s="25"/>
      <c r="O75" s="25"/>
      <c r="P75" s="25"/>
      <c r="Q75" s="25"/>
      <c r="R75" s="25"/>
    </row>
    <row r="76" spans="1:18" x14ac:dyDescent="0.3">
      <c r="A76" s="25"/>
      <c r="B76" s="25"/>
      <c r="C76" s="25"/>
      <c r="D76" s="25"/>
      <c r="E76" s="25"/>
      <c r="F76" s="25"/>
      <c r="G76" s="25"/>
      <c r="H76" s="25"/>
      <c r="I76" s="25"/>
      <c r="J76" s="87"/>
      <c r="K76" s="25"/>
      <c r="L76" s="25"/>
      <c r="M76" s="25"/>
      <c r="N76" s="25"/>
      <c r="O76" s="25"/>
      <c r="P76" s="25"/>
      <c r="Q76" s="25"/>
      <c r="R76" s="25"/>
    </row>
    <row r="77" spans="1:18" x14ac:dyDescent="0.3">
      <c r="A77" s="25"/>
      <c r="B77" s="25"/>
      <c r="C77" s="25"/>
      <c r="D77" s="25"/>
      <c r="E77" s="25"/>
      <c r="F77" s="25"/>
      <c r="G77" s="25"/>
      <c r="H77" s="25"/>
      <c r="I77" s="25"/>
      <c r="J77" s="87"/>
      <c r="K77" s="25"/>
      <c r="L77" s="25"/>
      <c r="M77" s="25"/>
      <c r="N77" s="25"/>
      <c r="O77" s="25"/>
      <c r="P77" s="25"/>
      <c r="Q77" s="25"/>
      <c r="R77" s="25"/>
    </row>
    <row r="78" spans="1:18" x14ac:dyDescent="0.3">
      <c r="A78" s="25"/>
      <c r="B78" s="25"/>
      <c r="C78" s="25"/>
      <c r="D78" s="25"/>
      <c r="E78" s="25"/>
      <c r="F78" s="25"/>
      <c r="G78" s="25"/>
      <c r="H78" s="25"/>
      <c r="I78" s="25"/>
      <c r="J78" s="87"/>
      <c r="K78" s="25"/>
      <c r="L78" s="25"/>
      <c r="M78" s="25"/>
      <c r="N78" s="25"/>
      <c r="O78" s="25"/>
      <c r="P78" s="25"/>
      <c r="Q78" s="25"/>
      <c r="R78" s="25"/>
    </row>
    <row r="79" spans="1:18" x14ac:dyDescent="0.3">
      <c r="A79" s="25"/>
      <c r="B79" s="25"/>
      <c r="C79" s="25"/>
      <c r="D79" s="25"/>
      <c r="E79" s="25"/>
      <c r="F79" s="25"/>
      <c r="G79" s="25"/>
      <c r="H79" s="25"/>
      <c r="I79" s="25"/>
      <c r="J79" s="87"/>
      <c r="K79" s="25"/>
      <c r="L79" s="25"/>
      <c r="M79" s="25"/>
      <c r="N79" s="25"/>
      <c r="O79" s="25"/>
      <c r="P79" s="25"/>
      <c r="Q79" s="25"/>
      <c r="R79" s="25"/>
    </row>
    <row r="80" spans="1:18" x14ac:dyDescent="0.3">
      <c r="A80" s="25"/>
      <c r="B80" s="25"/>
      <c r="C80" s="25"/>
      <c r="D80" s="25"/>
      <c r="E80" s="25"/>
      <c r="F80" s="25"/>
      <c r="G80" s="25"/>
      <c r="H80" s="25"/>
      <c r="I80" s="25"/>
      <c r="J80" s="87"/>
      <c r="K80" s="25"/>
      <c r="L80" s="25"/>
      <c r="M80" s="25"/>
      <c r="N80" s="25"/>
      <c r="O80" s="25"/>
      <c r="P80" s="25"/>
      <c r="Q80" s="25"/>
      <c r="R80" s="25"/>
    </row>
    <row r="81" spans="1:18" x14ac:dyDescent="0.3">
      <c r="A81" s="25"/>
      <c r="B81" s="25"/>
      <c r="C81" s="25"/>
      <c r="D81" s="25"/>
      <c r="E81" s="25"/>
      <c r="F81" s="25"/>
      <c r="G81" s="25"/>
      <c r="H81" s="25"/>
      <c r="I81" s="25"/>
      <c r="J81" s="87"/>
      <c r="K81" s="25"/>
      <c r="L81" s="25"/>
      <c r="M81" s="25"/>
      <c r="N81" s="25"/>
      <c r="O81" s="25"/>
      <c r="P81" s="25"/>
      <c r="Q81" s="25"/>
      <c r="R81" s="25"/>
    </row>
    <row r="82" spans="1:18" x14ac:dyDescent="0.3">
      <c r="J82" s="88"/>
    </row>
    <row r="83" spans="1:18" x14ac:dyDescent="0.3">
      <c r="J83" s="88"/>
    </row>
    <row r="84" spans="1:18" x14ac:dyDescent="0.3">
      <c r="J84" s="88"/>
    </row>
    <row r="85" spans="1:18" x14ac:dyDescent="0.3">
      <c r="J85" s="88"/>
    </row>
    <row r="86" spans="1:18" x14ac:dyDescent="0.3">
      <c r="J86" s="88"/>
    </row>
    <row r="87" spans="1:18" x14ac:dyDescent="0.3">
      <c r="J87" s="88"/>
    </row>
    <row r="88" spans="1:18" x14ac:dyDescent="0.3">
      <c r="J88" s="88"/>
    </row>
    <row r="89" spans="1:18" x14ac:dyDescent="0.3">
      <c r="J89" s="88"/>
    </row>
    <row r="90" spans="1:18" x14ac:dyDescent="0.3">
      <c r="J90" s="88"/>
    </row>
    <row r="91" spans="1:18" x14ac:dyDescent="0.3">
      <c r="J91" s="88"/>
    </row>
    <row r="92" spans="1:18" x14ac:dyDescent="0.3">
      <c r="J92" s="88"/>
    </row>
    <row r="93" spans="1:18" x14ac:dyDescent="0.3">
      <c r="J93" s="88"/>
    </row>
    <row r="94" spans="1:18" x14ac:dyDescent="0.3">
      <c r="J94" s="88"/>
    </row>
    <row r="95" spans="1:18" x14ac:dyDescent="0.3">
      <c r="J95" s="88"/>
    </row>
    <row r="96" spans="1:18" x14ac:dyDescent="0.3">
      <c r="J96" s="88"/>
    </row>
    <row r="97" spans="10:10" x14ac:dyDescent="0.3">
      <c r="J97" s="88"/>
    </row>
    <row r="98" spans="10:10" x14ac:dyDescent="0.3">
      <c r="J98" s="88"/>
    </row>
    <row r="99" spans="10:10" x14ac:dyDescent="0.3">
      <c r="J99" s="88"/>
    </row>
    <row r="100" spans="10:10" x14ac:dyDescent="0.3">
      <c r="J100" s="88"/>
    </row>
    <row r="101" spans="10:10" x14ac:dyDescent="0.3">
      <c r="J101" s="88"/>
    </row>
    <row r="102" spans="10:10" x14ac:dyDescent="0.3">
      <c r="J102" s="88"/>
    </row>
    <row r="103" spans="10:10" x14ac:dyDescent="0.3">
      <c r="J103" s="88"/>
    </row>
    <row r="104" spans="10:10" x14ac:dyDescent="0.3">
      <c r="J104" s="88"/>
    </row>
    <row r="105" spans="10:10" x14ac:dyDescent="0.3">
      <c r="J105" s="88"/>
    </row>
    <row r="106" spans="10:10" x14ac:dyDescent="0.3">
      <c r="J106" s="88"/>
    </row>
    <row r="107" spans="10:10" x14ac:dyDescent="0.3">
      <c r="J107" s="88"/>
    </row>
    <row r="108" spans="10:10" x14ac:dyDescent="0.3">
      <c r="J108" s="88"/>
    </row>
    <row r="109" spans="10:10" x14ac:dyDescent="0.3">
      <c r="J109" s="88"/>
    </row>
    <row r="110" spans="10:10" x14ac:dyDescent="0.3">
      <c r="J110" s="88"/>
    </row>
    <row r="111" spans="10:10" x14ac:dyDescent="0.3">
      <c r="J111" s="88"/>
    </row>
    <row r="112" spans="10:10" x14ac:dyDescent="0.3">
      <c r="J112" s="88"/>
    </row>
    <row r="113" spans="10:10" x14ac:dyDescent="0.3">
      <c r="J113" s="88"/>
    </row>
    <row r="114" spans="10:10" x14ac:dyDescent="0.3">
      <c r="J114" s="88"/>
    </row>
    <row r="115" spans="10:10" x14ac:dyDescent="0.3">
      <c r="J115" s="88"/>
    </row>
    <row r="116" spans="10:10" x14ac:dyDescent="0.3">
      <c r="J116" s="88"/>
    </row>
    <row r="117" spans="10:10" x14ac:dyDescent="0.3">
      <c r="J117" s="88"/>
    </row>
    <row r="118" spans="10:10" x14ac:dyDescent="0.3">
      <c r="J118" s="88"/>
    </row>
    <row r="119" spans="10:10" x14ac:dyDescent="0.3">
      <c r="J119" s="88"/>
    </row>
    <row r="120" spans="10:10" x14ac:dyDescent="0.3">
      <c r="J120" s="88"/>
    </row>
    <row r="121" spans="10:10" x14ac:dyDescent="0.3">
      <c r="J121" s="88"/>
    </row>
    <row r="122" spans="10:10" x14ac:dyDescent="0.3">
      <c r="J122" s="88"/>
    </row>
    <row r="123" spans="10:10" x14ac:dyDescent="0.3">
      <c r="J123" s="88"/>
    </row>
    <row r="124" spans="10:10" x14ac:dyDescent="0.3">
      <c r="J124" s="88"/>
    </row>
    <row r="125" spans="10:10" x14ac:dyDescent="0.3">
      <c r="J125" s="88"/>
    </row>
    <row r="126" spans="10:10" x14ac:dyDescent="0.3">
      <c r="J126" s="88"/>
    </row>
    <row r="127" spans="10:10" x14ac:dyDescent="0.3">
      <c r="J127" s="88"/>
    </row>
    <row r="128" spans="10:10" x14ac:dyDescent="0.3">
      <c r="J128" s="88"/>
    </row>
    <row r="129" spans="10:10" x14ac:dyDescent="0.3">
      <c r="J129" s="88"/>
    </row>
    <row r="130" spans="10:10" x14ac:dyDescent="0.3">
      <c r="J130" s="88"/>
    </row>
    <row r="131" spans="10:10" x14ac:dyDescent="0.3">
      <c r="J131" s="88"/>
    </row>
    <row r="132" spans="10:10" x14ac:dyDescent="0.3">
      <c r="J132" s="88"/>
    </row>
    <row r="133" spans="10:10" x14ac:dyDescent="0.3">
      <c r="J133" s="88"/>
    </row>
    <row r="134" spans="10:10" x14ac:dyDescent="0.3">
      <c r="J134" s="88"/>
    </row>
    <row r="135" spans="10:10" x14ac:dyDescent="0.3">
      <c r="J135" s="88"/>
    </row>
    <row r="136" spans="10:10" x14ac:dyDescent="0.3">
      <c r="J136" s="88"/>
    </row>
    <row r="137" spans="10:10" x14ac:dyDescent="0.3">
      <c r="J137" s="88"/>
    </row>
    <row r="138" spans="10:10" x14ac:dyDescent="0.3">
      <c r="J138" s="88"/>
    </row>
    <row r="139" spans="10:10" x14ac:dyDescent="0.3">
      <c r="J139" s="88"/>
    </row>
    <row r="140" spans="10:10" x14ac:dyDescent="0.3">
      <c r="J140" s="88"/>
    </row>
    <row r="141" spans="10:10" x14ac:dyDescent="0.3">
      <c r="J141" s="88"/>
    </row>
    <row r="142" spans="10:10" x14ac:dyDescent="0.3">
      <c r="J142" s="88"/>
    </row>
    <row r="143" spans="10:10" x14ac:dyDescent="0.3">
      <c r="J143" s="88"/>
    </row>
    <row r="144" spans="10:10" x14ac:dyDescent="0.3">
      <c r="J144" s="88"/>
    </row>
    <row r="145" spans="10:10" x14ac:dyDescent="0.3">
      <c r="J145" s="88"/>
    </row>
    <row r="146" spans="10:10" x14ac:dyDescent="0.3">
      <c r="J146" s="88"/>
    </row>
    <row r="147" spans="10:10" x14ac:dyDescent="0.3">
      <c r="J147" s="88"/>
    </row>
    <row r="148" spans="10:10" x14ac:dyDescent="0.3">
      <c r="J148" s="88"/>
    </row>
    <row r="149" spans="10:10" x14ac:dyDescent="0.3">
      <c r="J149" s="88"/>
    </row>
    <row r="150" spans="10:10" x14ac:dyDescent="0.3">
      <c r="J150" s="88"/>
    </row>
    <row r="151" spans="10:10" x14ac:dyDescent="0.3">
      <c r="J151" s="88"/>
    </row>
    <row r="152" spans="10:10" x14ac:dyDescent="0.3">
      <c r="J152" s="88"/>
    </row>
    <row r="153" spans="10:10" x14ac:dyDescent="0.3">
      <c r="J153" s="88"/>
    </row>
    <row r="154" spans="10:10" x14ac:dyDescent="0.3">
      <c r="J154" s="88"/>
    </row>
    <row r="155" spans="10:10" x14ac:dyDescent="0.3">
      <c r="J155" s="88"/>
    </row>
    <row r="156" spans="10:10" x14ac:dyDescent="0.3">
      <c r="J156" s="88"/>
    </row>
    <row r="157" spans="10:10" x14ac:dyDescent="0.3">
      <c r="J157" s="88"/>
    </row>
    <row r="158" spans="10:10" x14ac:dyDescent="0.3">
      <c r="J158" s="88"/>
    </row>
    <row r="159" spans="10:10" x14ac:dyDescent="0.3">
      <c r="J159" s="88"/>
    </row>
    <row r="160" spans="10:10" x14ac:dyDescent="0.3">
      <c r="J160" s="88"/>
    </row>
    <row r="161" spans="10:10" x14ac:dyDescent="0.3">
      <c r="J161" s="88"/>
    </row>
    <row r="162" spans="10:10" x14ac:dyDescent="0.3">
      <c r="J162" s="88"/>
    </row>
    <row r="163" spans="10:10" x14ac:dyDescent="0.3">
      <c r="J163" s="88"/>
    </row>
    <row r="164" spans="10:10" x14ac:dyDescent="0.3">
      <c r="J164" s="88"/>
    </row>
    <row r="165" spans="10:10" x14ac:dyDescent="0.3">
      <c r="J165" s="88"/>
    </row>
    <row r="166" spans="10:10" x14ac:dyDescent="0.3">
      <c r="J166" s="88"/>
    </row>
    <row r="167" spans="10:10" x14ac:dyDescent="0.3">
      <c r="J167" s="88"/>
    </row>
    <row r="168" spans="10:10" x14ac:dyDescent="0.3">
      <c r="J168" s="88"/>
    </row>
    <row r="169" spans="10:10" x14ac:dyDescent="0.3">
      <c r="J169" s="88"/>
    </row>
    <row r="170" spans="10:10" x14ac:dyDescent="0.3">
      <c r="J170" s="88"/>
    </row>
    <row r="171" spans="10:10" x14ac:dyDescent="0.3">
      <c r="J171" s="88"/>
    </row>
    <row r="172" spans="10:10" x14ac:dyDescent="0.3">
      <c r="J172" s="88"/>
    </row>
    <row r="173" spans="10:10" x14ac:dyDescent="0.3">
      <c r="J173" s="88"/>
    </row>
    <row r="174" spans="10:10" x14ac:dyDescent="0.3">
      <c r="J174" s="88"/>
    </row>
    <row r="175" spans="10:10" x14ac:dyDescent="0.3">
      <c r="J175" s="88"/>
    </row>
    <row r="176" spans="10:10" x14ac:dyDescent="0.3">
      <c r="J176" s="88"/>
    </row>
    <row r="177" spans="10:10" x14ac:dyDescent="0.3">
      <c r="J177" s="88"/>
    </row>
    <row r="178" spans="10:10" x14ac:dyDescent="0.3">
      <c r="J178" s="88"/>
    </row>
    <row r="179" spans="10:10" x14ac:dyDescent="0.3">
      <c r="J179" s="88"/>
    </row>
    <row r="180" spans="10:10" x14ac:dyDescent="0.3">
      <c r="J180" s="88"/>
    </row>
    <row r="181" spans="10:10" x14ac:dyDescent="0.3">
      <c r="J181" s="88"/>
    </row>
    <row r="182" spans="10:10" x14ac:dyDescent="0.3">
      <c r="J182" s="88"/>
    </row>
    <row r="183" spans="10:10" x14ac:dyDescent="0.3">
      <c r="J183" s="88"/>
    </row>
    <row r="184" spans="10:10" x14ac:dyDescent="0.3">
      <c r="J184" s="88"/>
    </row>
    <row r="185" spans="10:10" x14ac:dyDescent="0.3">
      <c r="J185" s="88"/>
    </row>
    <row r="186" spans="10:10" x14ac:dyDescent="0.3">
      <c r="J186" s="88"/>
    </row>
    <row r="187" spans="10:10" x14ac:dyDescent="0.3">
      <c r="J187" s="88"/>
    </row>
    <row r="188" spans="10:10" x14ac:dyDescent="0.3">
      <c r="J188" s="88"/>
    </row>
    <row r="189" spans="10:10" x14ac:dyDescent="0.3">
      <c r="J189" s="88"/>
    </row>
    <row r="190" spans="10:10" x14ac:dyDescent="0.3">
      <c r="J190" s="88"/>
    </row>
    <row r="191" spans="10:10" x14ac:dyDescent="0.3">
      <c r="J191" s="88"/>
    </row>
    <row r="192" spans="10:10" x14ac:dyDescent="0.3">
      <c r="J192" s="88"/>
    </row>
    <row r="193" spans="10:10" x14ac:dyDescent="0.3">
      <c r="J193" s="88"/>
    </row>
    <row r="194" spans="10:10" x14ac:dyDescent="0.3">
      <c r="J194" s="88"/>
    </row>
    <row r="195" spans="10:10" x14ac:dyDescent="0.3">
      <c r="J195" s="88"/>
    </row>
    <row r="196" spans="10:10" x14ac:dyDescent="0.3">
      <c r="J196" s="88"/>
    </row>
    <row r="197" spans="10:10" x14ac:dyDescent="0.3">
      <c r="J197" s="88"/>
    </row>
    <row r="198" spans="10:10" x14ac:dyDescent="0.3">
      <c r="J198" s="88"/>
    </row>
    <row r="199" spans="10:10" x14ac:dyDescent="0.3">
      <c r="J199" s="88"/>
    </row>
    <row r="200" spans="10:10" x14ac:dyDescent="0.3">
      <c r="J200" s="88"/>
    </row>
    <row r="201" spans="10:10" x14ac:dyDescent="0.3">
      <c r="J201" s="88"/>
    </row>
    <row r="202" spans="10:10" x14ac:dyDescent="0.3">
      <c r="J202" s="88"/>
    </row>
    <row r="203" spans="10:10" x14ac:dyDescent="0.3">
      <c r="J203" s="88"/>
    </row>
    <row r="204" spans="10:10" x14ac:dyDescent="0.3">
      <c r="J204" s="88"/>
    </row>
    <row r="205" spans="10:10" x14ac:dyDescent="0.3">
      <c r="J205" s="88"/>
    </row>
    <row r="206" spans="10:10" x14ac:dyDescent="0.3">
      <c r="J206" s="88"/>
    </row>
    <row r="207" spans="10:10" x14ac:dyDescent="0.3">
      <c r="J207" s="88"/>
    </row>
    <row r="208" spans="10:10" x14ac:dyDescent="0.3">
      <c r="J208" s="88"/>
    </row>
    <row r="209" spans="10:10" x14ac:dyDescent="0.3">
      <c r="J209" s="88"/>
    </row>
    <row r="210" spans="10:10" x14ac:dyDescent="0.3">
      <c r="J210" s="88"/>
    </row>
    <row r="211" spans="10:10" x14ac:dyDescent="0.3">
      <c r="J211" s="88"/>
    </row>
    <row r="212" spans="10:10" x14ac:dyDescent="0.3">
      <c r="J212" s="88"/>
    </row>
    <row r="213" spans="10:10" x14ac:dyDescent="0.3">
      <c r="J213" s="88"/>
    </row>
    <row r="214" spans="10:10" x14ac:dyDescent="0.3">
      <c r="J214" s="88"/>
    </row>
    <row r="215" spans="10:10" x14ac:dyDescent="0.3">
      <c r="J215" s="88"/>
    </row>
    <row r="216" spans="10:10" x14ac:dyDescent="0.3">
      <c r="J216" s="88"/>
    </row>
    <row r="217" spans="10:10" x14ac:dyDescent="0.3">
      <c r="J217" s="88"/>
    </row>
    <row r="218" spans="10:10" x14ac:dyDescent="0.3">
      <c r="J218" s="88"/>
    </row>
    <row r="219" spans="10:10" x14ac:dyDescent="0.3">
      <c r="J219" s="88"/>
    </row>
    <row r="220" spans="10:10" x14ac:dyDescent="0.3">
      <c r="J220" s="88"/>
    </row>
    <row r="221" spans="10:10" x14ac:dyDescent="0.3">
      <c r="J221" s="88"/>
    </row>
    <row r="222" spans="10:10" x14ac:dyDescent="0.3">
      <c r="J222" s="88"/>
    </row>
    <row r="223" spans="10:10" x14ac:dyDescent="0.3">
      <c r="J223" s="88"/>
    </row>
    <row r="224" spans="10:10" x14ac:dyDescent="0.3">
      <c r="J224" s="88"/>
    </row>
    <row r="225" spans="10:10" x14ac:dyDescent="0.3">
      <c r="J225" s="88"/>
    </row>
    <row r="226" spans="10:10" x14ac:dyDescent="0.3">
      <c r="J226" s="88"/>
    </row>
    <row r="227" spans="10:10" x14ac:dyDescent="0.3">
      <c r="J227" s="88"/>
    </row>
    <row r="228" spans="10:10" x14ac:dyDescent="0.3">
      <c r="J228" s="88"/>
    </row>
    <row r="229" spans="10:10" x14ac:dyDescent="0.3">
      <c r="J229" s="88"/>
    </row>
    <row r="230" spans="10:10" x14ac:dyDescent="0.3">
      <c r="J230" s="88"/>
    </row>
    <row r="231" spans="10:10" x14ac:dyDescent="0.3">
      <c r="J231" s="88"/>
    </row>
    <row r="232" spans="10:10" x14ac:dyDescent="0.3">
      <c r="J232" s="88"/>
    </row>
    <row r="233" spans="10:10" x14ac:dyDescent="0.3">
      <c r="J233" s="88"/>
    </row>
    <row r="234" spans="10:10" x14ac:dyDescent="0.3">
      <c r="J234" s="88"/>
    </row>
    <row r="235" spans="10:10" x14ac:dyDescent="0.3">
      <c r="J235" s="88"/>
    </row>
    <row r="236" spans="10:10" x14ac:dyDescent="0.3">
      <c r="J236" s="88"/>
    </row>
    <row r="237" spans="10:10" x14ac:dyDescent="0.3">
      <c r="J237" s="88"/>
    </row>
    <row r="238" spans="10:10" x14ac:dyDescent="0.3">
      <c r="J238" s="88"/>
    </row>
    <row r="239" spans="10:10" x14ac:dyDescent="0.3">
      <c r="J239" s="88"/>
    </row>
    <row r="240" spans="10:10" x14ac:dyDescent="0.3">
      <c r="J240" s="88"/>
    </row>
    <row r="241" spans="10:10" x14ac:dyDescent="0.3">
      <c r="J241" s="88"/>
    </row>
    <row r="242" spans="10:10" x14ac:dyDescent="0.3">
      <c r="J242" s="88"/>
    </row>
    <row r="243" spans="10:10" x14ac:dyDescent="0.3">
      <c r="J243" s="88"/>
    </row>
    <row r="244" spans="10:10" x14ac:dyDescent="0.3">
      <c r="J244" s="88"/>
    </row>
    <row r="245" spans="10:10" x14ac:dyDescent="0.3">
      <c r="J245" s="88"/>
    </row>
    <row r="246" spans="10:10" x14ac:dyDescent="0.3">
      <c r="J246" s="88"/>
    </row>
    <row r="247" spans="10:10" x14ac:dyDescent="0.3">
      <c r="J247" s="88"/>
    </row>
    <row r="248" spans="10:10" x14ac:dyDescent="0.3">
      <c r="J248" s="88"/>
    </row>
    <row r="249" spans="10:10" x14ac:dyDescent="0.3">
      <c r="J249" s="88"/>
    </row>
    <row r="250" spans="10:10" x14ac:dyDescent="0.3">
      <c r="J250" s="88"/>
    </row>
    <row r="251" spans="10:10" x14ac:dyDescent="0.3">
      <c r="J251" s="88"/>
    </row>
    <row r="252" spans="10:10" x14ac:dyDescent="0.3">
      <c r="J252" s="88"/>
    </row>
    <row r="253" spans="10:10" x14ac:dyDescent="0.3">
      <c r="J253" s="88"/>
    </row>
    <row r="254" spans="10:10" x14ac:dyDescent="0.3">
      <c r="J254" s="88"/>
    </row>
    <row r="255" spans="10:10" x14ac:dyDescent="0.3">
      <c r="J255" s="88"/>
    </row>
    <row r="256" spans="10:10" x14ac:dyDescent="0.3">
      <c r="J256" s="88"/>
    </row>
    <row r="257" spans="10:10" x14ac:dyDescent="0.3">
      <c r="J257" s="88"/>
    </row>
    <row r="258" spans="10:10" x14ac:dyDescent="0.3">
      <c r="J258" s="88"/>
    </row>
    <row r="259" spans="10:10" x14ac:dyDescent="0.3">
      <c r="J259" s="88"/>
    </row>
    <row r="260" spans="10:10" x14ac:dyDescent="0.3">
      <c r="J260" s="88"/>
    </row>
    <row r="261" spans="10:10" x14ac:dyDescent="0.3">
      <c r="J261" s="88"/>
    </row>
    <row r="262" spans="10:10" x14ac:dyDescent="0.3">
      <c r="J262" s="88"/>
    </row>
    <row r="263" spans="10:10" x14ac:dyDescent="0.3">
      <c r="J263" s="88"/>
    </row>
    <row r="264" spans="10:10" x14ac:dyDescent="0.3">
      <c r="J264" s="88"/>
    </row>
    <row r="265" spans="10:10" x14ac:dyDescent="0.3">
      <c r="J265" s="88"/>
    </row>
    <row r="266" spans="10:10" x14ac:dyDescent="0.3">
      <c r="J266" s="88"/>
    </row>
    <row r="267" spans="10:10" x14ac:dyDescent="0.3">
      <c r="J267" s="88"/>
    </row>
    <row r="268" spans="10:10" x14ac:dyDescent="0.3">
      <c r="J268" s="88"/>
    </row>
    <row r="269" spans="10:10" x14ac:dyDescent="0.3">
      <c r="J269" s="88"/>
    </row>
    <row r="270" spans="10:10" x14ac:dyDescent="0.3">
      <c r="J270" s="88"/>
    </row>
    <row r="271" spans="10:10" x14ac:dyDescent="0.3">
      <c r="J271" s="88"/>
    </row>
    <row r="272" spans="10:10" x14ac:dyDescent="0.3">
      <c r="J272" s="88"/>
    </row>
    <row r="273" spans="10:10" x14ac:dyDescent="0.3">
      <c r="J273" s="88"/>
    </row>
    <row r="274" spans="10:10" x14ac:dyDescent="0.3">
      <c r="J274" s="88"/>
    </row>
    <row r="275" spans="10:10" x14ac:dyDescent="0.3">
      <c r="J275" s="88"/>
    </row>
    <row r="276" spans="10:10" x14ac:dyDescent="0.3">
      <c r="J276" s="88"/>
    </row>
    <row r="277" spans="10:10" x14ac:dyDescent="0.3">
      <c r="J277" s="88"/>
    </row>
    <row r="278" spans="10:10" x14ac:dyDescent="0.3">
      <c r="J278" s="88"/>
    </row>
    <row r="279" spans="10:10" x14ac:dyDescent="0.3">
      <c r="J279" s="88"/>
    </row>
    <row r="280" spans="10:10" x14ac:dyDescent="0.3">
      <c r="J280" s="88"/>
    </row>
    <row r="281" spans="10:10" x14ac:dyDescent="0.3">
      <c r="J281" s="88"/>
    </row>
    <row r="282" spans="10:10" x14ac:dyDescent="0.3">
      <c r="J282" s="88"/>
    </row>
    <row r="283" spans="10:10" x14ac:dyDescent="0.3">
      <c r="J283" s="88"/>
    </row>
    <row r="284" spans="10:10" x14ac:dyDescent="0.3">
      <c r="J284" s="88"/>
    </row>
    <row r="285" spans="10:10" x14ac:dyDescent="0.3">
      <c r="J285" s="88"/>
    </row>
    <row r="286" spans="10:10" x14ac:dyDescent="0.3">
      <c r="J286" s="88"/>
    </row>
    <row r="287" spans="10:10" x14ac:dyDescent="0.3">
      <c r="J287" s="88"/>
    </row>
    <row r="288" spans="10:10" x14ac:dyDescent="0.3">
      <c r="J288" s="88"/>
    </row>
    <row r="289" spans="10:10" x14ac:dyDescent="0.3">
      <c r="J289" s="88"/>
    </row>
    <row r="290" spans="10:10" x14ac:dyDescent="0.3">
      <c r="J290" s="88"/>
    </row>
    <row r="291" spans="10:10" x14ac:dyDescent="0.3">
      <c r="J291" s="88"/>
    </row>
    <row r="292" spans="10:10" x14ac:dyDescent="0.3">
      <c r="J292" s="88"/>
    </row>
    <row r="293" spans="10:10" x14ac:dyDescent="0.3">
      <c r="J293" s="88"/>
    </row>
    <row r="294" spans="10:10" x14ac:dyDescent="0.3">
      <c r="J294" s="88"/>
    </row>
    <row r="295" spans="10:10" x14ac:dyDescent="0.3">
      <c r="J295" s="88"/>
    </row>
    <row r="296" spans="10:10" x14ac:dyDescent="0.3">
      <c r="J296" s="88"/>
    </row>
    <row r="297" spans="10:10" x14ac:dyDescent="0.3">
      <c r="J297" s="88"/>
    </row>
    <row r="298" spans="10:10" x14ac:dyDescent="0.3">
      <c r="J298" s="88"/>
    </row>
    <row r="299" spans="10:10" x14ac:dyDescent="0.3">
      <c r="J299" s="88"/>
    </row>
    <row r="300" spans="10:10" x14ac:dyDescent="0.3">
      <c r="J300" s="88"/>
    </row>
    <row r="301" spans="10:10" x14ac:dyDescent="0.3">
      <c r="J301" s="88"/>
    </row>
    <row r="302" spans="10:10" x14ac:dyDescent="0.3">
      <c r="J302" s="88"/>
    </row>
    <row r="303" spans="10:10" x14ac:dyDescent="0.3">
      <c r="J303" s="88"/>
    </row>
    <row r="304" spans="10:10" x14ac:dyDescent="0.3">
      <c r="J304" s="88"/>
    </row>
    <row r="305" spans="10:10" x14ac:dyDescent="0.3">
      <c r="J305" s="88"/>
    </row>
    <row r="306" spans="10:10" x14ac:dyDescent="0.3">
      <c r="J306" s="88"/>
    </row>
    <row r="307" spans="10:10" x14ac:dyDescent="0.3">
      <c r="J307" s="88"/>
    </row>
    <row r="308" spans="10:10" x14ac:dyDescent="0.3">
      <c r="J308" s="88"/>
    </row>
    <row r="309" spans="10:10" x14ac:dyDescent="0.3">
      <c r="J309" s="88"/>
    </row>
    <row r="310" spans="10:10" x14ac:dyDescent="0.3">
      <c r="J310" s="88"/>
    </row>
    <row r="311" spans="10:10" x14ac:dyDescent="0.3">
      <c r="J311" s="88"/>
    </row>
    <row r="312" spans="10:10" x14ac:dyDescent="0.3">
      <c r="J312" s="88"/>
    </row>
    <row r="313" spans="10:10" x14ac:dyDescent="0.3">
      <c r="J313" s="88"/>
    </row>
    <row r="314" spans="10:10" x14ac:dyDescent="0.3">
      <c r="J314" s="88"/>
    </row>
    <row r="315" spans="10:10" x14ac:dyDescent="0.3">
      <c r="J315" s="88"/>
    </row>
    <row r="316" spans="10:10" x14ac:dyDescent="0.3">
      <c r="J316" s="88"/>
    </row>
    <row r="317" spans="10:10" x14ac:dyDescent="0.3">
      <c r="J317" s="88"/>
    </row>
    <row r="318" spans="10:10" x14ac:dyDescent="0.3">
      <c r="J318" s="88"/>
    </row>
    <row r="319" spans="10:10" x14ac:dyDescent="0.3">
      <c r="J319" s="88"/>
    </row>
    <row r="320" spans="10:10" x14ac:dyDescent="0.3">
      <c r="J320" s="88"/>
    </row>
    <row r="321" spans="10:10" x14ac:dyDescent="0.3">
      <c r="J321" s="88"/>
    </row>
    <row r="322" spans="10:10" x14ac:dyDescent="0.3">
      <c r="J322" s="88"/>
    </row>
    <row r="323" spans="10:10" x14ac:dyDescent="0.3">
      <c r="J323" s="88"/>
    </row>
    <row r="324" spans="10:10" x14ac:dyDescent="0.3">
      <c r="J324" s="88"/>
    </row>
    <row r="325" spans="10:10" x14ac:dyDescent="0.3">
      <c r="J325" s="88"/>
    </row>
    <row r="326" spans="10:10" x14ac:dyDescent="0.3">
      <c r="J326" s="88"/>
    </row>
    <row r="327" spans="10:10" x14ac:dyDescent="0.3">
      <c r="J327" s="88"/>
    </row>
    <row r="328" spans="10:10" x14ac:dyDescent="0.3">
      <c r="J328" s="88"/>
    </row>
    <row r="329" spans="10:10" x14ac:dyDescent="0.3">
      <c r="J329" s="88"/>
    </row>
    <row r="330" spans="10:10" x14ac:dyDescent="0.3">
      <c r="J330" s="88"/>
    </row>
    <row r="331" spans="10:10" x14ac:dyDescent="0.3">
      <c r="J331" s="88"/>
    </row>
    <row r="332" spans="10:10" x14ac:dyDescent="0.3">
      <c r="J332" s="88"/>
    </row>
    <row r="333" spans="10:10" x14ac:dyDescent="0.3">
      <c r="J333" s="88"/>
    </row>
    <row r="334" spans="10:10" x14ac:dyDescent="0.3">
      <c r="J334" s="88"/>
    </row>
    <row r="335" spans="10:10" x14ac:dyDescent="0.3">
      <c r="J335" s="88"/>
    </row>
    <row r="336" spans="10:10" x14ac:dyDescent="0.3">
      <c r="J336" s="88"/>
    </row>
    <row r="337" spans="10:10" x14ac:dyDescent="0.3">
      <c r="J337" s="88"/>
    </row>
    <row r="338" spans="10:10" x14ac:dyDescent="0.3">
      <c r="J338" s="88"/>
    </row>
    <row r="339" spans="10:10" x14ac:dyDescent="0.3">
      <c r="J339" s="88"/>
    </row>
    <row r="340" spans="10:10" x14ac:dyDescent="0.3">
      <c r="J340" s="88"/>
    </row>
    <row r="341" spans="10:10" x14ac:dyDescent="0.3">
      <c r="J341" s="88"/>
    </row>
    <row r="342" spans="10:10" x14ac:dyDescent="0.3">
      <c r="J342" s="88"/>
    </row>
    <row r="343" spans="10:10" x14ac:dyDescent="0.3">
      <c r="J343" s="88"/>
    </row>
    <row r="344" spans="10:10" x14ac:dyDescent="0.3">
      <c r="J344" s="88"/>
    </row>
    <row r="345" spans="10:10" x14ac:dyDescent="0.3">
      <c r="J345" s="88"/>
    </row>
    <row r="346" spans="10:10" x14ac:dyDescent="0.3">
      <c r="J346" s="88"/>
    </row>
    <row r="347" spans="10:10" x14ac:dyDescent="0.3">
      <c r="J347" s="88"/>
    </row>
    <row r="348" spans="10:10" x14ac:dyDescent="0.3">
      <c r="J348" s="88"/>
    </row>
    <row r="349" spans="10:10" x14ac:dyDescent="0.3">
      <c r="J349" s="88"/>
    </row>
    <row r="350" spans="10:10" x14ac:dyDescent="0.3">
      <c r="J350" s="88"/>
    </row>
    <row r="351" spans="10:10" x14ac:dyDescent="0.3">
      <c r="J351" s="88"/>
    </row>
    <row r="352" spans="10:10" x14ac:dyDescent="0.3">
      <c r="J352" s="88"/>
    </row>
    <row r="353" spans="10:10" x14ac:dyDescent="0.3">
      <c r="J353" s="88"/>
    </row>
    <row r="354" spans="10:10" x14ac:dyDescent="0.3">
      <c r="J354" s="88"/>
    </row>
    <row r="355" spans="10:10" x14ac:dyDescent="0.3">
      <c r="J355" s="88"/>
    </row>
    <row r="356" spans="10:10" x14ac:dyDescent="0.3">
      <c r="J356" s="88"/>
    </row>
    <row r="357" spans="10:10" x14ac:dyDescent="0.3">
      <c r="J357" s="88"/>
    </row>
    <row r="358" spans="10:10" x14ac:dyDescent="0.3">
      <c r="J358" s="88"/>
    </row>
    <row r="359" spans="10:10" x14ac:dyDescent="0.3">
      <c r="J359" s="88"/>
    </row>
    <row r="360" spans="10:10" x14ac:dyDescent="0.3">
      <c r="J360" s="88"/>
    </row>
    <row r="361" spans="10:10" x14ac:dyDescent="0.3">
      <c r="J361" s="88"/>
    </row>
    <row r="362" spans="10:10" x14ac:dyDescent="0.3">
      <c r="J362" s="88"/>
    </row>
    <row r="363" spans="10:10" x14ac:dyDescent="0.3">
      <c r="J363" s="88"/>
    </row>
    <row r="364" spans="10:10" x14ac:dyDescent="0.3">
      <c r="J364" s="88"/>
    </row>
    <row r="365" spans="10:10" x14ac:dyDescent="0.3">
      <c r="J365" s="88"/>
    </row>
    <row r="366" spans="10:10" x14ac:dyDescent="0.3">
      <c r="J366" s="88"/>
    </row>
    <row r="367" spans="10:10" x14ac:dyDescent="0.3">
      <c r="J367" s="88"/>
    </row>
    <row r="368" spans="10:10" x14ac:dyDescent="0.3">
      <c r="J368" s="88"/>
    </row>
    <row r="369" spans="10:10" x14ac:dyDescent="0.3">
      <c r="J369" s="88"/>
    </row>
    <row r="370" spans="10:10" x14ac:dyDescent="0.3">
      <c r="J370" s="88"/>
    </row>
    <row r="371" spans="10:10" x14ac:dyDescent="0.3">
      <c r="J371" s="88"/>
    </row>
    <row r="372" spans="10:10" x14ac:dyDescent="0.3">
      <c r="J372" s="88"/>
    </row>
    <row r="373" spans="10:10" x14ac:dyDescent="0.3">
      <c r="J373" s="88"/>
    </row>
    <row r="374" spans="10:10" x14ac:dyDescent="0.3">
      <c r="J374" s="88"/>
    </row>
    <row r="375" spans="10:10" x14ac:dyDescent="0.3">
      <c r="J375" s="88"/>
    </row>
    <row r="376" spans="10:10" x14ac:dyDescent="0.3">
      <c r="J376" s="88"/>
    </row>
    <row r="377" spans="10:10" x14ac:dyDescent="0.3">
      <c r="J377" s="88"/>
    </row>
    <row r="378" spans="10:10" x14ac:dyDescent="0.3">
      <c r="J378" s="88"/>
    </row>
    <row r="379" spans="10:10" x14ac:dyDescent="0.3">
      <c r="J379" s="88"/>
    </row>
    <row r="380" spans="10:10" x14ac:dyDescent="0.3">
      <c r="J380" s="88"/>
    </row>
    <row r="381" spans="10:10" x14ac:dyDescent="0.3">
      <c r="J381" s="88"/>
    </row>
    <row r="382" spans="10:10" x14ac:dyDescent="0.3">
      <c r="J382" s="88"/>
    </row>
    <row r="383" spans="10:10" x14ac:dyDescent="0.3">
      <c r="J383" s="88"/>
    </row>
    <row r="384" spans="10:10" x14ac:dyDescent="0.3">
      <c r="J384" s="88"/>
    </row>
    <row r="385" spans="10:10" x14ac:dyDescent="0.3">
      <c r="J385" s="88"/>
    </row>
    <row r="386" spans="10:10" x14ac:dyDescent="0.3">
      <c r="J386" s="88"/>
    </row>
    <row r="387" spans="10:10" x14ac:dyDescent="0.3">
      <c r="J387" s="88"/>
    </row>
    <row r="388" spans="10:10" x14ac:dyDescent="0.3">
      <c r="J388" s="88"/>
    </row>
    <row r="389" spans="10:10" x14ac:dyDescent="0.3">
      <c r="J389" s="88"/>
    </row>
    <row r="390" spans="10:10" x14ac:dyDescent="0.3">
      <c r="J390" s="88"/>
    </row>
    <row r="391" spans="10:10" x14ac:dyDescent="0.3">
      <c r="J391" s="88"/>
    </row>
    <row r="392" spans="10:10" x14ac:dyDescent="0.3">
      <c r="J392" s="88"/>
    </row>
    <row r="393" spans="10:10" x14ac:dyDescent="0.3">
      <c r="J393" s="88"/>
    </row>
    <row r="394" spans="10:10" x14ac:dyDescent="0.3">
      <c r="J394" s="88"/>
    </row>
    <row r="395" spans="10:10" x14ac:dyDescent="0.3">
      <c r="J395" s="88"/>
    </row>
    <row r="396" spans="10:10" x14ac:dyDescent="0.3">
      <c r="J396" s="88"/>
    </row>
    <row r="397" spans="10:10" x14ac:dyDescent="0.3">
      <c r="J397" s="88"/>
    </row>
    <row r="398" spans="10:10" x14ac:dyDescent="0.3">
      <c r="J398" s="88"/>
    </row>
    <row r="399" spans="10:10" x14ac:dyDescent="0.3">
      <c r="J399" s="88"/>
    </row>
    <row r="400" spans="10:10" x14ac:dyDescent="0.3">
      <c r="J400" s="88"/>
    </row>
    <row r="401" spans="10:10" x14ac:dyDescent="0.3">
      <c r="J401" s="88"/>
    </row>
    <row r="402" spans="10:10" x14ac:dyDescent="0.3">
      <c r="J402" s="88"/>
    </row>
    <row r="403" spans="10:10" x14ac:dyDescent="0.3">
      <c r="J403" s="88"/>
    </row>
    <row r="404" spans="10:10" x14ac:dyDescent="0.3">
      <c r="J404" s="88"/>
    </row>
    <row r="405" spans="10:10" x14ac:dyDescent="0.3">
      <c r="J405" s="88"/>
    </row>
    <row r="406" spans="10:10" x14ac:dyDescent="0.3">
      <c r="J406" s="88"/>
    </row>
    <row r="407" spans="10:10" x14ac:dyDescent="0.3">
      <c r="J407" s="88"/>
    </row>
    <row r="408" spans="10:10" x14ac:dyDescent="0.3">
      <c r="J408" s="88"/>
    </row>
    <row r="409" spans="10:10" x14ac:dyDescent="0.3">
      <c r="J409" s="88"/>
    </row>
    <row r="410" spans="10:10" x14ac:dyDescent="0.3">
      <c r="J410" s="88"/>
    </row>
    <row r="411" spans="10:10" x14ac:dyDescent="0.3">
      <c r="J411" s="88"/>
    </row>
    <row r="412" spans="10:10" x14ac:dyDescent="0.3">
      <c r="J412" s="88"/>
    </row>
    <row r="413" spans="10:10" x14ac:dyDescent="0.3">
      <c r="J413" s="88"/>
    </row>
    <row r="414" spans="10:10" x14ac:dyDescent="0.3">
      <c r="J414" s="88"/>
    </row>
    <row r="415" spans="10:10" x14ac:dyDescent="0.3">
      <c r="J415" s="88"/>
    </row>
    <row r="416" spans="10:10" x14ac:dyDescent="0.3">
      <c r="J416" s="88"/>
    </row>
    <row r="417" spans="10:10" x14ac:dyDescent="0.3">
      <c r="J417" s="88"/>
    </row>
    <row r="418" spans="10:10" x14ac:dyDescent="0.3">
      <c r="J418" s="88"/>
    </row>
    <row r="419" spans="10:10" x14ac:dyDescent="0.3">
      <c r="J419" s="88"/>
    </row>
    <row r="420" spans="10:10" x14ac:dyDescent="0.3">
      <c r="J420" s="88"/>
    </row>
    <row r="421" spans="10:10" x14ac:dyDescent="0.3">
      <c r="J421" s="88"/>
    </row>
    <row r="422" spans="10:10" x14ac:dyDescent="0.3">
      <c r="J422" s="88"/>
    </row>
    <row r="423" spans="10:10" x14ac:dyDescent="0.3">
      <c r="J423" s="88"/>
    </row>
    <row r="424" spans="10:10" x14ac:dyDescent="0.3">
      <c r="J424" s="88"/>
    </row>
    <row r="425" spans="10:10" x14ac:dyDescent="0.3">
      <c r="J425" s="88"/>
    </row>
    <row r="426" spans="10:10" x14ac:dyDescent="0.3">
      <c r="J426" s="88"/>
    </row>
    <row r="427" spans="10:10" x14ac:dyDescent="0.3">
      <c r="J427" s="88"/>
    </row>
    <row r="428" spans="10:10" x14ac:dyDescent="0.3">
      <c r="J428" s="88"/>
    </row>
    <row r="429" spans="10:10" x14ac:dyDescent="0.3">
      <c r="J429" s="88"/>
    </row>
    <row r="430" spans="10:10" x14ac:dyDescent="0.3">
      <c r="J430" s="88"/>
    </row>
    <row r="431" spans="10:10" x14ac:dyDescent="0.3">
      <c r="J431" s="88"/>
    </row>
    <row r="432" spans="10:10" x14ac:dyDescent="0.3">
      <c r="J432" s="88"/>
    </row>
    <row r="433" spans="10:10" x14ac:dyDescent="0.3">
      <c r="J433" s="88"/>
    </row>
    <row r="434" spans="10:10" x14ac:dyDescent="0.3">
      <c r="J434" s="88"/>
    </row>
    <row r="435" spans="10:10" x14ac:dyDescent="0.3">
      <c r="J435" s="88"/>
    </row>
    <row r="436" spans="10:10" x14ac:dyDescent="0.3">
      <c r="J436" s="88"/>
    </row>
    <row r="437" spans="10:10" x14ac:dyDescent="0.3">
      <c r="J437" s="88"/>
    </row>
    <row r="438" spans="10:10" x14ac:dyDescent="0.3">
      <c r="J438" s="88"/>
    </row>
    <row r="439" spans="10:10" x14ac:dyDescent="0.3">
      <c r="J439" s="88"/>
    </row>
    <row r="440" spans="10:10" x14ac:dyDescent="0.3">
      <c r="J440" s="88"/>
    </row>
    <row r="441" spans="10:10" x14ac:dyDescent="0.3">
      <c r="J441" s="88"/>
    </row>
    <row r="442" spans="10:10" x14ac:dyDescent="0.3">
      <c r="J442" s="88"/>
    </row>
    <row r="443" spans="10:10" x14ac:dyDescent="0.3">
      <c r="J443" s="88"/>
    </row>
    <row r="444" spans="10:10" x14ac:dyDescent="0.3">
      <c r="J444" s="88"/>
    </row>
    <row r="445" spans="10:10" x14ac:dyDescent="0.3">
      <c r="J445" s="88"/>
    </row>
    <row r="446" spans="10:10" x14ac:dyDescent="0.3">
      <c r="J446" s="88"/>
    </row>
    <row r="447" spans="10:10" x14ac:dyDescent="0.3">
      <c r="J447" s="88"/>
    </row>
    <row r="448" spans="10:10" x14ac:dyDescent="0.3">
      <c r="J448" s="88"/>
    </row>
    <row r="449" spans="10:10" x14ac:dyDescent="0.3">
      <c r="J449" s="88"/>
    </row>
    <row r="450" spans="10:10" x14ac:dyDescent="0.3">
      <c r="J450" s="88"/>
    </row>
    <row r="451" spans="10:10" x14ac:dyDescent="0.3">
      <c r="J451" s="88"/>
    </row>
    <row r="452" spans="10:10" x14ac:dyDescent="0.3">
      <c r="J452" s="88"/>
    </row>
    <row r="453" spans="10:10" x14ac:dyDescent="0.3">
      <c r="J453" s="88"/>
    </row>
    <row r="454" spans="10:10" x14ac:dyDescent="0.3">
      <c r="J454" s="88"/>
    </row>
    <row r="455" spans="10:10" x14ac:dyDescent="0.3">
      <c r="J455" s="88"/>
    </row>
    <row r="456" spans="10:10" x14ac:dyDescent="0.3">
      <c r="J456" s="88"/>
    </row>
    <row r="457" spans="10:10" x14ac:dyDescent="0.3">
      <c r="J457" s="88"/>
    </row>
    <row r="458" spans="10:10" x14ac:dyDescent="0.3">
      <c r="J458" s="88"/>
    </row>
    <row r="459" spans="10:10" x14ac:dyDescent="0.3">
      <c r="J459" s="88"/>
    </row>
    <row r="460" spans="10:10" x14ac:dyDescent="0.3">
      <c r="J460" s="88"/>
    </row>
    <row r="461" spans="10:10" x14ac:dyDescent="0.3">
      <c r="J461" s="88"/>
    </row>
    <row r="462" spans="10:10" x14ac:dyDescent="0.3">
      <c r="J462" s="88"/>
    </row>
    <row r="463" spans="10:10" x14ac:dyDescent="0.3">
      <c r="J463" s="88"/>
    </row>
    <row r="464" spans="10:10" x14ac:dyDescent="0.3">
      <c r="J464" s="88"/>
    </row>
    <row r="465" spans="10:10" x14ac:dyDescent="0.3">
      <c r="J465" s="88"/>
    </row>
    <row r="466" spans="10:10" x14ac:dyDescent="0.3">
      <c r="J466" s="88"/>
    </row>
    <row r="467" spans="10:10" x14ac:dyDescent="0.3">
      <c r="J467" s="88"/>
    </row>
    <row r="468" spans="10:10" x14ac:dyDescent="0.3">
      <c r="J468" s="88"/>
    </row>
    <row r="469" spans="10:10" x14ac:dyDescent="0.3">
      <c r="J469" s="88"/>
    </row>
    <row r="470" spans="10:10" x14ac:dyDescent="0.3">
      <c r="J470" s="88"/>
    </row>
    <row r="471" spans="10:10" x14ac:dyDescent="0.3">
      <c r="J471" s="88"/>
    </row>
    <row r="472" spans="10:10" x14ac:dyDescent="0.3">
      <c r="J472" s="88"/>
    </row>
    <row r="473" spans="10:10" x14ac:dyDescent="0.3">
      <c r="J473" s="88"/>
    </row>
    <row r="474" spans="10:10" x14ac:dyDescent="0.3">
      <c r="J474" s="88"/>
    </row>
    <row r="475" spans="10:10" x14ac:dyDescent="0.3">
      <c r="J475" s="88"/>
    </row>
    <row r="476" spans="10:10" x14ac:dyDescent="0.3">
      <c r="J476" s="88"/>
    </row>
    <row r="477" spans="10:10" x14ac:dyDescent="0.3">
      <c r="J477" s="88"/>
    </row>
    <row r="478" spans="10:10" x14ac:dyDescent="0.3">
      <c r="J478" s="88"/>
    </row>
    <row r="479" spans="10:10" x14ac:dyDescent="0.3">
      <c r="J479" s="88"/>
    </row>
    <row r="480" spans="10:10" x14ac:dyDescent="0.3">
      <c r="J480" s="88"/>
    </row>
    <row r="481" spans="10:10" x14ac:dyDescent="0.3">
      <c r="J481" s="88"/>
    </row>
    <row r="482" spans="10:10" x14ac:dyDescent="0.3">
      <c r="J482" s="88"/>
    </row>
    <row r="483" spans="10:10" x14ac:dyDescent="0.3">
      <c r="J483" s="88"/>
    </row>
    <row r="484" spans="10:10" x14ac:dyDescent="0.3">
      <c r="J484" s="88"/>
    </row>
    <row r="485" spans="10:10" x14ac:dyDescent="0.3">
      <c r="J485" s="88"/>
    </row>
    <row r="486" spans="10:10" x14ac:dyDescent="0.3">
      <c r="J486" s="88"/>
    </row>
    <row r="487" spans="10:10" x14ac:dyDescent="0.3">
      <c r="J487" s="88"/>
    </row>
    <row r="488" spans="10:10" x14ac:dyDescent="0.3">
      <c r="J488" s="88"/>
    </row>
    <row r="489" spans="10:10" x14ac:dyDescent="0.3">
      <c r="J489" s="88"/>
    </row>
    <row r="490" spans="10:10" x14ac:dyDescent="0.3">
      <c r="J490" s="88"/>
    </row>
    <row r="491" spans="10:10" x14ac:dyDescent="0.3">
      <c r="J491" s="88"/>
    </row>
    <row r="492" spans="10:10" x14ac:dyDescent="0.3">
      <c r="J492" s="88"/>
    </row>
    <row r="493" spans="10:10" x14ac:dyDescent="0.3">
      <c r="J493" s="88"/>
    </row>
    <row r="494" spans="10:10" x14ac:dyDescent="0.3">
      <c r="J494" s="88"/>
    </row>
    <row r="495" spans="10:10" x14ac:dyDescent="0.3">
      <c r="J495" s="88"/>
    </row>
    <row r="496" spans="10:10" x14ac:dyDescent="0.3">
      <c r="J496" s="88"/>
    </row>
    <row r="497" spans="10:10" x14ac:dyDescent="0.3">
      <c r="J497" s="88"/>
    </row>
    <row r="498" spans="10:10" x14ac:dyDescent="0.3">
      <c r="J498" s="88"/>
    </row>
    <row r="499" spans="10:10" x14ac:dyDescent="0.3">
      <c r="J499" s="88"/>
    </row>
    <row r="500" spans="10:10" x14ac:dyDescent="0.3">
      <c r="J500" s="88"/>
    </row>
    <row r="501" spans="10:10" x14ac:dyDescent="0.3">
      <c r="J501" s="88"/>
    </row>
    <row r="502" spans="10:10" x14ac:dyDescent="0.3">
      <c r="J502" s="88"/>
    </row>
    <row r="503" spans="10:10" x14ac:dyDescent="0.3">
      <c r="J503" s="88"/>
    </row>
    <row r="504" spans="10:10" x14ac:dyDescent="0.3">
      <c r="J504" s="88"/>
    </row>
    <row r="505" spans="10:10" x14ac:dyDescent="0.3">
      <c r="J505" s="88"/>
    </row>
    <row r="506" spans="10:10" x14ac:dyDescent="0.3">
      <c r="J506" s="88"/>
    </row>
    <row r="507" spans="10:10" x14ac:dyDescent="0.3">
      <c r="J507" s="88"/>
    </row>
    <row r="508" spans="10:10" x14ac:dyDescent="0.3">
      <c r="J508" s="88"/>
    </row>
    <row r="509" spans="10:10" x14ac:dyDescent="0.3">
      <c r="J509" s="88"/>
    </row>
    <row r="510" spans="10:10" x14ac:dyDescent="0.3">
      <c r="J510" s="88"/>
    </row>
    <row r="511" spans="10:10" x14ac:dyDescent="0.3">
      <c r="J511" s="88"/>
    </row>
    <row r="512" spans="10:10" x14ac:dyDescent="0.3">
      <c r="J512" s="88"/>
    </row>
    <row r="513" spans="10:10" x14ac:dyDescent="0.3">
      <c r="J513" s="88"/>
    </row>
    <row r="514" spans="10:10" x14ac:dyDescent="0.3">
      <c r="J514" s="88"/>
    </row>
    <row r="515" spans="10:10" x14ac:dyDescent="0.3">
      <c r="J515" s="88"/>
    </row>
    <row r="516" spans="10:10" x14ac:dyDescent="0.3">
      <c r="J516" s="88"/>
    </row>
    <row r="517" spans="10:10" x14ac:dyDescent="0.3">
      <c r="J517" s="88"/>
    </row>
    <row r="518" spans="10:10" x14ac:dyDescent="0.3">
      <c r="J518" s="88"/>
    </row>
    <row r="519" spans="10:10" x14ac:dyDescent="0.3">
      <c r="J519" s="88"/>
    </row>
    <row r="520" spans="10:10" x14ac:dyDescent="0.3">
      <c r="J520" s="88"/>
    </row>
    <row r="521" spans="10:10" x14ac:dyDescent="0.3">
      <c r="J521" s="88"/>
    </row>
    <row r="522" spans="10:10" x14ac:dyDescent="0.3">
      <c r="J522" s="88"/>
    </row>
    <row r="523" spans="10:10" x14ac:dyDescent="0.3">
      <c r="J523" s="88"/>
    </row>
    <row r="524" spans="10:10" x14ac:dyDescent="0.3">
      <c r="J524" s="88"/>
    </row>
    <row r="525" spans="10:10" x14ac:dyDescent="0.3">
      <c r="J525" s="88"/>
    </row>
    <row r="526" spans="10:10" x14ac:dyDescent="0.3">
      <c r="J526" s="88"/>
    </row>
    <row r="527" spans="10:10" x14ac:dyDescent="0.3">
      <c r="J527" s="88"/>
    </row>
    <row r="528" spans="10:10" x14ac:dyDescent="0.3">
      <c r="J528" s="88"/>
    </row>
    <row r="529" spans="10:10" x14ac:dyDescent="0.3">
      <c r="J529" s="88"/>
    </row>
    <row r="530" spans="10:10" x14ac:dyDescent="0.3">
      <c r="J530" s="88"/>
    </row>
    <row r="531" spans="10:10" x14ac:dyDescent="0.3">
      <c r="J531" s="88"/>
    </row>
    <row r="532" spans="10:10" x14ac:dyDescent="0.3">
      <c r="J532" s="88"/>
    </row>
    <row r="533" spans="10:10" x14ac:dyDescent="0.3">
      <c r="J533" s="88"/>
    </row>
    <row r="534" spans="10:10" x14ac:dyDescent="0.3">
      <c r="J534" s="88"/>
    </row>
    <row r="535" spans="10:10" x14ac:dyDescent="0.3">
      <c r="J535" s="88"/>
    </row>
    <row r="536" spans="10:10" x14ac:dyDescent="0.3">
      <c r="J536" s="88"/>
    </row>
    <row r="537" spans="10:10" x14ac:dyDescent="0.3">
      <c r="J537" s="88"/>
    </row>
    <row r="538" spans="10:10" x14ac:dyDescent="0.3">
      <c r="J538" s="88"/>
    </row>
    <row r="539" spans="10:10" x14ac:dyDescent="0.3">
      <c r="J539" s="88"/>
    </row>
    <row r="540" spans="10:10" x14ac:dyDescent="0.3">
      <c r="J540" s="88"/>
    </row>
    <row r="541" spans="10:10" x14ac:dyDescent="0.3">
      <c r="J541" s="88"/>
    </row>
    <row r="542" spans="10:10" x14ac:dyDescent="0.3">
      <c r="J542" s="88"/>
    </row>
    <row r="543" spans="10:10" x14ac:dyDescent="0.3">
      <c r="J543" s="88"/>
    </row>
    <row r="544" spans="10:10" x14ac:dyDescent="0.3">
      <c r="J544" s="88"/>
    </row>
    <row r="545" spans="10:10" x14ac:dyDescent="0.3">
      <c r="J545" s="88"/>
    </row>
    <row r="546" spans="10:10" x14ac:dyDescent="0.3">
      <c r="J546" s="88"/>
    </row>
    <row r="547" spans="10:10" x14ac:dyDescent="0.3">
      <c r="J547" s="88"/>
    </row>
    <row r="548" spans="10:10" x14ac:dyDescent="0.3">
      <c r="J548" s="88"/>
    </row>
    <row r="549" spans="10:10" x14ac:dyDescent="0.3">
      <c r="J549" s="88"/>
    </row>
    <row r="550" spans="10:10" x14ac:dyDescent="0.3">
      <c r="J550" s="88"/>
    </row>
    <row r="551" spans="10:10" x14ac:dyDescent="0.3">
      <c r="J551" s="88"/>
    </row>
    <row r="552" spans="10:10" x14ac:dyDescent="0.3">
      <c r="J552" s="88"/>
    </row>
    <row r="553" spans="10:10" x14ac:dyDescent="0.3">
      <c r="J553" s="88"/>
    </row>
    <row r="554" spans="10:10" x14ac:dyDescent="0.3">
      <c r="J554" s="88"/>
    </row>
    <row r="555" spans="10:10" x14ac:dyDescent="0.3">
      <c r="J555" s="88"/>
    </row>
    <row r="556" spans="10:10" x14ac:dyDescent="0.3">
      <c r="J556" s="88"/>
    </row>
    <row r="557" spans="10:10" x14ac:dyDescent="0.3">
      <c r="J557" s="88"/>
    </row>
    <row r="558" spans="10:10" x14ac:dyDescent="0.3">
      <c r="J558" s="88"/>
    </row>
    <row r="559" spans="10:10" x14ac:dyDescent="0.3">
      <c r="J559" s="88"/>
    </row>
    <row r="560" spans="10:10" x14ac:dyDescent="0.3">
      <c r="J560" s="88"/>
    </row>
    <row r="561" spans="10:10" x14ac:dyDescent="0.3">
      <c r="J561" s="88"/>
    </row>
    <row r="562" spans="10:10" x14ac:dyDescent="0.3">
      <c r="J562" s="88"/>
    </row>
    <row r="563" spans="10:10" x14ac:dyDescent="0.3">
      <c r="J563" s="88"/>
    </row>
    <row r="564" spans="10:10" x14ac:dyDescent="0.3">
      <c r="J564" s="88"/>
    </row>
    <row r="565" spans="10:10" x14ac:dyDescent="0.3">
      <c r="J565" s="88"/>
    </row>
    <row r="566" spans="10:10" x14ac:dyDescent="0.3">
      <c r="J566" s="88"/>
    </row>
    <row r="567" spans="10:10" x14ac:dyDescent="0.3">
      <c r="J567" s="88"/>
    </row>
    <row r="568" spans="10:10" x14ac:dyDescent="0.3">
      <c r="J568" s="88"/>
    </row>
    <row r="569" spans="10:10" x14ac:dyDescent="0.3">
      <c r="J569" s="88"/>
    </row>
    <row r="570" spans="10:10" x14ac:dyDescent="0.3">
      <c r="J570" s="88"/>
    </row>
    <row r="571" spans="10:10" x14ac:dyDescent="0.3">
      <c r="J571" s="88"/>
    </row>
    <row r="572" spans="10:10" x14ac:dyDescent="0.3">
      <c r="J572" s="88"/>
    </row>
    <row r="573" spans="10:10" x14ac:dyDescent="0.3">
      <c r="J573" s="88"/>
    </row>
    <row r="574" spans="10:10" x14ac:dyDescent="0.3">
      <c r="J574" s="88"/>
    </row>
    <row r="575" spans="10:10" x14ac:dyDescent="0.3">
      <c r="J575" s="88"/>
    </row>
    <row r="576" spans="10:10" x14ac:dyDescent="0.3">
      <c r="J576" s="88"/>
    </row>
    <row r="577" spans="10:10" x14ac:dyDescent="0.3">
      <c r="J577" s="88"/>
    </row>
    <row r="578" spans="10:10" x14ac:dyDescent="0.3">
      <c r="J578" s="88"/>
    </row>
    <row r="579" spans="10:10" x14ac:dyDescent="0.3">
      <c r="J579" s="88"/>
    </row>
    <row r="580" spans="10:10" x14ac:dyDescent="0.3">
      <c r="J580" s="88"/>
    </row>
    <row r="581" spans="10:10" x14ac:dyDescent="0.3">
      <c r="J581" s="88"/>
    </row>
    <row r="582" spans="10:10" x14ac:dyDescent="0.3">
      <c r="J582" s="88"/>
    </row>
    <row r="583" spans="10:10" x14ac:dyDescent="0.3">
      <c r="J583" s="88"/>
    </row>
    <row r="584" spans="10:10" x14ac:dyDescent="0.3">
      <c r="J584" s="88"/>
    </row>
    <row r="585" spans="10:10" x14ac:dyDescent="0.3">
      <c r="J585" s="88"/>
    </row>
    <row r="586" spans="10:10" x14ac:dyDescent="0.3">
      <c r="J586" s="88"/>
    </row>
    <row r="587" spans="10:10" x14ac:dyDescent="0.3">
      <c r="J587" s="88"/>
    </row>
    <row r="588" spans="10:10" x14ac:dyDescent="0.3">
      <c r="J588" s="88"/>
    </row>
    <row r="589" spans="10:10" x14ac:dyDescent="0.3">
      <c r="J589" s="88"/>
    </row>
    <row r="590" spans="10:10" x14ac:dyDescent="0.3">
      <c r="J590" s="88"/>
    </row>
    <row r="591" spans="10:10" x14ac:dyDescent="0.3">
      <c r="J591" s="88"/>
    </row>
    <row r="592" spans="10:10" x14ac:dyDescent="0.3">
      <c r="J592" s="88"/>
    </row>
    <row r="593" spans="10:10" x14ac:dyDescent="0.3">
      <c r="J593" s="88"/>
    </row>
    <row r="594" spans="10:10" x14ac:dyDescent="0.3">
      <c r="J594" s="88"/>
    </row>
    <row r="595" spans="10:10" x14ac:dyDescent="0.3">
      <c r="J595" s="88"/>
    </row>
    <row r="596" spans="10:10" x14ac:dyDescent="0.3">
      <c r="J596" s="88"/>
    </row>
    <row r="597" spans="10:10" x14ac:dyDescent="0.3">
      <c r="J597" s="88"/>
    </row>
    <row r="598" spans="10:10" x14ac:dyDescent="0.3">
      <c r="J598" s="88"/>
    </row>
    <row r="599" spans="10:10" x14ac:dyDescent="0.3">
      <c r="J599" s="88"/>
    </row>
    <row r="600" spans="10:10" x14ac:dyDescent="0.3">
      <c r="J600" s="88"/>
    </row>
    <row r="601" spans="10:10" x14ac:dyDescent="0.3">
      <c r="J601" s="88"/>
    </row>
    <row r="602" spans="10:10" x14ac:dyDescent="0.3">
      <c r="J602" s="88"/>
    </row>
  </sheetData>
  <customSheetViews>
    <customSheetView guid="{B7519FF1-05A6-4A79-8E47-A233872313D4}" scale="75" fitToPage="1">
      <selection activeCell="F9" sqref="F9"/>
      <rowBreaks count="1" manualBreakCount="1">
        <brk id="59" max="65535" man="1"/>
      </rowBreaks>
      <pageMargins left="0.5" right="0.5" top="1" bottom="1" header="0.5" footer="0.5"/>
      <pageSetup scale="52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52" orientation="landscape" horizontalDpi="300" verticalDpi="300" r:id="rId2"/>
  <headerFooter alignWithMargins="0">
    <oddHeader>&amp;R&amp;"Times New Roman,Bold"&amp;10KyPSC Case No. 2021-00190
STAFF-DR-01-049 Attachment 2
Page &amp;P of &amp;N</oddHeader>
  </headerFooter>
  <rowBreaks count="1" manualBreakCount="1">
    <brk id="59" max="65535" man="1"/>
  </rowBreaks>
  <ignoredErrors>
    <ignoredError sqref="L45 L38 L43:L44 M41:Q41 L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transitionEntry="1" codeName="Sheet6"/>
  <dimension ref="A1:CW348"/>
  <sheetViews>
    <sheetView tabSelected="1" view="pageBreakPreview" zoomScale="60" zoomScaleNormal="75" workbookViewId="0">
      <selection activeCell="P13" sqref="P13"/>
    </sheetView>
  </sheetViews>
  <sheetFormatPr defaultColWidth="8.9140625" defaultRowHeight="15.6" x14ac:dyDescent="0.3"/>
  <cols>
    <col min="1" max="1" width="4.75" style="25" customWidth="1"/>
    <col min="2" max="2" width="0.6640625" style="25" customWidth="1"/>
    <col min="3" max="3" width="7.25" style="25" customWidth="1"/>
    <col min="4" max="4" width="37.4140625" style="25" customWidth="1"/>
    <col min="5" max="5" width="0.4140625" style="25" customWidth="1"/>
    <col min="6" max="6" width="12.33203125" style="25" customWidth="1"/>
    <col min="7" max="7" width="0.9140625" style="25" customWidth="1"/>
    <col min="8" max="8" width="14.25" style="25" customWidth="1"/>
    <col min="9" max="9" width="0.75" style="25" customWidth="1"/>
    <col min="10" max="10" width="12" style="25" customWidth="1"/>
    <col min="11" max="11" width="0.6640625" style="25" customWidth="1"/>
    <col min="12" max="12" width="15.6640625" style="25" customWidth="1"/>
    <col min="13" max="13" width="0.75" style="25" customWidth="1"/>
    <col min="14" max="14" width="12.75" style="25" customWidth="1"/>
    <col min="15" max="15" width="0.6640625" style="25" customWidth="1"/>
    <col min="16" max="16" width="14.6640625" style="25" customWidth="1"/>
    <col min="17" max="17" width="0.9140625" style="25" customWidth="1"/>
    <col min="18" max="18" width="16.08203125" style="25" customWidth="1"/>
    <col min="19" max="19" width="13.75" style="25" customWidth="1"/>
    <col min="20" max="20" width="5.75" style="25" customWidth="1"/>
    <col min="21" max="21" width="0.9140625" style="25" customWidth="1"/>
    <col min="22" max="22" width="6.75" style="25" customWidth="1"/>
    <col min="23" max="23" width="39.58203125" style="25" customWidth="1"/>
    <col min="24" max="24" width="12" style="25" customWidth="1"/>
    <col min="25" max="25" width="1" style="25" customWidth="1"/>
    <col min="26" max="26" width="12.4140625" style="25" customWidth="1"/>
    <col min="27" max="27" width="1" style="25" customWidth="1"/>
    <col min="28" max="28" width="10.9140625" style="25" customWidth="1"/>
    <col min="29" max="29" width="0.9140625" style="25" customWidth="1"/>
    <col min="30" max="30" width="14.75" style="25" customWidth="1"/>
    <col min="31" max="31" width="0.75" style="25" customWidth="1"/>
    <col min="32" max="32" width="11.75" style="25" customWidth="1"/>
    <col min="33" max="33" width="0.9140625" style="25" customWidth="1"/>
    <col min="34" max="34" width="15.75" style="25" customWidth="1"/>
    <col min="35" max="35" width="0.58203125" style="25" customWidth="1"/>
    <col min="36" max="36" width="13.75" style="25" customWidth="1"/>
    <col min="37" max="37" width="0.4140625" style="25" customWidth="1"/>
    <col min="38" max="38" width="15.6640625" style="25" customWidth="1"/>
    <col min="39" max="39" width="0.6640625" style="25" customWidth="1"/>
    <col min="40" max="40" width="17.75" style="25" customWidth="1"/>
    <col min="41" max="41" width="0.75" style="25" customWidth="1"/>
    <col min="42" max="42" width="11.58203125" style="25" customWidth="1"/>
    <col min="43" max="99" width="9.75" style="25"/>
    <col min="100" max="100" width="20.75" style="25" customWidth="1"/>
    <col min="101" max="16384" width="8.9140625" style="25"/>
  </cols>
  <sheetData>
    <row r="1" spans="1:18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</row>
    <row r="2" spans="1:18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</row>
    <row r="3" spans="1:18" x14ac:dyDescent="0.3">
      <c r="A3" s="156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</row>
    <row r="5" spans="1:18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R6" s="26" t="s">
        <v>87</v>
      </c>
    </row>
    <row r="7" spans="1:18" x14ac:dyDescent="0.3">
      <c r="A7" s="24" t="str">
        <f>FILING_TYPE</f>
        <v>TYPE OF FILING: _X_ ORIGINAL   ___UPDATED  ___ REVISED</v>
      </c>
      <c r="R7" s="27" t="s">
        <v>178</v>
      </c>
    </row>
    <row r="8" spans="1:18" x14ac:dyDescent="0.3">
      <c r="A8" s="26" t="s">
        <v>98</v>
      </c>
      <c r="R8" s="26" t="s">
        <v>1</v>
      </c>
    </row>
    <row r="9" spans="1:18" x14ac:dyDescent="0.3">
      <c r="A9" s="177" t="str">
        <f>TIME</f>
        <v>12 MONTHS FORECASTED</v>
      </c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L12" s="176" t="s">
        <v>3</v>
      </c>
      <c r="M12" s="176"/>
      <c r="N12" s="176" t="s">
        <v>4</v>
      </c>
      <c r="O12" s="176"/>
      <c r="R12" s="176" t="s">
        <v>3</v>
      </c>
    </row>
    <row r="13" spans="1:18" x14ac:dyDescent="0.3">
      <c r="L13" s="176" t="s">
        <v>9</v>
      </c>
      <c r="M13" s="176"/>
      <c r="N13" s="176" t="s">
        <v>10</v>
      </c>
      <c r="O13" s="176"/>
      <c r="R13" s="176" t="s">
        <v>8</v>
      </c>
    </row>
    <row r="14" spans="1:18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C15" s="176" t="s">
        <v>20</v>
      </c>
      <c r="D15" s="176" t="s">
        <v>21</v>
      </c>
      <c r="E15" s="176"/>
      <c r="F15" s="176" t="s">
        <v>22</v>
      </c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1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19" x14ac:dyDescent="0.3">
      <c r="A19" s="24">
        <v>1</v>
      </c>
      <c r="C19" s="177" t="s">
        <v>48</v>
      </c>
      <c r="D19" s="177" t="s">
        <v>49</v>
      </c>
      <c r="E19" s="26"/>
    </row>
    <row r="20" spans="1:19" x14ac:dyDescent="0.3">
      <c r="A20" s="24"/>
      <c r="C20" s="26"/>
      <c r="D20" s="26"/>
      <c r="E20" s="26"/>
    </row>
    <row r="21" spans="1:19" x14ac:dyDescent="0.3">
      <c r="A21" s="25">
        <v>2</v>
      </c>
      <c r="C21" s="177" t="s">
        <v>85</v>
      </c>
    </row>
    <row r="22" spans="1:19" x14ac:dyDescent="0.3">
      <c r="A22" s="25">
        <v>3</v>
      </c>
      <c r="C22" s="26" t="s">
        <v>49</v>
      </c>
    </row>
    <row r="23" spans="1:19" x14ac:dyDescent="0.3">
      <c r="A23" s="25">
        <v>4</v>
      </c>
      <c r="C23" s="26" t="s">
        <v>195</v>
      </c>
    </row>
    <row r="24" spans="1:19" x14ac:dyDescent="0.3">
      <c r="A24" s="24">
        <v>5</v>
      </c>
      <c r="C24" s="25" t="s">
        <v>123</v>
      </c>
      <c r="F24" s="195">
        <v>1130041</v>
      </c>
      <c r="G24" s="21"/>
      <c r="H24" s="195"/>
      <c r="I24" s="195"/>
      <c r="J24" s="119">
        <f>PRO_RS_CUST</f>
        <v>19</v>
      </c>
      <c r="K24" s="119"/>
      <c r="L24" s="32">
        <f>ROUND(F24*J24,0)</f>
        <v>21470779</v>
      </c>
      <c r="M24" s="32"/>
      <c r="N24" s="33">
        <f>ROUND((L24/$L$38)*100,1)</f>
        <v>34.5</v>
      </c>
      <c r="O24" s="33"/>
      <c r="P24" s="32"/>
      <c r="Q24" s="32"/>
      <c r="R24" s="32">
        <f>L24+P24</f>
        <v>21470779</v>
      </c>
    </row>
    <row r="25" spans="1:19" x14ac:dyDescent="0.3">
      <c r="A25" s="24"/>
      <c r="F25" s="195"/>
      <c r="G25" s="21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</row>
    <row r="26" spans="1:19" x14ac:dyDescent="0.3">
      <c r="A26" s="24">
        <v>6</v>
      </c>
      <c r="C26" s="191" t="s">
        <v>124</v>
      </c>
      <c r="S26" s="37"/>
    </row>
    <row r="27" spans="1:19" x14ac:dyDescent="0.3">
      <c r="A27" s="25">
        <v>7</v>
      </c>
      <c r="C27" s="42" t="s">
        <v>130</v>
      </c>
      <c r="D27" s="42"/>
      <c r="F27" s="54"/>
      <c r="G27" s="53"/>
      <c r="H27" s="54">
        <v>6481479</v>
      </c>
      <c r="I27" s="25">
        <v>2.64</v>
      </c>
      <c r="J27" s="43">
        <f>PRO_RS_COM</f>
        <v>5.7923</v>
      </c>
      <c r="L27" s="36">
        <f>ROUND((H27*J27),0)</f>
        <v>37542671</v>
      </c>
      <c r="M27" s="21"/>
      <c r="N27" s="38">
        <f>ROUND((L27/$L$38)*100,1)</f>
        <v>60.2</v>
      </c>
      <c r="O27" s="21"/>
      <c r="P27" s="36">
        <f>ROUND(H27*EGC,0)</f>
        <v>26327768</v>
      </c>
      <c r="Q27" s="21"/>
      <c r="R27" s="36">
        <f>L27+P27</f>
        <v>63870439</v>
      </c>
      <c r="S27" s="37"/>
    </row>
    <row r="28" spans="1:19" x14ac:dyDescent="0.3">
      <c r="A28" s="24"/>
      <c r="C28" s="26"/>
      <c r="F28" s="195"/>
      <c r="H28" s="195"/>
      <c r="I28" s="72"/>
      <c r="J28" s="174"/>
      <c r="K28" s="174"/>
      <c r="L28" s="32"/>
      <c r="M28" s="37"/>
      <c r="N28" s="33"/>
      <c r="O28" s="39"/>
      <c r="P28" s="32"/>
      <c r="Q28" s="37"/>
      <c r="R28" s="32"/>
      <c r="S28" s="37"/>
    </row>
    <row r="29" spans="1:19" x14ac:dyDescent="0.3">
      <c r="A29" s="24">
        <v>8</v>
      </c>
      <c r="C29" s="196" t="s">
        <v>212</v>
      </c>
      <c r="F29" s="45">
        <f>F24</f>
        <v>1130041</v>
      </c>
      <c r="H29" s="45">
        <f>H27</f>
        <v>6481479</v>
      </c>
      <c r="I29" s="72"/>
      <c r="J29" s="174"/>
      <c r="K29" s="174"/>
      <c r="L29" s="36">
        <f>SUM(L24:L27)</f>
        <v>59013450</v>
      </c>
      <c r="M29" s="37"/>
      <c r="N29" s="38">
        <f>ROUND((L29/$L$38)*100,1)</f>
        <v>94.7</v>
      </c>
      <c r="O29" s="39"/>
      <c r="P29" s="36">
        <f>SUM(P24:P27)</f>
        <v>26327768</v>
      </c>
      <c r="Q29" s="37"/>
      <c r="R29" s="36">
        <f>SUM(R24:R27)</f>
        <v>85341218</v>
      </c>
      <c r="S29" s="37"/>
    </row>
    <row r="30" spans="1:19" x14ac:dyDescent="0.3">
      <c r="A30" s="24"/>
      <c r="C30" s="26"/>
      <c r="F30" s="195"/>
      <c r="H30" s="195"/>
      <c r="I30" s="72"/>
      <c r="J30" s="174"/>
      <c r="K30" s="174"/>
      <c r="L30" s="32"/>
      <c r="M30" s="37"/>
      <c r="N30" s="33"/>
      <c r="O30" s="39"/>
      <c r="P30" s="32"/>
      <c r="Q30" s="37"/>
      <c r="R30" s="32"/>
      <c r="S30" s="37"/>
    </row>
    <row r="31" spans="1:19" x14ac:dyDescent="0.3">
      <c r="A31" s="24">
        <v>9</v>
      </c>
      <c r="C31" s="177" t="s">
        <v>206</v>
      </c>
      <c r="F31" s="195"/>
      <c r="H31" s="195"/>
      <c r="I31" s="72"/>
      <c r="J31" s="174"/>
      <c r="K31" s="174"/>
      <c r="L31" s="32"/>
      <c r="M31" s="37"/>
      <c r="N31" s="33"/>
      <c r="O31" s="39"/>
      <c r="P31" s="32"/>
      <c r="Q31" s="37"/>
      <c r="R31" s="32"/>
      <c r="S31" s="37"/>
    </row>
    <row r="32" spans="1:19" x14ac:dyDescent="0.3">
      <c r="A32" s="24">
        <v>10</v>
      </c>
      <c r="C32" s="149" t="s">
        <v>211</v>
      </c>
      <c r="F32" s="195"/>
      <c r="H32" s="195"/>
      <c r="I32" s="72"/>
      <c r="J32" s="35">
        <f>PRO_RS_HEA</f>
        <v>0.3</v>
      </c>
      <c r="K32" s="174"/>
      <c r="L32" s="32">
        <f>ROUND(F24*PRO_RS_HEA,0)</f>
        <v>339012</v>
      </c>
      <c r="M32" s="37"/>
      <c r="N32" s="33">
        <f>ROUND((L32/$L$38)*100,1)</f>
        <v>0.5</v>
      </c>
      <c r="O32" s="39"/>
      <c r="P32" s="32"/>
      <c r="Q32" s="37"/>
      <c r="R32" s="32">
        <f>L32+P32</f>
        <v>339012</v>
      </c>
      <c r="S32" s="37"/>
    </row>
    <row r="33" spans="1:42" x14ac:dyDescent="0.3">
      <c r="A33" s="24">
        <v>11</v>
      </c>
      <c r="C33" s="171" t="s">
        <v>222</v>
      </c>
      <c r="D33" s="21"/>
      <c r="E33" s="21"/>
      <c r="F33" s="195"/>
      <c r="G33" s="21"/>
      <c r="H33" s="195"/>
      <c r="I33" s="195"/>
      <c r="J33" s="172">
        <f>PRO_RS_DSM</f>
        <v>0.45817000000000002</v>
      </c>
      <c r="K33" s="197"/>
      <c r="L33" s="32">
        <f>ROUND(H27*J33,0)</f>
        <v>2969619</v>
      </c>
      <c r="M33" s="32"/>
      <c r="N33" s="105">
        <f>ROUND((L33/$L$38)*100,1)</f>
        <v>4.8</v>
      </c>
      <c r="O33" s="33"/>
      <c r="P33" s="32"/>
      <c r="Q33" s="32"/>
      <c r="R33" s="32">
        <f>L33+P33</f>
        <v>2969619</v>
      </c>
      <c r="S33" s="37"/>
    </row>
    <row r="34" spans="1:42" x14ac:dyDescent="0.3">
      <c r="A34" s="24">
        <v>12</v>
      </c>
      <c r="C34" s="171" t="s">
        <v>295</v>
      </c>
      <c r="D34" s="21"/>
      <c r="E34" s="21"/>
      <c r="F34" s="195"/>
      <c r="G34" s="21"/>
      <c r="H34" s="195"/>
      <c r="I34" s="195"/>
      <c r="J34" s="172">
        <v>0</v>
      </c>
      <c r="K34" s="197"/>
      <c r="L34" s="32">
        <f>ROUND(H29*J34,0)</f>
        <v>0</v>
      </c>
      <c r="M34" s="32"/>
      <c r="N34" s="105">
        <f>ROUND((L34/$L$38)*100,1)</f>
        <v>0</v>
      </c>
      <c r="O34" s="33"/>
      <c r="P34" s="32"/>
      <c r="Q34" s="32"/>
      <c r="R34" s="32">
        <f>L34+P34</f>
        <v>0</v>
      </c>
      <c r="S34" s="37"/>
    </row>
    <row r="35" spans="1:42" x14ac:dyDescent="0.3">
      <c r="A35" s="24"/>
      <c r="C35" s="150"/>
      <c r="F35" s="195"/>
      <c r="H35" s="195"/>
      <c r="I35" s="72"/>
      <c r="J35" s="174"/>
      <c r="K35" s="174"/>
      <c r="L35" s="32"/>
      <c r="M35" s="37"/>
      <c r="N35" s="33"/>
      <c r="O35" s="39"/>
      <c r="P35" s="32"/>
      <c r="Q35" s="37"/>
      <c r="R35" s="32"/>
      <c r="S35" s="37"/>
    </row>
    <row r="36" spans="1:42" x14ac:dyDescent="0.3">
      <c r="A36" s="24">
        <v>13</v>
      </c>
      <c r="C36" s="196" t="s">
        <v>209</v>
      </c>
      <c r="F36" s="195"/>
      <c r="H36" s="195"/>
      <c r="I36" s="72"/>
      <c r="J36" s="174"/>
      <c r="K36" s="174"/>
      <c r="L36" s="36">
        <f>SUM(L32:L34)</f>
        <v>3308631</v>
      </c>
      <c r="M36" s="37"/>
      <c r="N36" s="131">
        <f>ROUND((L36/$L$38)*100,1)</f>
        <v>5.3</v>
      </c>
      <c r="O36" s="39"/>
      <c r="P36" s="36"/>
      <c r="Q36" s="37"/>
      <c r="R36" s="36">
        <f>SUM(R32:R34)</f>
        <v>3308631</v>
      </c>
      <c r="S36" s="37"/>
    </row>
    <row r="37" spans="1:42" x14ac:dyDescent="0.3">
      <c r="A37" s="24"/>
      <c r="C37" s="26"/>
      <c r="F37" s="195"/>
      <c r="H37" s="195"/>
      <c r="I37" s="72"/>
      <c r="J37" s="174"/>
      <c r="K37" s="174"/>
      <c r="L37" s="32"/>
      <c r="M37" s="37"/>
      <c r="N37" s="33"/>
      <c r="O37" s="39"/>
      <c r="P37" s="32"/>
      <c r="Q37" s="37"/>
      <c r="R37" s="32"/>
      <c r="S37" s="37"/>
    </row>
    <row r="38" spans="1:42" ht="16.2" thickBot="1" x14ac:dyDescent="0.35">
      <c r="A38" s="24">
        <v>14</v>
      </c>
      <c r="C38" s="191" t="s">
        <v>213</v>
      </c>
      <c r="F38" s="40">
        <f>F24</f>
        <v>1130041</v>
      </c>
      <c r="H38" s="40">
        <f>H27</f>
        <v>6481479</v>
      </c>
      <c r="I38" s="37"/>
      <c r="J38" s="46"/>
      <c r="K38" s="46"/>
      <c r="L38" s="40">
        <f>L29+L36</f>
        <v>62322081</v>
      </c>
      <c r="M38" s="37"/>
      <c r="N38" s="76">
        <f>SUM(N29+N36)</f>
        <v>100</v>
      </c>
      <c r="O38" s="39"/>
      <c r="P38" s="40">
        <f>P29+P36</f>
        <v>26327768</v>
      </c>
      <c r="Q38" s="72"/>
      <c r="R38" s="40">
        <f>R29+R36</f>
        <v>88649849</v>
      </c>
      <c r="S38" s="37"/>
    </row>
    <row r="39" spans="1:42" ht="16.2" thickTop="1" x14ac:dyDescent="0.3">
      <c r="L39" s="37"/>
      <c r="M39" s="37"/>
      <c r="N39" s="37"/>
      <c r="O39" s="37"/>
      <c r="P39" s="37"/>
      <c r="Q39" s="37"/>
      <c r="R39" s="37"/>
      <c r="S39" s="37"/>
    </row>
    <row r="40" spans="1:42" x14ac:dyDescent="0.3">
      <c r="C40" s="26" t="s">
        <v>51</v>
      </c>
      <c r="L40" s="37"/>
      <c r="M40" s="37"/>
      <c r="N40" s="37"/>
      <c r="O40" s="37"/>
      <c r="P40" s="37"/>
      <c r="Q40" s="37"/>
      <c r="R40" s="37"/>
      <c r="S40" s="37"/>
    </row>
    <row r="41" spans="1:42" x14ac:dyDescent="0.3">
      <c r="C41" s="42" t="s">
        <v>118</v>
      </c>
    </row>
    <row r="42" spans="1:42" x14ac:dyDescent="0.3">
      <c r="C42" s="26" t="str">
        <f>"(3) REFLECTS AVERAGE EXPECTED GAS COST OF "&amp;TEXT(EGC,"$0.000")&amp;"/MCF."</f>
        <v>(3) REFLECTS AVERAGE EXPECTED GAS COST OF $4.062/MCF.</v>
      </c>
      <c r="H42" s="66"/>
      <c r="I42" s="42"/>
      <c r="T42" s="67" t="str">
        <f>COMPANY</f>
        <v>DUKE ENERGY KENTUCKY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x14ac:dyDescent="0.3">
      <c r="C43" s="27"/>
      <c r="H43" s="66"/>
      <c r="I43" s="42"/>
      <c r="T43" s="67" t="str">
        <f>CASE</f>
        <v>CASE NO. 2021-00190</v>
      </c>
      <c r="U43" s="19"/>
      <c r="V43" s="19"/>
      <c r="W43" s="19"/>
      <c r="X43" s="19"/>
      <c r="Y43" s="19"/>
      <c r="Z43" s="19"/>
      <c r="AA43" s="19"/>
      <c r="AB43" s="20"/>
      <c r="AC43" s="20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x14ac:dyDescent="0.3">
      <c r="T44" s="20" t="s">
        <v>82</v>
      </c>
      <c r="U44" s="19"/>
      <c r="V44" s="19"/>
      <c r="W44" s="19"/>
      <c r="X44" s="19"/>
      <c r="Y44" s="19"/>
      <c r="Z44" s="20"/>
      <c r="AA44" s="20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x14ac:dyDescent="0.3">
      <c r="T45" s="19" t="str">
        <f>TIME_PERIOD</f>
        <v>FOR THE TWELVE MONTHS ENDED DECEMBER 31, 2022</v>
      </c>
      <c r="U45" s="19"/>
      <c r="V45" s="19"/>
      <c r="W45" s="19"/>
      <c r="X45" s="19"/>
      <c r="Y45" s="19"/>
      <c r="Z45" s="19"/>
      <c r="AA45" s="19"/>
      <c r="AB45" s="20"/>
      <c r="AC45" s="20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x14ac:dyDescent="0.3">
      <c r="T46" s="19" t="str">
        <f>SERV_TYPE</f>
        <v>(GAS SERVICE)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x14ac:dyDescent="0.3">
      <c r="T47" s="24" t="str">
        <f>DATA_TYPE</f>
        <v>DATA: ___ BASE PERIOD   _X_FORECASTED PERIOD</v>
      </c>
      <c r="AN47" s="26" t="s">
        <v>88</v>
      </c>
      <c r="AO47" s="26"/>
    </row>
    <row r="48" spans="1:42" x14ac:dyDescent="0.3">
      <c r="T48" s="24" t="str">
        <f>FILING_TYPE</f>
        <v>TYPE OF FILING: _X_ ORIGINAL   ___UPDATED  ___ REVISED</v>
      </c>
      <c r="AN48" s="27" t="str">
        <f>R7</f>
        <v>PAGE  2  OF  7</v>
      </c>
      <c r="AO48" s="26"/>
    </row>
    <row r="49" spans="20:42" x14ac:dyDescent="0.3">
      <c r="T49" s="26" t="s">
        <v>98</v>
      </c>
      <c r="AN49" s="26" t="s">
        <v>1</v>
      </c>
      <c r="AO49" s="26"/>
    </row>
    <row r="50" spans="20:42" x14ac:dyDescent="0.3">
      <c r="T50" s="177" t="str">
        <f>TIME</f>
        <v>12 MONTHS FORECASTED</v>
      </c>
      <c r="AN50" s="26" t="str">
        <f>WIT</f>
        <v>J.L. Kern</v>
      </c>
      <c r="AO50" s="26"/>
    </row>
    <row r="51" spans="20:42" x14ac:dyDescent="0.3">
      <c r="AD51" s="26" t="s">
        <v>2</v>
      </c>
      <c r="AE51" s="26"/>
      <c r="AN51" s="24"/>
      <c r="AO51" s="24"/>
    </row>
    <row r="52" spans="20:42" x14ac:dyDescent="0.3"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20:42" x14ac:dyDescent="0.3">
      <c r="AD53" s="176" t="s">
        <v>5</v>
      </c>
      <c r="AE53" s="176"/>
      <c r="AF53" s="176" t="s">
        <v>4</v>
      </c>
      <c r="AG53" s="176"/>
      <c r="AH53" s="176" t="s">
        <v>6</v>
      </c>
      <c r="AI53" s="176"/>
      <c r="AJ53" s="176" t="s">
        <v>7</v>
      </c>
      <c r="AK53" s="176"/>
      <c r="AN53" s="176" t="s">
        <v>5</v>
      </c>
      <c r="AO53" s="176"/>
      <c r="AP53" s="176" t="s">
        <v>8</v>
      </c>
    </row>
    <row r="54" spans="20:42" x14ac:dyDescent="0.3">
      <c r="AB54" s="176" t="s">
        <v>11</v>
      </c>
      <c r="AC54" s="176"/>
      <c r="AD54" s="176" t="s">
        <v>9</v>
      </c>
      <c r="AE54" s="176"/>
      <c r="AF54" s="176" t="s">
        <v>10</v>
      </c>
      <c r="AG54" s="176"/>
      <c r="AH54" s="176" t="s">
        <v>12</v>
      </c>
      <c r="AI54" s="176"/>
      <c r="AJ54" s="176" t="s">
        <v>13</v>
      </c>
      <c r="AK54" s="176"/>
      <c r="AN54" s="176" t="s">
        <v>8</v>
      </c>
      <c r="AO54" s="176"/>
      <c r="AP54" s="176" t="s">
        <v>6</v>
      </c>
    </row>
    <row r="55" spans="20:42" x14ac:dyDescent="0.3">
      <c r="T55" s="176" t="s">
        <v>14</v>
      </c>
      <c r="V55" s="176" t="s">
        <v>15</v>
      </c>
      <c r="W55" s="176" t="s">
        <v>16</v>
      </c>
      <c r="X55" s="176" t="s">
        <v>17</v>
      </c>
      <c r="AB55" s="176" t="s">
        <v>5</v>
      </c>
      <c r="AC55" s="176"/>
      <c r="AD55" s="176" t="s">
        <v>112</v>
      </c>
      <c r="AE55" s="176"/>
      <c r="AF55" s="176" t="s">
        <v>112</v>
      </c>
      <c r="AG55" s="176"/>
      <c r="AH55" s="176" t="s">
        <v>113</v>
      </c>
      <c r="AI55" s="176"/>
      <c r="AJ55" s="176" t="s">
        <v>113</v>
      </c>
      <c r="AK55" s="176"/>
      <c r="AL55" s="176" t="s">
        <v>112</v>
      </c>
      <c r="AM55" s="176"/>
      <c r="AN55" s="176" t="s">
        <v>6</v>
      </c>
      <c r="AO55" s="176"/>
      <c r="AP55" s="176" t="s">
        <v>18</v>
      </c>
    </row>
    <row r="56" spans="20:42" x14ac:dyDescent="0.3">
      <c r="T56" s="176" t="s">
        <v>19</v>
      </c>
      <c r="V56" s="176" t="s">
        <v>20</v>
      </c>
      <c r="W56" s="176" t="s">
        <v>21</v>
      </c>
      <c r="X56" s="176" t="s">
        <v>22</v>
      </c>
      <c r="Z56" s="31" t="s">
        <v>117</v>
      </c>
      <c r="AA56" s="176"/>
      <c r="AB56" s="176" t="s">
        <v>24</v>
      </c>
      <c r="AC56" s="176"/>
      <c r="AD56" s="176" t="s">
        <v>6</v>
      </c>
      <c r="AE56" s="176"/>
      <c r="AF56" s="176" t="s">
        <v>6</v>
      </c>
      <c r="AG56" s="176"/>
      <c r="AH56" s="188" t="s">
        <v>26</v>
      </c>
      <c r="AI56" s="188"/>
      <c r="AJ56" s="188" t="s">
        <v>27</v>
      </c>
      <c r="AK56" s="176"/>
      <c r="AL56" s="31" t="s">
        <v>116</v>
      </c>
      <c r="AM56" s="176"/>
      <c r="AN56" s="188" t="s">
        <v>28</v>
      </c>
      <c r="AO56" s="188"/>
      <c r="AP56" s="188" t="s">
        <v>29</v>
      </c>
    </row>
    <row r="57" spans="20:42" x14ac:dyDescent="0.3">
      <c r="V57" s="188" t="s">
        <v>30</v>
      </c>
      <c r="W57" s="188" t="s">
        <v>31</v>
      </c>
      <c r="X57" s="188" t="s">
        <v>32</v>
      </c>
      <c r="Y57" s="184"/>
      <c r="Z57" s="188" t="s">
        <v>33</v>
      </c>
      <c r="AA57" s="188"/>
      <c r="AB57" s="188" t="s">
        <v>39</v>
      </c>
      <c r="AC57" s="188"/>
      <c r="AD57" s="188" t="s">
        <v>40</v>
      </c>
      <c r="AE57" s="188"/>
      <c r="AF57" s="188" t="s">
        <v>41</v>
      </c>
      <c r="AG57" s="188"/>
      <c r="AH57" s="188" t="s">
        <v>42</v>
      </c>
      <c r="AI57" s="188"/>
      <c r="AJ57" s="188" t="s">
        <v>43</v>
      </c>
      <c r="AK57" s="188"/>
      <c r="AL57" s="188" t="s">
        <v>37</v>
      </c>
      <c r="AM57" s="188"/>
      <c r="AN57" s="188" t="s">
        <v>44</v>
      </c>
      <c r="AO57" s="188"/>
      <c r="AP57" s="188" t="s">
        <v>45</v>
      </c>
    </row>
    <row r="58" spans="20:42" x14ac:dyDescent="0.3"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20:42" x14ac:dyDescent="0.3">
      <c r="Z59" s="189" t="s">
        <v>115</v>
      </c>
      <c r="AA59" s="188"/>
      <c r="AB59" s="189" t="s">
        <v>114</v>
      </c>
      <c r="AC59" s="188"/>
      <c r="AD59" s="188" t="s">
        <v>46</v>
      </c>
      <c r="AE59" s="188"/>
      <c r="AF59" s="188" t="s">
        <v>47</v>
      </c>
      <c r="AG59" s="188"/>
      <c r="AH59" s="188" t="s">
        <v>46</v>
      </c>
      <c r="AI59" s="188"/>
      <c r="AJ59" s="188" t="s">
        <v>47</v>
      </c>
      <c r="AK59" s="188"/>
      <c r="AL59" s="188" t="s">
        <v>46</v>
      </c>
      <c r="AM59" s="188"/>
      <c r="AN59" s="188" t="s">
        <v>46</v>
      </c>
      <c r="AO59" s="188"/>
      <c r="AP59" s="188" t="s">
        <v>47</v>
      </c>
    </row>
    <row r="60" spans="20:42" x14ac:dyDescent="0.3">
      <c r="T60" s="24">
        <v>1</v>
      </c>
      <c r="V60" s="177" t="s">
        <v>48</v>
      </c>
      <c r="W60" s="177" t="s">
        <v>49</v>
      </c>
    </row>
    <row r="61" spans="20:42" x14ac:dyDescent="0.3">
      <c r="T61" s="24"/>
      <c r="V61" s="26"/>
      <c r="W61" s="26"/>
    </row>
    <row r="62" spans="20:42" x14ac:dyDescent="0.3">
      <c r="T62" s="25">
        <v>2</v>
      </c>
      <c r="V62" s="184" t="s">
        <v>85</v>
      </c>
    </row>
    <row r="63" spans="20:42" x14ac:dyDescent="0.3">
      <c r="T63" s="25">
        <v>3</v>
      </c>
      <c r="V63" s="26" t="s">
        <v>49</v>
      </c>
    </row>
    <row r="64" spans="20:42" x14ac:dyDescent="0.3">
      <c r="T64" s="25">
        <v>4</v>
      </c>
      <c r="V64" s="26" t="s">
        <v>196</v>
      </c>
    </row>
    <row r="65" spans="20:81" x14ac:dyDescent="0.3">
      <c r="T65" s="24">
        <v>5</v>
      </c>
      <c r="V65" s="25" t="s">
        <v>123</v>
      </c>
      <c r="W65" s="26"/>
      <c r="X65" s="32">
        <f>F24</f>
        <v>1130041</v>
      </c>
      <c r="Y65" s="21"/>
      <c r="Z65" s="32"/>
      <c r="AA65" s="37"/>
      <c r="AB65" s="35">
        <f>CUR_RS_CUST</f>
        <v>16.5</v>
      </c>
      <c r="AC65" s="35"/>
      <c r="AD65" s="32">
        <f>ROUND(X65*AB65,0)</f>
        <v>18645677</v>
      </c>
      <c r="AE65" s="32"/>
      <c r="AF65" s="105">
        <f>ROUND((AD65/$AD$79)*100,1)</f>
        <v>35.6</v>
      </c>
      <c r="AG65" s="33"/>
      <c r="AH65" s="32">
        <f>L24-AD65</f>
        <v>2825102</v>
      </c>
      <c r="AI65" s="32"/>
      <c r="AJ65" s="108">
        <f t="shared" ref="AJ65" si="0">IF(AD65=0,"0.0 ",ROUND((AH65/AD65)*100,1))</f>
        <v>15.2</v>
      </c>
      <c r="AK65" s="33"/>
      <c r="AL65" s="32"/>
      <c r="AM65" s="32"/>
      <c r="AN65" s="32">
        <f>AD65+AL65</f>
        <v>18645677</v>
      </c>
      <c r="AO65" s="32"/>
      <c r="AP65" s="109">
        <f>IF(AN65=0,"0.0 ",ROUND((AH65/AN65)*100,1))</f>
        <v>15.2</v>
      </c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20:81" x14ac:dyDescent="0.3">
      <c r="T66" s="24"/>
      <c r="W66" s="26"/>
      <c r="X66" s="32"/>
      <c r="Y66" s="21"/>
      <c r="Z66" s="32"/>
      <c r="AA66" s="37"/>
      <c r="AB66" s="35"/>
      <c r="AC66" s="35"/>
      <c r="AD66" s="32"/>
      <c r="AE66" s="32"/>
      <c r="AF66" s="105"/>
      <c r="AG66" s="33"/>
      <c r="AH66" s="32"/>
      <c r="AI66" s="32"/>
      <c r="AJ66" s="108"/>
      <c r="AK66" s="33"/>
      <c r="AL66" s="32"/>
      <c r="AM66" s="32"/>
      <c r="AN66" s="32"/>
      <c r="AO66" s="32"/>
      <c r="AP66" s="109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20:81" x14ac:dyDescent="0.3">
      <c r="T67" s="25">
        <v>6</v>
      </c>
      <c r="V67" s="191" t="s">
        <v>124</v>
      </c>
      <c r="Z67" s="37"/>
      <c r="AB67" s="72"/>
      <c r="AC67" s="72"/>
      <c r="AD67" s="37"/>
      <c r="AE67" s="37"/>
      <c r="AF67" s="103"/>
      <c r="AG67" s="39"/>
      <c r="AH67" s="37"/>
      <c r="AI67" s="37"/>
      <c r="AJ67" s="56"/>
      <c r="AL67" s="37"/>
      <c r="AM67" s="37"/>
      <c r="AN67" s="37"/>
      <c r="AO67" s="37"/>
    </row>
    <row r="68" spans="20:81" x14ac:dyDescent="0.3">
      <c r="T68" s="25">
        <v>7</v>
      </c>
      <c r="V68" s="25" t="s">
        <v>130</v>
      </c>
      <c r="W68" s="42"/>
      <c r="X68" s="54"/>
      <c r="Z68" s="54">
        <f>H27</f>
        <v>6481479</v>
      </c>
      <c r="AB68" s="147">
        <f>CUR_RS</f>
        <v>4.6920000000000002</v>
      </c>
      <c r="AC68" s="72"/>
      <c r="AD68" s="36">
        <f>ROUND((Z68*AB68),0)</f>
        <v>30411099</v>
      </c>
      <c r="AE68" s="37"/>
      <c r="AF68" s="131">
        <f>ROUND((AD68/$AD$79)*100,1)</f>
        <v>58.1</v>
      </c>
      <c r="AG68" s="39"/>
      <c r="AH68" s="36">
        <f>L27-AD68</f>
        <v>7131572</v>
      </c>
      <c r="AI68" s="37"/>
      <c r="AJ68" s="107">
        <f>IF(AD68=0,"0.0 ",ROUND((AH68/AD68)*100,1))</f>
        <v>23.5</v>
      </c>
      <c r="AL68" s="36">
        <f>P27</f>
        <v>26327768</v>
      </c>
      <c r="AM68" s="37"/>
      <c r="AN68" s="36">
        <f>AD68+AL68</f>
        <v>56738867</v>
      </c>
      <c r="AO68" s="37"/>
      <c r="AP68" s="109">
        <f>IF(AN68=0,"0.0 ",ROUND((AH68/AN68)*100,1))</f>
        <v>12.6</v>
      </c>
    </row>
    <row r="69" spans="20:81" x14ac:dyDescent="0.3">
      <c r="T69" s="24"/>
      <c r="V69" s="26"/>
      <c r="X69" s="195"/>
      <c r="Z69" s="195"/>
      <c r="AB69" s="72"/>
      <c r="AC69" s="72"/>
      <c r="AD69" s="37"/>
      <c r="AE69" s="37"/>
      <c r="AF69" s="103"/>
      <c r="AG69" s="39"/>
      <c r="AH69" s="37"/>
      <c r="AI69" s="37"/>
      <c r="AJ69" s="56"/>
      <c r="AL69" s="37"/>
      <c r="AM69" s="37"/>
      <c r="AN69" s="37"/>
      <c r="AO69" s="37"/>
    </row>
    <row r="70" spans="20:81" x14ac:dyDescent="0.3">
      <c r="T70" s="24">
        <v>8</v>
      </c>
      <c r="V70" s="196" t="s">
        <v>212</v>
      </c>
      <c r="X70" s="54">
        <f>X65</f>
        <v>1130041</v>
      </c>
      <c r="Z70" s="54">
        <f>Z68</f>
        <v>6481479</v>
      </c>
      <c r="AB70" s="193"/>
      <c r="AC70" s="193"/>
      <c r="AD70" s="36">
        <f>SUM(AD65:AD68)</f>
        <v>49056776</v>
      </c>
      <c r="AE70" s="37"/>
      <c r="AF70" s="131">
        <f>ROUND((AD70/$AD$79)*100,1)</f>
        <v>93.7</v>
      </c>
      <c r="AG70" s="39"/>
      <c r="AH70" s="36">
        <f>SUM(AH65:AH68)</f>
        <v>9956674</v>
      </c>
      <c r="AI70" s="37"/>
      <c r="AJ70" s="107">
        <f>IF(AD70=0,"0.0 ",ROUND((AH70/AD70)*100,1))</f>
        <v>20.3</v>
      </c>
      <c r="AK70" s="39"/>
      <c r="AL70" s="36">
        <f>SUM(AL65:AL68)</f>
        <v>26327768</v>
      </c>
      <c r="AM70" s="37"/>
      <c r="AN70" s="36">
        <f>SUM(AN65:AN68)</f>
        <v>75384544</v>
      </c>
      <c r="AO70" s="37"/>
      <c r="AP70" s="109">
        <f>IF(AN70=0,"0.0 ",ROUND((AH70/AN70)*100,1))</f>
        <v>13.2</v>
      </c>
    </row>
    <row r="71" spans="20:81" x14ac:dyDescent="0.3">
      <c r="T71" s="24"/>
      <c r="V71" s="26"/>
      <c r="AB71" s="193"/>
      <c r="AC71" s="193"/>
      <c r="AD71" s="37"/>
      <c r="AE71" s="37"/>
      <c r="AF71" s="103"/>
      <c r="AG71" s="39"/>
      <c r="AH71" s="37"/>
      <c r="AI71" s="37"/>
      <c r="AJ71" s="70"/>
      <c r="AK71" s="39"/>
      <c r="AL71" s="37"/>
      <c r="AM71" s="37"/>
      <c r="AN71" s="37"/>
      <c r="AO71" s="37"/>
      <c r="AP71" s="39"/>
    </row>
    <row r="72" spans="20:81" x14ac:dyDescent="0.3">
      <c r="T72" s="24">
        <v>9</v>
      </c>
      <c r="V72" s="177" t="s">
        <v>206</v>
      </c>
      <c r="AB72" s="193"/>
      <c r="AC72" s="193"/>
      <c r="AD72" s="37"/>
      <c r="AE72" s="37"/>
      <c r="AF72" s="103"/>
      <c r="AG72" s="39"/>
      <c r="AH72" s="37"/>
      <c r="AI72" s="37"/>
      <c r="AJ72" s="70"/>
      <c r="AK72" s="39"/>
      <c r="AL72" s="37"/>
      <c r="AM72" s="37"/>
      <c r="AN72" s="37"/>
      <c r="AO72" s="37"/>
      <c r="AP72" s="39"/>
    </row>
    <row r="73" spans="20:81" x14ac:dyDescent="0.3">
      <c r="T73" s="24">
        <v>10</v>
      </c>
      <c r="V73" s="149" t="s">
        <v>211</v>
      </c>
      <c r="AB73" s="35">
        <f>CUR_RS_HEA</f>
        <v>0.3</v>
      </c>
      <c r="AC73" s="193"/>
      <c r="AD73" s="37">
        <f>ROUND(X65*CUR_RS_HEA,0)</f>
        <v>339012</v>
      </c>
      <c r="AE73" s="37"/>
      <c r="AF73" s="105">
        <f>ROUND((AD73/$AD$79)*100,1)</f>
        <v>0.6</v>
      </c>
      <c r="AG73" s="39"/>
      <c r="AH73" s="32">
        <f>L32-AD73</f>
        <v>0</v>
      </c>
      <c r="AI73" s="37"/>
      <c r="AJ73" s="108">
        <f t="shared" ref="AJ73" si="1">IF(AD73=0,"0.0 ",ROUND((AH73/AD73)*100,1))</f>
        <v>0</v>
      </c>
      <c r="AK73" s="39"/>
      <c r="AL73" s="37"/>
      <c r="AM73" s="37"/>
      <c r="AN73" s="32">
        <f t="shared" ref="AN73" si="2">AD73+AL73</f>
        <v>339012</v>
      </c>
      <c r="AO73" s="37"/>
      <c r="AP73" s="109">
        <f t="shared" ref="AP73" si="3">IF(AN73=0,"0.0 ",ROUND((AH73/AN73)*100,1))</f>
        <v>0</v>
      </c>
    </row>
    <row r="74" spans="20:81" x14ac:dyDescent="0.3">
      <c r="T74" s="24">
        <v>11</v>
      </c>
      <c r="V74" s="171" t="s">
        <v>222</v>
      </c>
      <c r="W74" s="21"/>
      <c r="X74" s="21"/>
      <c r="Y74" s="21"/>
      <c r="Z74" s="21"/>
      <c r="AA74" s="21"/>
      <c r="AB74" s="173">
        <f>CUR_RS_DSM</f>
        <v>0.45817000000000002</v>
      </c>
      <c r="AC74" s="198"/>
      <c r="AD74" s="32">
        <f>ROUND(Z68*AB74,0)</f>
        <v>2969619</v>
      </c>
      <c r="AE74" s="32"/>
      <c r="AF74" s="105">
        <f>ROUND((AD74/$AD$79)*100,1)</f>
        <v>5.7</v>
      </c>
      <c r="AG74" s="33"/>
      <c r="AH74" s="32">
        <f>L33-AD74</f>
        <v>0</v>
      </c>
      <c r="AI74" s="32"/>
      <c r="AJ74" s="108">
        <f t="shared" ref="AJ74" si="4">IF(AD74=0,"0.0 ",ROUND((AH74/AD74)*100,1))</f>
        <v>0</v>
      </c>
      <c r="AK74" s="33"/>
      <c r="AL74" s="32"/>
      <c r="AM74" s="32"/>
      <c r="AN74" s="32">
        <f t="shared" ref="AN74" si="5">AD74+AL74</f>
        <v>2969619</v>
      </c>
      <c r="AO74" s="32"/>
      <c r="AP74" s="109">
        <f t="shared" ref="AP74" si="6">IF(AN74=0,"0.0 ",ROUND((AH74/AN74)*100,1))</f>
        <v>0</v>
      </c>
    </row>
    <row r="75" spans="20:81" x14ac:dyDescent="0.3">
      <c r="T75" s="24">
        <f>A34</f>
        <v>12</v>
      </c>
      <c r="V75" s="171" t="s">
        <v>295</v>
      </c>
      <c r="W75" s="21"/>
      <c r="X75" s="21"/>
      <c r="Y75" s="21"/>
      <c r="Z75" s="21"/>
      <c r="AA75" s="21"/>
      <c r="AB75" s="173">
        <v>0</v>
      </c>
      <c r="AC75" s="198"/>
      <c r="AD75" s="32">
        <f>ROUND(Z70*AB75,0)</f>
        <v>0</v>
      </c>
      <c r="AE75" s="32"/>
      <c r="AF75" s="105">
        <f t="shared" ref="AF75" si="7">ROUND((AD75/$AD$79)*100,1)</f>
        <v>0</v>
      </c>
      <c r="AG75" s="33"/>
      <c r="AH75" s="32">
        <f>L34-AD75</f>
        <v>0</v>
      </c>
      <c r="AI75" s="32"/>
      <c r="AJ75" s="108" t="str">
        <f t="shared" ref="AJ75" si="8">IF(AD75=0,"0.0 ",ROUND((AH75/AD75)*100,1))</f>
        <v xml:space="preserve">0.0 </v>
      </c>
      <c r="AK75" s="33"/>
      <c r="AL75" s="32"/>
      <c r="AM75" s="32"/>
      <c r="AN75" s="32">
        <f t="shared" ref="AN75" si="9">AD75+AL75</f>
        <v>0</v>
      </c>
      <c r="AO75" s="32"/>
      <c r="AP75" s="109" t="str">
        <f t="shared" ref="AP75" si="10">IF(AN75=0,"0.0 ",ROUND((AH75/AN75)*100,1))</f>
        <v xml:space="preserve">0.0 </v>
      </c>
    </row>
    <row r="76" spans="20:81" x14ac:dyDescent="0.3">
      <c r="T76" s="24"/>
      <c r="V76" s="150"/>
      <c r="AB76" s="193"/>
      <c r="AC76" s="193"/>
      <c r="AD76" s="37"/>
      <c r="AE76" s="37"/>
      <c r="AF76" s="103"/>
      <c r="AG76" s="39"/>
      <c r="AH76" s="37"/>
      <c r="AI76" s="37"/>
      <c r="AJ76" s="70"/>
      <c r="AK76" s="39"/>
      <c r="AL76" s="37"/>
      <c r="AM76" s="37"/>
      <c r="AN76" s="37"/>
      <c r="AO76" s="37"/>
      <c r="AP76" s="39"/>
    </row>
    <row r="77" spans="20:81" x14ac:dyDescent="0.3">
      <c r="T77" s="24">
        <f>A36</f>
        <v>13</v>
      </c>
      <c r="V77" s="196" t="s">
        <v>209</v>
      </c>
      <c r="AB77" s="193"/>
      <c r="AC77" s="193"/>
      <c r="AD77" s="36">
        <f>SUM(AD73:AD75)</f>
        <v>3308631</v>
      </c>
      <c r="AE77" s="37"/>
      <c r="AF77" s="131">
        <f>ROUND((AD77/$AD$79)*100,1)</f>
        <v>6.3</v>
      </c>
      <c r="AG77" s="39"/>
      <c r="AH77" s="36">
        <f>SUM(AH73:AH75)</f>
        <v>0</v>
      </c>
      <c r="AI77" s="37"/>
      <c r="AJ77" s="107">
        <f>IF(AD77=0,"0.0 ",ROUND((AH77/AD77)*100,1))</f>
        <v>0</v>
      </c>
      <c r="AK77" s="39"/>
      <c r="AL77" s="36"/>
      <c r="AM77" s="37"/>
      <c r="AN77" s="36">
        <f>SUM(AN73:AN75)</f>
        <v>3308631</v>
      </c>
      <c r="AO77" s="37"/>
      <c r="AP77" s="109">
        <f>IF(AN77=0,"0.0 ",ROUND((AH77/AN77)*100,1))</f>
        <v>0</v>
      </c>
    </row>
    <row r="78" spans="20:81" x14ac:dyDescent="0.3">
      <c r="T78" s="24"/>
      <c r="AB78" s="193"/>
      <c r="AC78" s="193"/>
      <c r="AD78" s="37"/>
      <c r="AE78" s="37"/>
      <c r="AF78" s="103"/>
      <c r="AG78" s="39"/>
      <c r="AH78" s="37"/>
      <c r="AI78" s="37"/>
      <c r="AJ78" s="70"/>
      <c r="AK78" s="39"/>
      <c r="AL78" s="37"/>
      <c r="AM78" s="37"/>
      <c r="AN78" s="37"/>
      <c r="AO78" s="37"/>
      <c r="AP78" s="39"/>
    </row>
    <row r="79" spans="20:81" ht="16.2" thickBot="1" x14ac:dyDescent="0.35">
      <c r="T79" s="24">
        <f>A38</f>
        <v>14</v>
      </c>
      <c r="V79" s="191" t="s">
        <v>213</v>
      </c>
      <c r="X79" s="40">
        <f>X65</f>
        <v>1130041</v>
      </c>
      <c r="Z79" s="40">
        <f>Z68</f>
        <v>6481479</v>
      </c>
      <c r="AA79" s="37"/>
      <c r="AB79" s="193"/>
      <c r="AC79" s="193"/>
      <c r="AD79" s="40">
        <f>AD70+AD77</f>
        <v>52365407</v>
      </c>
      <c r="AE79" s="37"/>
      <c r="AF79" s="118">
        <f>SUM(AF70+AF77)</f>
        <v>100</v>
      </c>
      <c r="AG79" s="39"/>
      <c r="AH79" s="40">
        <f>AH70+AH77</f>
        <v>9956674</v>
      </c>
      <c r="AI79" s="37"/>
      <c r="AJ79" s="110">
        <f>IF(AD79=0,"0.0 ",ROUND((AH79/AD79)*100,1))</f>
        <v>19</v>
      </c>
      <c r="AK79" s="39"/>
      <c r="AL79" s="40">
        <f>P38</f>
        <v>26327768</v>
      </c>
      <c r="AM79" s="37"/>
      <c r="AN79" s="40">
        <f>AN70+AN77</f>
        <v>78693175</v>
      </c>
      <c r="AO79" s="37"/>
      <c r="AP79" s="109">
        <f>IF(AN79=0,"0.0 ",ROUND((AH79/AN79)*100,1))</f>
        <v>12.7</v>
      </c>
    </row>
    <row r="80" spans="20:81" ht="16.2" thickTop="1" x14ac:dyDescent="0.3">
      <c r="AD80" s="37"/>
      <c r="AE80" s="37"/>
      <c r="AF80" s="103"/>
      <c r="AG80" s="37"/>
      <c r="AJ80" s="56"/>
      <c r="AL80" s="37"/>
      <c r="AM80" s="37"/>
      <c r="AN80" s="37"/>
      <c r="AO80" s="37"/>
    </row>
    <row r="81" spans="22:41" x14ac:dyDescent="0.3">
      <c r="V81" s="26" t="s">
        <v>51</v>
      </c>
      <c r="AD81" s="37"/>
      <c r="AE81" s="37"/>
      <c r="AF81" s="103"/>
      <c r="AG81" s="37"/>
      <c r="AJ81" s="56"/>
      <c r="AL81" s="37"/>
      <c r="AM81" s="37"/>
      <c r="AN81" s="37"/>
      <c r="AO81" s="37"/>
    </row>
    <row r="82" spans="22:41" x14ac:dyDescent="0.3">
      <c r="V82" s="42" t="s">
        <v>118</v>
      </c>
      <c r="AF82" s="104"/>
      <c r="AJ82" s="56"/>
    </row>
    <row r="83" spans="22:41" x14ac:dyDescent="0.3">
      <c r="V83" s="26" t="str">
        <f>"(3) REFLECTS AVERAGE EXPECTED GAS COST OF "&amp;TEXT(EGC,"$0.000")&amp;"/MCF."</f>
        <v>(3) REFLECTS AVERAGE EXPECTED GAS COST OF $4.062/MCF.</v>
      </c>
      <c r="Z83" s="66"/>
      <c r="AA83" s="42"/>
      <c r="AF83" s="104"/>
    </row>
    <row r="84" spans="22:41" x14ac:dyDescent="0.3">
      <c r="V84" s="27"/>
      <c r="AF84" s="104"/>
    </row>
    <row r="85" spans="22:41" x14ac:dyDescent="0.3">
      <c r="AF85" s="104"/>
    </row>
    <row r="86" spans="22:41" x14ac:dyDescent="0.3">
      <c r="AF86" s="104"/>
    </row>
    <row r="87" spans="22:41" x14ac:dyDescent="0.3">
      <c r="AF87" s="104"/>
    </row>
    <row r="88" spans="22:41" x14ac:dyDescent="0.3">
      <c r="AF88" s="104"/>
    </row>
    <row r="89" spans="22:41" x14ac:dyDescent="0.3">
      <c r="AF89" s="104"/>
    </row>
    <row r="90" spans="22:41" x14ac:dyDescent="0.3">
      <c r="AF90" s="104"/>
    </row>
    <row r="91" spans="22:41" x14ac:dyDescent="0.3">
      <c r="AF91" s="104"/>
    </row>
    <row r="92" spans="22:41" x14ac:dyDescent="0.3">
      <c r="AF92" s="104"/>
    </row>
    <row r="93" spans="22:41" x14ac:dyDescent="0.3">
      <c r="AF93" s="104"/>
    </row>
    <row r="94" spans="22:41" x14ac:dyDescent="0.3">
      <c r="AF94" s="104"/>
    </row>
    <row r="95" spans="22:41" x14ac:dyDescent="0.3">
      <c r="AF95" s="104"/>
    </row>
    <row r="96" spans="22:41" x14ac:dyDescent="0.3">
      <c r="AF96" s="104"/>
    </row>
    <row r="97" spans="32:32" x14ac:dyDescent="0.3">
      <c r="AF97" s="104"/>
    </row>
    <row r="98" spans="32:32" x14ac:dyDescent="0.3">
      <c r="AF98" s="104"/>
    </row>
    <row r="99" spans="32:32" x14ac:dyDescent="0.3">
      <c r="AF99" s="104"/>
    </row>
    <row r="100" spans="32:32" x14ac:dyDescent="0.3">
      <c r="AF100" s="104"/>
    </row>
    <row r="101" spans="32:32" x14ac:dyDescent="0.3">
      <c r="AF101" s="104"/>
    </row>
    <row r="102" spans="32:32" x14ac:dyDescent="0.3">
      <c r="AF102" s="104"/>
    </row>
    <row r="103" spans="32:32" x14ac:dyDescent="0.3">
      <c r="AF103" s="104"/>
    </row>
    <row r="104" spans="32:32" x14ac:dyDescent="0.3">
      <c r="AF104" s="104"/>
    </row>
    <row r="105" spans="32:32" x14ac:dyDescent="0.3">
      <c r="AF105" s="104"/>
    </row>
    <row r="106" spans="32:32" x14ac:dyDescent="0.3">
      <c r="AF106" s="104"/>
    </row>
    <row r="107" spans="32:32" x14ac:dyDescent="0.3">
      <c r="AF107" s="104"/>
    </row>
    <row r="108" spans="32:32" x14ac:dyDescent="0.3">
      <c r="AF108" s="104"/>
    </row>
    <row r="109" spans="32:32" x14ac:dyDescent="0.3">
      <c r="AF109" s="104"/>
    </row>
    <row r="110" spans="32:32" x14ac:dyDescent="0.3">
      <c r="AF110" s="104"/>
    </row>
    <row r="111" spans="32:32" x14ac:dyDescent="0.3">
      <c r="AF111" s="104"/>
    </row>
    <row r="112" spans="32:32" x14ac:dyDescent="0.3">
      <c r="AF112" s="104"/>
    </row>
    <row r="113" spans="32:32" x14ac:dyDescent="0.3">
      <c r="AF113" s="104"/>
    </row>
    <row r="114" spans="32:32" x14ac:dyDescent="0.3">
      <c r="AF114" s="104"/>
    </row>
    <row r="115" spans="32:32" x14ac:dyDescent="0.3">
      <c r="AF115" s="104"/>
    </row>
    <row r="116" spans="32:32" x14ac:dyDescent="0.3">
      <c r="AF116" s="104"/>
    </row>
    <row r="117" spans="32:32" x14ac:dyDescent="0.3">
      <c r="AF117" s="104"/>
    </row>
    <row r="118" spans="32:32" x14ac:dyDescent="0.3">
      <c r="AF118" s="104"/>
    </row>
    <row r="119" spans="32:32" x14ac:dyDescent="0.3">
      <c r="AF119" s="104"/>
    </row>
    <row r="120" spans="32:32" x14ac:dyDescent="0.3">
      <c r="AF120" s="104"/>
    </row>
    <row r="121" spans="32:32" x14ac:dyDescent="0.3">
      <c r="AF121" s="104"/>
    </row>
    <row r="122" spans="32:32" x14ac:dyDescent="0.3">
      <c r="AF122" s="104"/>
    </row>
    <row r="123" spans="32:32" x14ac:dyDescent="0.3">
      <c r="AF123" s="104"/>
    </row>
    <row r="124" spans="32:32" x14ac:dyDescent="0.3">
      <c r="AF124" s="104"/>
    </row>
    <row r="125" spans="32:32" x14ac:dyDescent="0.3">
      <c r="AF125" s="104"/>
    </row>
    <row r="126" spans="32:32" x14ac:dyDescent="0.3">
      <c r="AF126" s="104"/>
    </row>
    <row r="127" spans="32:32" x14ac:dyDescent="0.3">
      <c r="AF127" s="104"/>
    </row>
    <row r="128" spans="32:32" x14ac:dyDescent="0.3">
      <c r="AF128" s="104"/>
    </row>
    <row r="129" spans="32:32" x14ac:dyDescent="0.3">
      <c r="AF129" s="104"/>
    </row>
    <row r="130" spans="32:32" x14ac:dyDescent="0.3">
      <c r="AF130" s="104"/>
    </row>
    <row r="131" spans="32:32" x14ac:dyDescent="0.3">
      <c r="AF131" s="104"/>
    </row>
    <row r="132" spans="32:32" x14ac:dyDescent="0.3">
      <c r="AF132" s="104"/>
    </row>
    <row r="133" spans="32:32" x14ac:dyDescent="0.3">
      <c r="AF133" s="104"/>
    </row>
    <row r="134" spans="32:32" x14ac:dyDescent="0.3">
      <c r="AF134" s="104"/>
    </row>
    <row r="135" spans="32:32" x14ac:dyDescent="0.3">
      <c r="AF135" s="104"/>
    </row>
    <row r="136" spans="32:32" x14ac:dyDescent="0.3">
      <c r="AF136" s="104"/>
    </row>
    <row r="137" spans="32:32" x14ac:dyDescent="0.3">
      <c r="AF137" s="104"/>
    </row>
    <row r="138" spans="32:32" x14ac:dyDescent="0.3">
      <c r="AF138" s="104"/>
    </row>
    <row r="139" spans="32:32" x14ac:dyDescent="0.3">
      <c r="AF139" s="104"/>
    </row>
    <row r="140" spans="32:32" x14ac:dyDescent="0.3">
      <c r="AF140" s="104"/>
    </row>
    <row r="141" spans="32:32" x14ac:dyDescent="0.3">
      <c r="AF141" s="104"/>
    </row>
    <row r="142" spans="32:32" x14ac:dyDescent="0.3">
      <c r="AF142" s="104"/>
    </row>
    <row r="143" spans="32:32" x14ac:dyDescent="0.3">
      <c r="AF143" s="104"/>
    </row>
    <row r="144" spans="32:32" x14ac:dyDescent="0.3">
      <c r="AF144" s="104"/>
    </row>
    <row r="145" spans="32:32" x14ac:dyDescent="0.3">
      <c r="AF145" s="104"/>
    </row>
    <row r="146" spans="32:32" x14ac:dyDescent="0.3">
      <c r="AF146" s="104"/>
    </row>
    <row r="147" spans="32:32" x14ac:dyDescent="0.3">
      <c r="AF147" s="104"/>
    </row>
    <row r="148" spans="32:32" x14ac:dyDescent="0.3">
      <c r="AF148" s="104"/>
    </row>
    <row r="149" spans="32:32" x14ac:dyDescent="0.3">
      <c r="AF149" s="104"/>
    </row>
    <row r="150" spans="32:32" x14ac:dyDescent="0.3">
      <c r="AF150" s="104"/>
    </row>
    <row r="151" spans="32:32" x14ac:dyDescent="0.3">
      <c r="AF151" s="104"/>
    </row>
    <row r="152" spans="32:32" x14ac:dyDescent="0.3">
      <c r="AF152" s="104"/>
    </row>
    <row r="153" spans="32:32" x14ac:dyDescent="0.3">
      <c r="AF153" s="104"/>
    </row>
    <row r="154" spans="32:32" x14ac:dyDescent="0.3">
      <c r="AF154" s="104"/>
    </row>
    <row r="155" spans="32:32" x14ac:dyDescent="0.3">
      <c r="AF155" s="104"/>
    </row>
    <row r="156" spans="32:32" x14ac:dyDescent="0.3">
      <c r="AF156" s="104"/>
    </row>
    <row r="157" spans="32:32" x14ac:dyDescent="0.3">
      <c r="AF157" s="104"/>
    </row>
    <row r="158" spans="32:32" x14ac:dyDescent="0.3">
      <c r="AF158" s="104"/>
    </row>
    <row r="159" spans="32:32" x14ac:dyDescent="0.3">
      <c r="AF159" s="104"/>
    </row>
    <row r="160" spans="32:32" x14ac:dyDescent="0.3">
      <c r="AF160" s="104"/>
    </row>
    <row r="161" spans="32:32" x14ac:dyDescent="0.3">
      <c r="AF161" s="104"/>
    </row>
    <row r="162" spans="32:32" x14ac:dyDescent="0.3">
      <c r="AF162" s="104"/>
    </row>
    <row r="163" spans="32:32" x14ac:dyDescent="0.3">
      <c r="AF163" s="104"/>
    </row>
    <row r="164" spans="32:32" x14ac:dyDescent="0.3">
      <c r="AF164" s="104"/>
    </row>
    <row r="165" spans="32:32" x14ac:dyDescent="0.3">
      <c r="AF165" s="104"/>
    </row>
    <row r="166" spans="32:32" x14ac:dyDescent="0.3">
      <c r="AF166" s="104"/>
    </row>
    <row r="167" spans="32:32" x14ac:dyDescent="0.3">
      <c r="AF167" s="104"/>
    </row>
    <row r="168" spans="32:32" x14ac:dyDescent="0.3">
      <c r="AF168" s="104"/>
    </row>
    <row r="169" spans="32:32" x14ac:dyDescent="0.3">
      <c r="AF169" s="104"/>
    </row>
    <row r="170" spans="32:32" x14ac:dyDescent="0.3">
      <c r="AF170" s="104"/>
    </row>
    <row r="171" spans="32:32" x14ac:dyDescent="0.3">
      <c r="AF171" s="104"/>
    </row>
    <row r="172" spans="32:32" x14ac:dyDescent="0.3">
      <c r="AF172" s="104"/>
    </row>
    <row r="173" spans="32:32" x14ac:dyDescent="0.3">
      <c r="AF173" s="104"/>
    </row>
    <row r="174" spans="32:32" x14ac:dyDescent="0.3">
      <c r="AF174" s="104"/>
    </row>
    <row r="175" spans="32:32" x14ac:dyDescent="0.3">
      <c r="AF175" s="104"/>
    </row>
    <row r="176" spans="32:32" x14ac:dyDescent="0.3">
      <c r="AF176" s="104"/>
    </row>
    <row r="177" spans="32:32" x14ac:dyDescent="0.3">
      <c r="AF177" s="104"/>
    </row>
    <row r="178" spans="32:32" x14ac:dyDescent="0.3">
      <c r="AF178" s="104"/>
    </row>
    <row r="179" spans="32:32" x14ac:dyDescent="0.3">
      <c r="AF179" s="104"/>
    </row>
    <row r="180" spans="32:32" x14ac:dyDescent="0.3">
      <c r="AF180" s="104"/>
    </row>
    <row r="181" spans="32:32" x14ac:dyDescent="0.3">
      <c r="AF181" s="104"/>
    </row>
    <row r="182" spans="32:32" x14ac:dyDescent="0.3">
      <c r="AF182" s="104"/>
    </row>
    <row r="183" spans="32:32" x14ac:dyDescent="0.3">
      <c r="AF183" s="104"/>
    </row>
    <row r="184" spans="32:32" x14ac:dyDescent="0.3">
      <c r="AF184" s="104"/>
    </row>
    <row r="185" spans="32:32" x14ac:dyDescent="0.3">
      <c r="AF185" s="104"/>
    </row>
    <row r="186" spans="32:32" x14ac:dyDescent="0.3">
      <c r="AF186" s="104"/>
    </row>
    <row r="187" spans="32:32" x14ac:dyDescent="0.3">
      <c r="AF187" s="104"/>
    </row>
    <row r="188" spans="32:32" x14ac:dyDescent="0.3">
      <c r="AF188" s="104"/>
    </row>
    <row r="189" spans="32:32" x14ac:dyDescent="0.3">
      <c r="AF189" s="104"/>
    </row>
    <row r="190" spans="32:32" x14ac:dyDescent="0.3">
      <c r="AF190" s="104"/>
    </row>
    <row r="191" spans="32:32" x14ac:dyDescent="0.3">
      <c r="AF191" s="104"/>
    </row>
    <row r="192" spans="32:32" x14ac:dyDescent="0.3">
      <c r="AF192" s="104"/>
    </row>
    <row r="193" spans="1:32" x14ac:dyDescent="0.3">
      <c r="AF193" s="104"/>
    </row>
    <row r="194" spans="1:32" x14ac:dyDescent="0.3">
      <c r="AF194" s="104"/>
    </row>
    <row r="195" spans="1:32" x14ac:dyDescent="0.3">
      <c r="AF195" s="104"/>
    </row>
    <row r="196" spans="1:32" x14ac:dyDescent="0.3">
      <c r="A196" s="26"/>
      <c r="AF196" s="104"/>
    </row>
    <row r="197" spans="1:32" x14ac:dyDescent="0.3">
      <c r="A197" s="26"/>
      <c r="AF197" s="104"/>
    </row>
    <row r="198" spans="1:32" x14ac:dyDescent="0.3">
      <c r="AF198" s="104"/>
    </row>
    <row r="199" spans="1:32" x14ac:dyDescent="0.3">
      <c r="AF199" s="104"/>
    </row>
    <row r="200" spans="1:32" x14ac:dyDescent="0.3">
      <c r="Z200" s="26"/>
      <c r="AA200" s="26"/>
      <c r="AF200" s="104"/>
    </row>
    <row r="201" spans="1:32" x14ac:dyDescent="0.3">
      <c r="A201" s="26"/>
      <c r="H201" s="26"/>
      <c r="I201" s="26"/>
      <c r="AF201" s="104"/>
    </row>
    <row r="202" spans="1:32" x14ac:dyDescent="0.3">
      <c r="A202" s="26"/>
      <c r="X202" s="176"/>
      <c r="AD202" s="176"/>
      <c r="AE202" s="176"/>
      <c r="AF202" s="104"/>
    </row>
    <row r="203" spans="1:32" x14ac:dyDescent="0.3">
      <c r="A203" s="26"/>
      <c r="X203" s="68"/>
      <c r="AD203" s="68"/>
      <c r="AE203" s="68"/>
      <c r="AF203" s="104"/>
    </row>
    <row r="204" spans="1:32" x14ac:dyDescent="0.3">
      <c r="A204" s="26"/>
      <c r="W204" s="26"/>
      <c r="AD204" s="176"/>
      <c r="AE204" s="176"/>
      <c r="AF204" s="104"/>
    </row>
    <row r="205" spans="1:32" x14ac:dyDescent="0.3">
      <c r="A205" s="26"/>
      <c r="AF205" s="104"/>
    </row>
    <row r="206" spans="1:32" x14ac:dyDescent="0.3">
      <c r="A206" s="26"/>
      <c r="W206" s="26"/>
      <c r="AD206" s="176"/>
      <c r="AE206" s="176"/>
      <c r="AF206" s="104"/>
    </row>
    <row r="207" spans="1:32" x14ac:dyDescent="0.3">
      <c r="A207" s="26"/>
      <c r="AF207" s="104"/>
    </row>
    <row r="208" spans="1:32" x14ac:dyDescent="0.3">
      <c r="A208" s="26"/>
      <c r="W208" s="26"/>
      <c r="X208" s="199"/>
      <c r="AD208" s="176"/>
      <c r="AE208" s="176"/>
      <c r="AF208" s="104"/>
    </row>
    <row r="209" spans="1:32" x14ac:dyDescent="0.3">
      <c r="A209" s="26"/>
      <c r="AF209" s="104"/>
    </row>
    <row r="210" spans="1:32" x14ac:dyDescent="0.3">
      <c r="A210" s="26"/>
      <c r="W210" s="26"/>
      <c r="AD210" s="176"/>
      <c r="AE210" s="176"/>
      <c r="AF210" s="104"/>
    </row>
    <row r="211" spans="1:32" x14ac:dyDescent="0.3">
      <c r="A211" s="26"/>
      <c r="AF211" s="104"/>
    </row>
    <row r="212" spans="1:32" x14ac:dyDescent="0.3">
      <c r="A212" s="26"/>
      <c r="W212" s="26"/>
      <c r="AD212" s="176"/>
      <c r="AE212" s="176"/>
      <c r="AF212" s="104"/>
    </row>
    <row r="213" spans="1:32" x14ac:dyDescent="0.3">
      <c r="A213" s="26"/>
      <c r="AF213" s="104"/>
    </row>
    <row r="214" spans="1:32" x14ac:dyDescent="0.3">
      <c r="A214" s="26"/>
      <c r="AF214" s="104"/>
    </row>
    <row r="215" spans="1:32" x14ac:dyDescent="0.3">
      <c r="A215" s="26"/>
      <c r="AF215" s="104"/>
    </row>
    <row r="216" spans="1:32" x14ac:dyDescent="0.3">
      <c r="A216" s="26"/>
      <c r="AF216" s="104"/>
    </row>
    <row r="217" spans="1:32" x14ac:dyDescent="0.3">
      <c r="A217" s="26"/>
      <c r="AF217" s="104"/>
    </row>
    <row r="218" spans="1:32" x14ac:dyDescent="0.3">
      <c r="A218" s="26"/>
      <c r="AF218" s="104"/>
    </row>
    <row r="219" spans="1:32" x14ac:dyDescent="0.3">
      <c r="A219" s="26"/>
      <c r="AF219" s="104"/>
    </row>
    <row r="220" spans="1:32" x14ac:dyDescent="0.3">
      <c r="A220" s="26"/>
      <c r="AF220" s="104"/>
    </row>
    <row r="221" spans="1:32" x14ac:dyDescent="0.3">
      <c r="A221" s="26"/>
      <c r="AF221" s="104"/>
    </row>
    <row r="222" spans="1:32" x14ac:dyDescent="0.3">
      <c r="A222" s="26"/>
      <c r="AF222" s="104"/>
    </row>
    <row r="223" spans="1:32" x14ac:dyDescent="0.3">
      <c r="A223" s="26"/>
      <c r="H223" s="26"/>
      <c r="I223" s="26"/>
      <c r="AF223" s="104"/>
    </row>
    <row r="224" spans="1:32" x14ac:dyDescent="0.3">
      <c r="AF224" s="104"/>
    </row>
    <row r="225" spans="1:32" x14ac:dyDescent="0.3">
      <c r="AF225" s="104"/>
    </row>
    <row r="226" spans="1:32" x14ac:dyDescent="0.3">
      <c r="A226" s="26"/>
      <c r="AF226" s="104"/>
    </row>
    <row r="227" spans="1:32" x14ac:dyDescent="0.3">
      <c r="AF227" s="104"/>
    </row>
    <row r="228" spans="1:32" x14ac:dyDescent="0.3">
      <c r="AF228" s="104"/>
    </row>
    <row r="229" spans="1:32" x14ac:dyDescent="0.3">
      <c r="A229" s="26"/>
      <c r="AF229" s="104"/>
    </row>
    <row r="230" spans="1:32" x14ac:dyDescent="0.3">
      <c r="AF230" s="104"/>
    </row>
    <row r="232" spans="1:32" x14ac:dyDescent="0.3">
      <c r="A232" s="26"/>
    </row>
    <row r="233" spans="1:32" x14ac:dyDescent="0.3">
      <c r="A233" s="26"/>
    </row>
    <row r="234" spans="1:32" x14ac:dyDescent="0.3">
      <c r="A234" s="26"/>
    </row>
    <row r="235" spans="1:32" x14ac:dyDescent="0.3">
      <c r="A235" s="26"/>
    </row>
    <row r="236" spans="1:32" x14ac:dyDescent="0.3">
      <c r="A236" s="26"/>
    </row>
    <row r="237" spans="1:32" x14ac:dyDescent="0.3">
      <c r="A237" s="26"/>
    </row>
    <row r="238" spans="1:32" x14ac:dyDescent="0.3">
      <c r="A238" s="26"/>
    </row>
    <row r="239" spans="1:32" x14ac:dyDescent="0.3">
      <c r="A239" s="26"/>
    </row>
    <row r="240" spans="1:32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01" x14ac:dyDescent="0.3">
      <c r="A257" s="26"/>
    </row>
    <row r="258" spans="1:101" x14ac:dyDescent="0.3">
      <c r="A258" s="26"/>
    </row>
    <row r="259" spans="1:101" x14ac:dyDescent="0.3">
      <c r="A259" s="26"/>
    </row>
    <row r="260" spans="1:101" x14ac:dyDescent="0.3">
      <c r="A260" s="26"/>
    </row>
    <row r="261" spans="1:101" x14ac:dyDescent="0.3">
      <c r="A261" s="26"/>
    </row>
    <row r="262" spans="1:101" x14ac:dyDescent="0.3">
      <c r="A262" s="26"/>
    </row>
    <row r="263" spans="1:101" x14ac:dyDescent="0.3">
      <c r="A263" s="26"/>
    </row>
    <row r="264" spans="1:101" x14ac:dyDescent="0.3">
      <c r="A264" s="26"/>
      <c r="CV264" s="26"/>
      <c r="CW264" s="26"/>
    </row>
    <row r="265" spans="1:101" x14ac:dyDescent="0.3">
      <c r="A265" s="26"/>
      <c r="CV265" s="26"/>
      <c r="CW265" s="26"/>
    </row>
    <row r="266" spans="1:101" x14ac:dyDescent="0.3">
      <c r="A266" s="26"/>
      <c r="CV266" s="26"/>
      <c r="CW266" s="26"/>
    </row>
    <row r="267" spans="1:101" x14ac:dyDescent="0.3">
      <c r="CV267" s="26"/>
      <c r="CW267" s="26"/>
    </row>
    <row r="268" spans="1:101" x14ac:dyDescent="0.3">
      <c r="CV268" s="26"/>
      <c r="CW268" s="26"/>
    </row>
    <row r="269" spans="1:101" x14ac:dyDescent="0.3">
      <c r="CV269" s="26"/>
      <c r="CW269" s="26"/>
    </row>
    <row r="270" spans="1:101" x14ac:dyDescent="0.3">
      <c r="CV270" s="26"/>
      <c r="CW270" s="26"/>
    </row>
    <row r="271" spans="1:101" x14ac:dyDescent="0.3">
      <c r="A271" s="26"/>
      <c r="CV271" s="26"/>
      <c r="CW271" s="26"/>
    </row>
    <row r="272" spans="1:101" x14ac:dyDescent="0.3">
      <c r="A272" s="26"/>
      <c r="CV272" s="26"/>
      <c r="CW272" s="26"/>
    </row>
    <row r="273" spans="1:101" x14ac:dyDescent="0.3">
      <c r="CV273" s="26"/>
      <c r="CW273" s="26"/>
    </row>
    <row r="274" spans="1:101" x14ac:dyDescent="0.3">
      <c r="CV274" s="26"/>
      <c r="CW274" s="26"/>
    </row>
    <row r="275" spans="1:101" x14ac:dyDescent="0.3">
      <c r="A275" s="26"/>
      <c r="CV275" s="26"/>
      <c r="CW275" s="26"/>
    </row>
    <row r="276" spans="1:101" x14ac:dyDescent="0.3">
      <c r="CV276" s="26"/>
      <c r="CW276" s="26"/>
    </row>
    <row r="277" spans="1:101" x14ac:dyDescent="0.3">
      <c r="A277" s="26"/>
      <c r="CV277" s="26"/>
      <c r="CW277" s="26"/>
    </row>
    <row r="278" spans="1:101" x14ac:dyDescent="0.3">
      <c r="CV278" s="26"/>
      <c r="CW278" s="26"/>
    </row>
    <row r="279" spans="1:101" x14ac:dyDescent="0.3">
      <c r="A279" s="26"/>
      <c r="CV279" s="26"/>
      <c r="CW279" s="26"/>
    </row>
    <row r="280" spans="1:101" x14ac:dyDescent="0.3">
      <c r="CV280" s="26"/>
      <c r="CW280" s="26"/>
    </row>
    <row r="281" spans="1:101" x14ac:dyDescent="0.3">
      <c r="A281" s="26"/>
      <c r="CV281" s="26"/>
      <c r="CW281" s="26"/>
    </row>
    <row r="282" spans="1:101" x14ac:dyDescent="0.3">
      <c r="CV282" s="26"/>
      <c r="CW282" s="26"/>
    </row>
    <row r="283" spans="1:101" x14ac:dyDescent="0.3">
      <c r="CV283" s="26"/>
      <c r="CW283" s="26"/>
    </row>
    <row r="284" spans="1:101" x14ac:dyDescent="0.3">
      <c r="A284" s="26"/>
      <c r="CV284" s="26"/>
      <c r="CW284" s="26"/>
    </row>
    <row r="285" spans="1:101" x14ac:dyDescent="0.3">
      <c r="A285" s="26"/>
      <c r="CV285" s="26"/>
      <c r="CW285" s="26"/>
    </row>
    <row r="286" spans="1:101" x14ac:dyDescent="0.3">
      <c r="A286" s="26"/>
      <c r="CV286" s="26"/>
      <c r="CW286" s="26"/>
    </row>
    <row r="287" spans="1:101" x14ac:dyDescent="0.3">
      <c r="A287" s="26"/>
      <c r="CV287" s="26"/>
      <c r="CW287" s="26"/>
    </row>
    <row r="288" spans="1:101" x14ac:dyDescent="0.3">
      <c r="A288" s="26"/>
      <c r="CV288" s="26"/>
      <c r="CW288" s="26"/>
    </row>
    <row r="289" spans="1:101" x14ac:dyDescent="0.3">
      <c r="A289" s="26"/>
      <c r="CV289" s="26"/>
      <c r="CW289" s="26"/>
    </row>
    <row r="290" spans="1:101" x14ac:dyDescent="0.3">
      <c r="A290" s="26"/>
      <c r="CV290" s="26"/>
      <c r="CW290" s="26"/>
    </row>
    <row r="291" spans="1:101" x14ac:dyDescent="0.3">
      <c r="A291" s="26"/>
      <c r="CV291" s="26"/>
      <c r="CW291" s="26"/>
    </row>
    <row r="292" spans="1:101" x14ac:dyDescent="0.3">
      <c r="CV292" s="26"/>
      <c r="CW292" s="26"/>
    </row>
    <row r="293" spans="1:101" x14ac:dyDescent="0.3">
      <c r="CV293" s="26"/>
      <c r="CW293" s="26"/>
    </row>
    <row r="294" spans="1:101" x14ac:dyDescent="0.3">
      <c r="CV294" s="26"/>
      <c r="CW294" s="26"/>
    </row>
    <row r="295" spans="1:101" x14ac:dyDescent="0.3">
      <c r="CV295" s="26"/>
      <c r="CW295" s="26"/>
    </row>
    <row r="296" spans="1:101" x14ac:dyDescent="0.3">
      <c r="CV296" s="26"/>
      <c r="CW296" s="26"/>
    </row>
    <row r="297" spans="1:101" x14ac:dyDescent="0.3">
      <c r="CV297" s="26"/>
      <c r="CW297" s="26"/>
    </row>
    <row r="298" spans="1:101" x14ac:dyDescent="0.3">
      <c r="CV298" s="26"/>
      <c r="CW298" s="26"/>
    </row>
    <row r="299" spans="1:101" x14ac:dyDescent="0.3">
      <c r="CV299" s="26"/>
      <c r="CW299" s="26"/>
    </row>
    <row r="300" spans="1:101" x14ac:dyDescent="0.3">
      <c r="CV300" s="26"/>
      <c r="CW300" s="26"/>
    </row>
    <row r="301" spans="1:101" x14ac:dyDescent="0.3">
      <c r="CV301" s="26"/>
      <c r="CW301" s="26"/>
    </row>
    <row r="302" spans="1:101" x14ac:dyDescent="0.3">
      <c r="CV302" s="26"/>
      <c r="CW302" s="26"/>
    </row>
    <row r="303" spans="1:101" x14ac:dyDescent="0.3">
      <c r="CV303" s="26"/>
      <c r="CW303" s="26"/>
    </row>
    <row r="304" spans="1:101" x14ac:dyDescent="0.3">
      <c r="CV304" s="26"/>
      <c r="CW304" s="26"/>
    </row>
    <row r="305" spans="100:101" x14ac:dyDescent="0.3">
      <c r="CV305" s="26"/>
      <c r="CW305" s="26"/>
    </row>
    <row r="306" spans="100:101" x14ac:dyDescent="0.3">
      <c r="CV306" s="26"/>
      <c r="CW306" s="26"/>
    </row>
    <row r="307" spans="100:101" x14ac:dyDescent="0.3">
      <c r="CV307" s="26"/>
      <c r="CW307" s="26"/>
    </row>
    <row r="308" spans="100:101" x14ac:dyDescent="0.3">
      <c r="CV308" s="26"/>
      <c r="CW308" s="26"/>
    </row>
    <row r="309" spans="100:101" x14ac:dyDescent="0.3">
      <c r="CV309" s="26"/>
      <c r="CW309" s="26"/>
    </row>
    <row r="310" spans="100:101" x14ac:dyDescent="0.3">
      <c r="CV310" s="26"/>
      <c r="CW310" s="26"/>
    </row>
    <row r="311" spans="100:101" x14ac:dyDescent="0.3">
      <c r="CV311" s="26"/>
      <c r="CW311" s="26"/>
    </row>
    <row r="312" spans="100:101" x14ac:dyDescent="0.3">
      <c r="CV312" s="26"/>
      <c r="CW312" s="26"/>
    </row>
    <row r="313" spans="100:101" x14ac:dyDescent="0.3">
      <c r="CV313" s="26"/>
      <c r="CW313" s="26"/>
    </row>
    <row r="314" spans="100:101" x14ac:dyDescent="0.3">
      <c r="CV314" s="26"/>
      <c r="CW314" s="26"/>
    </row>
    <row r="315" spans="100:101" x14ac:dyDescent="0.3">
      <c r="CV315" s="26"/>
      <c r="CW315" s="26"/>
    </row>
    <row r="316" spans="100:101" x14ac:dyDescent="0.3">
      <c r="CV316" s="26"/>
      <c r="CW316" s="26"/>
    </row>
    <row r="317" spans="100:101" x14ac:dyDescent="0.3">
      <c r="CV317" s="26"/>
      <c r="CW317" s="26"/>
    </row>
    <row r="318" spans="100:101" x14ac:dyDescent="0.3">
      <c r="CV318" s="26"/>
      <c r="CW318" s="26"/>
    </row>
    <row r="319" spans="100:101" x14ac:dyDescent="0.3">
      <c r="CV319" s="26"/>
      <c r="CW319" s="26"/>
    </row>
    <row r="320" spans="100:101" x14ac:dyDescent="0.3">
      <c r="CV320" s="26"/>
      <c r="CW320" s="26"/>
    </row>
    <row r="321" spans="100:101" x14ac:dyDescent="0.3">
      <c r="CV321" s="26"/>
      <c r="CW321" s="26"/>
    </row>
    <row r="322" spans="100:101" x14ac:dyDescent="0.3">
      <c r="CV322" s="26"/>
      <c r="CW322" s="26"/>
    </row>
    <row r="323" spans="100:101" x14ac:dyDescent="0.3">
      <c r="CV323" s="26"/>
      <c r="CW323" s="26"/>
    </row>
    <row r="324" spans="100:101" x14ac:dyDescent="0.3">
      <c r="CV324" s="26"/>
      <c r="CW324" s="26"/>
    </row>
    <row r="325" spans="100:101" x14ac:dyDescent="0.3">
      <c r="CV325" s="26"/>
      <c r="CW325" s="26"/>
    </row>
    <row r="326" spans="100:101" x14ac:dyDescent="0.3">
      <c r="CV326" s="26"/>
      <c r="CW326" s="26"/>
    </row>
    <row r="327" spans="100:101" x14ac:dyDescent="0.3">
      <c r="CV327" s="26"/>
      <c r="CW327" s="26"/>
    </row>
    <row r="328" spans="100:101" x14ac:dyDescent="0.3">
      <c r="CV328" s="26"/>
      <c r="CW328" s="26"/>
    </row>
    <row r="329" spans="100:101" x14ac:dyDescent="0.3">
      <c r="CV329" s="26"/>
      <c r="CW329" s="26"/>
    </row>
    <row r="330" spans="100:101" x14ac:dyDescent="0.3">
      <c r="CV330" s="26"/>
      <c r="CW330" s="26"/>
    </row>
    <row r="331" spans="100:101" x14ac:dyDescent="0.3">
      <c r="CV331" s="26"/>
      <c r="CW331" s="26"/>
    </row>
    <row r="332" spans="100:101" x14ac:dyDescent="0.3">
      <c r="CV332" s="26"/>
      <c r="CW332" s="26"/>
    </row>
    <row r="333" spans="100:101" x14ac:dyDescent="0.3">
      <c r="CV333" s="26"/>
      <c r="CW333" s="26"/>
    </row>
    <row r="334" spans="100:101" x14ac:dyDescent="0.3">
      <c r="CV334" s="26"/>
      <c r="CW334" s="26"/>
    </row>
    <row r="335" spans="100:101" x14ac:dyDescent="0.3">
      <c r="CV335" s="26"/>
      <c r="CW335" s="26"/>
    </row>
    <row r="336" spans="100:101" x14ac:dyDescent="0.3">
      <c r="CV336" s="26"/>
      <c r="CW336" s="26"/>
    </row>
    <row r="337" spans="100:101" x14ac:dyDescent="0.3">
      <c r="CV337" s="26"/>
      <c r="CW337" s="26"/>
    </row>
    <row r="338" spans="100:101" x14ac:dyDescent="0.3">
      <c r="CV338" s="26"/>
      <c r="CW338" s="26"/>
    </row>
    <row r="339" spans="100:101" x14ac:dyDescent="0.3">
      <c r="CV339" s="26"/>
      <c r="CW339" s="26"/>
    </row>
    <row r="340" spans="100:101" x14ac:dyDescent="0.3">
      <c r="CV340" s="26"/>
      <c r="CW340" s="26"/>
    </row>
    <row r="341" spans="100:101" x14ac:dyDescent="0.3">
      <c r="CV341" s="26"/>
      <c r="CW341" s="26"/>
    </row>
    <row r="342" spans="100:101" x14ac:dyDescent="0.3">
      <c r="CV342" s="26"/>
      <c r="CW342" s="26"/>
    </row>
    <row r="343" spans="100:101" x14ac:dyDescent="0.3">
      <c r="CV343" s="26"/>
      <c r="CW343" s="26"/>
    </row>
    <row r="344" spans="100:101" x14ac:dyDescent="0.3">
      <c r="CV344" s="26"/>
      <c r="CW344" s="26"/>
    </row>
    <row r="345" spans="100:101" x14ac:dyDescent="0.3">
      <c r="CV345" s="26"/>
      <c r="CW345" s="26"/>
    </row>
    <row r="346" spans="100:101" x14ac:dyDescent="0.3">
      <c r="CV346" s="26"/>
      <c r="CW346" s="26"/>
    </row>
    <row r="347" spans="100:101" x14ac:dyDescent="0.3">
      <c r="CV347" s="26"/>
      <c r="CW347" s="26"/>
    </row>
    <row r="348" spans="100:101" x14ac:dyDescent="0.3">
      <c r="CV348" s="26"/>
      <c r="CW348" s="26"/>
    </row>
  </sheetData>
  <customSheetViews>
    <customSheetView guid="{B7519FF1-05A6-4A79-8E47-A233872313D4}" scale="75" fitToPage="1">
      <rowBreaks count="2" manualBreakCount="2">
        <brk id="40" max="17" man="1"/>
        <brk id="133" max="65535" man="1"/>
      </rowBreaks>
      <colBreaks count="1" manualBreakCount="1">
        <brk id="19" max="1048575" man="1"/>
      </colBreaks>
      <pageMargins left="0.5" right="0.5" top="1" bottom="1" header="0.5" footer="0.5"/>
      <pageSetup scale="69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4" orientation="landscape" verticalDpi="300" r:id="rId2"/>
  <headerFooter alignWithMargins="0">
    <oddHeader>&amp;R&amp;"Times New Roman,Bold"&amp;10KyPSC Case No. 2021-00190
STAFF-DR-01-049 Attachment 2
Page &amp;P of &amp;N</oddHeader>
  </headerFooter>
  <rowBreaks count="1" manualBreakCount="1">
    <brk id="133" max="65535" man="1"/>
  </rowBreaks>
  <colBreaks count="1" manualBreakCount="1">
    <brk id="19" max="1048575" man="1"/>
  </colBreaks>
  <ignoredErrors>
    <ignoredError sqref="F29:H29 J32 AB7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transitionEntry="1" codeName="Sheet61"/>
  <dimension ref="A1:CW346"/>
  <sheetViews>
    <sheetView tabSelected="1" view="pageBreakPreview" zoomScale="60" zoomScaleNormal="75" workbookViewId="0">
      <selection activeCell="P13" sqref="P13"/>
    </sheetView>
  </sheetViews>
  <sheetFormatPr defaultColWidth="8.9140625" defaultRowHeight="15.6" x14ac:dyDescent="0.3"/>
  <cols>
    <col min="1" max="1" width="5.6640625" style="25" customWidth="1"/>
    <col min="2" max="2" width="0.6640625" style="25" customWidth="1"/>
    <col min="3" max="3" width="6.75" style="25" customWidth="1"/>
    <col min="4" max="4" width="37.75" style="25" customWidth="1"/>
    <col min="5" max="5" width="0.9140625" style="25" customWidth="1"/>
    <col min="6" max="6" width="12.33203125" style="25" customWidth="1"/>
    <col min="7" max="7" width="0.9140625" style="25" customWidth="1"/>
    <col min="8" max="8" width="15.6640625" style="25" customWidth="1"/>
    <col min="9" max="9" width="0.75" style="25" customWidth="1"/>
    <col min="10" max="10" width="11.08203125" style="25" customWidth="1"/>
    <col min="11" max="11" width="0.6640625" style="25" customWidth="1"/>
    <col min="12" max="12" width="15.6640625" style="25" customWidth="1"/>
    <col min="13" max="13" width="0.75" style="25" customWidth="1"/>
    <col min="14" max="14" width="12.75" style="25" customWidth="1"/>
    <col min="15" max="15" width="0.6640625" style="25" customWidth="1"/>
    <col min="16" max="16" width="14.6640625" style="25" customWidth="1"/>
    <col min="17" max="17" width="0.9140625" style="25" customWidth="1"/>
    <col min="18" max="18" width="16.08203125" style="25" customWidth="1"/>
    <col min="19" max="19" width="13.75" style="25" customWidth="1"/>
    <col min="20" max="20" width="5.75" style="25" customWidth="1"/>
    <col min="21" max="21" width="0.9140625" style="25" customWidth="1"/>
    <col min="22" max="22" width="6.75" style="25" customWidth="1"/>
    <col min="23" max="23" width="38.33203125" style="25" customWidth="1"/>
    <col min="24" max="24" width="12.6640625" style="25" customWidth="1"/>
    <col min="25" max="25" width="1" style="25" customWidth="1"/>
    <col min="26" max="26" width="15.6640625" style="25" customWidth="1"/>
    <col min="27" max="27" width="1" style="25" customWidth="1"/>
    <col min="28" max="28" width="10.08203125" style="25" customWidth="1"/>
    <col min="29" max="29" width="0.9140625" style="25" customWidth="1"/>
    <col min="30" max="30" width="15.58203125" style="25" customWidth="1"/>
    <col min="31" max="31" width="0.75" style="25" customWidth="1"/>
    <col min="32" max="32" width="11.75" style="25" customWidth="1"/>
    <col min="33" max="33" width="0.9140625" style="25" customWidth="1"/>
    <col min="34" max="34" width="15.75" style="25" customWidth="1"/>
    <col min="35" max="35" width="0.58203125" style="25" customWidth="1"/>
    <col min="36" max="36" width="13.75" style="25" customWidth="1"/>
    <col min="37" max="37" width="0.4140625" style="25" customWidth="1"/>
    <col min="38" max="38" width="15.6640625" style="25" customWidth="1"/>
    <col min="39" max="39" width="0.6640625" style="25" customWidth="1"/>
    <col min="40" max="40" width="17.75" style="25" customWidth="1"/>
    <col min="41" max="41" width="0.75" style="25" customWidth="1"/>
    <col min="42" max="42" width="11.75" style="25" customWidth="1"/>
    <col min="43" max="99" width="9.75" style="25"/>
    <col min="100" max="100" width="20.75" style="25" customWidth="1"/>
    <col min="101" max="16384" width="8.9140625" style="25"/>
  </cols>
  <sheetData>
    <row r="1" spans="1:18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</row>
    <row r="2" spans="1:18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</row>
    <row r="3" spans="1:18" x14ac:dyDescent="0.3">
      <c r="A3" s="157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</row>
    <row r="5" spans="1:18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R6" s="26" t="s">
        <v>87</v>
      </c>
    </row>
    <row r="7" spans="1:18" x14ac:dyDescent="0.3">
      <c r="A7" s="24" t="str">
        <f>FILING_TYPE</f>
        <v>TYPE OF FILING: _X_ ORIGINAL   ___UPDATED  ___ REVISED</v>
      </c>
      <c r="R7" s="27" t="s">
        <v>177</v>
      </c>
    </row>
    <row r="8" spans="1:18" x14ac:dyDescent="0.3">
      <c r="A8" s="26" t="s">
        <v>98</v>
      </c>
      <c r="R8" s="26" t="s">
        <v>1</v>
      </c>
    </row>
    <row r="9" spans="1:18" x14ac:dyDescent="0.3">
      <c r="A9" s="177" t="str">
        <f>TIME</f>
        <v>12 MONTHS FORECASTED</v>
      </c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L12" s="176" t="s">
        <v>3</v>
      </c>
      <c r="M12" s="176"/>
      <c r="N12" s="176" t="s">
        <v>4</v>
      </c>
      <c r="O12" s="176"/>
      <c r="R12" s="176" t="s">
        <v>3</v>
      </c>
    </row>
    <row r="13" spans="1:18" x14ac:dyDescent="0.3">
      <c r="L13" s="176" t="s">
        <v>9</v>
      </c>
      <c r="M13" s="176"/>
      <c r="N13" s="176" t="s">
        <v>10</v>
      </c>
      <c r="O13" s="176"/>
      <c r="R13" s="176" t="s">
        <v>8</v>
      </c>
    </row>
    <row r="14" spans="1:18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C15" s="176" t="s">
        <v>20</v>
      </c>
      <c r="D15" s="176" t="s">
        <v>21</v>
      </c>
      <c r="E15" s="176"/>
      <c r="F15" s="176" t="s">
        <v>22</v>
      </c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1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19" x14ac:dyDescent="0.3">
      <c r="A19" s="24">
        <v>1</v>
      </c>
      <c r="C19" s="177" t="s">
        <v>119</v>
      </c>
      <c r="D19" s="177" t="s">
        <v>120</v>
      </c>
      <c r="E19" s="26"/>
    </row>
    <row r="20" spans="1:19" x14ac:dyDescent="0.3">
      <c r="A20" s="24"/>
      <c r="C20" s="26"/>
      <c r="D20" s="26"/>
      <c r="E20" s="26"/>
    </row>
    <row r="21" spans="1:19" x14ac:dyDescent="0.3">
      <c r="A21" s="25">
        <v>2</v>
      </c>
      <c r="C21" s="177" t="s">
        <v>85</v>
      </c>
    </row>
    <row r="22" spans="1:19" x14ac:dyDescent="0.3">
      <c r="A22" s="25">
        <v>3</v>
      </c>
      <c r="C22" s="27" t="s">
        <v>125</v>
      </c>
    </row>
    <row r="23" spans="1:19" x14ac:dyDescent="0.3">
      <c r="A23" s="25">
        <v>4</v>
      </c>
      <c r="C23" s="26" t="s">
        <v>197</v>
      </c>
    </row>
    <row r="24" spans="1:19" x14ac:dyDescent="0.3">
      <c r="A24" s="24">
        <v>5</v>
      </c>
      <c r="C24" s="25" t="s">
        <v>221</v>
      </c>
      <c r="F24" s="195">
        <v>78612</v>
      </c>
      <c r="G24" s="21"/>
      <c r="H24" s="195"/>
      <c r="I24" s="195"/>
      <c r="J24" s="119">
        <f>PRO_GS_CUST</f>
        <v>58</v>
      </c>
      <c r="K24" s="119"/>
      <c r="L24" s="32">
        <f>ROUND(F24*J24,0)</f>
        <v>4559496</v>
      </c>
      <c r="M24" s="32"/>
      <c r="N24" s="33">
        <f>ROUND((L24/$L$37)*100,1)</f>
        <v>28.8</v>
      </c>
      <c r="O24" s="33"/>
      <c r="P24" s="32"/>
      <c r="Q24" s="32"/>
      <c r="R24" s="32">
        <f>L24+P24</f>
        <v>4559496</v>
      </c>
    </row>
    <row r="25" spans="1:19" x14ac:dyDescent="0.3">
      <c r="A25" s="24"/>
      <c r="F25" s="195"/>
      <c r="G25" s="21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</row>
    <row r="26" spans="1:19" x14ac:dyDescent="0.3">
      <c r="A26" s="24">
        <v>6</v>
      </c>
      <c r="C26" s="191" t="s">
        <v>124</v>
      </c>
      <c r="S26" s="37"/>
    </row>
    <row r="27" spans="1:19" x14ac:dyDescent="0.3">
      <c r="A27" s="25">
        <v>7</v>
      </c>
      <c r="C27" s="25" t="s">
        <v>130</v>
      </c>
      <c r="F27" s="54"/>
      <c r="G27" s="53"/>
      <c r="H27" s="54">
        <v>2857007</v>
      </c>
      <c r="I27" s="72"/>
      <c r="J27" s="43">
        <f>PRO_GS</f>
        <v>3.9410999999999996</v>
      </c>
      <c r="K27" s="174"/>
      <c r="L27" s="36">
        <f>ROUND((H27*J27),0)</f>
        <v>11259750</v>
      </c>
      <c r="M27" s="37"/>
      <c r="N27" s="38">
        <f>ROUND((L27/$L$37)*100,1)</f>
        <v>71.2</v>
      </c>
      <c r="O27" s="39"/>
      <c r="P27" s="36">
        <f>ROUND(H27*EGC,0)</f>
        <v>11605162</v>
      </c>
      <c r="Q27" s="37"/>
      <c r="R27" s="36">
        <f>L27+P27</f>
        <v>22864912</v>
      </c>
      <c r="S27" s="37"/>
    </row>
    <row r="28" spans="1:19" x14ac:dyDescent="0.3">
      <c r="F28" s="55"/>
      <c r="G28" s="53"/>
      <c r="H28" s="55"/>
      <c r="I28" s="72"/>
      <c r="J28" s="43"/>
      <c r="K28" s="174"/>
      <c r="L28" s="32"/>
      <c r="M28" s="37"/>
      <c r="N28" s="33"/>
      <c r="O28" s="39"/>
      <c r="P28" s="32"/>
      <c r="Q28" s="37"/>
      <c r="R28" s="32"/>
      <c r="S28" s="37"/>
    </row>
    <row r="29" spans="1:19" x14ac:dyDescent="0.3">
      <c r="A29" s="24">
        <v>8</v>
      </c>
      <c r="C29" s="196" t="s">
        <v>215</v>
      </c>
      <c r="F29" s="45">
        <f>F24</f>
        <v>78612</v>
      </c>
      <c r="H29" s="45">
        <f>H27</f>
        <v>2857007</v>
      </c>
      <c r="I29" s="72"/>
      <c r="J29" s="174"/>
      <c r="K29" s="174"/>
      <c r="L29" s="36">
        <f>SUM(L24:L27)</f>
        <v>15819246</v>
      </c>
      <c r="M29" s="37"/>
      <c r="N29" s="38">
        <f>ROUND((L29/$L$37)*100,1)</f>
        <v>100</v>
      </c>
      <c r="O29" s="39"/>
      <c r="P29" s="36">
        <f>SUM(P24:P27)</f>
        <v>11605162</v>
      </c>
      <c r="Q29" s="37"/>
      <c r="R29" s="36">
        <f>SUM(R24:R27)</f>
        <v>27424408</v>
      </c>
      <c r="S29" s="37"/>
    </row>
    <row r="30" spans="1:19" x14ac:dyDescent="0.3">
      <c r="F30" s="55"/>
      <c r="G30" s="53"/>
      <c r="H30" s="55"/>
      <c r="I30" s="72"/>
      <c r="J30" s="43"/>
      <c r="K30" s="174"/>
      <c r="L30" s="32"/>
      <c r="M30" s="37"/>
      <c r="N30" s="33"/>
      <c r="O30" s="39"/>
      <c r="P30" s="32"/>
      <c r="Q30" s="37"/>
      <c r="R30" s="32"/>
      <c r="S30" s="37"/>
    </row>
    <row r="31" spans="1:19" x14ac:dyDescent="0.3">
      <c r="A31" s="25">
        <v>9</v>
      </c>
      <c r="C31" s="177" t="s">
        <v>206</v>
      </c>
      <c r="F31" s="55"/>
      <c r="G31" s="53"/>
      <c r="H31" s="55"/>
      <c r="I31" s="72"/>
      <c r="J31" s="43"/>
      <c r="K31" s="174"/>
      <c r="L31" s="32"/>
      <c r="M31" s="37"/>
      <c r="N31" s="33"/>
      <c r="O31" s="39"/>
      <c r="P31" s="32"/>
      <c r="Q31" s="37"/>
      <c r="R31" s="32"/>
      <c r="S31" s="37"/>
    </row>
    <row r="32" spans="1:19" x14ac:dyDescent="0.3">
      <c r="A32" s="25">
        <v>10</v>
      </c>
      <c r="C32" s="149" t="s">
        <v>222</v>
      </c>
      <c r="F32" s="55"/>
      <c r="G32" s="53"/>
      <c r="H32" s="55"/>
      <c r="I32" s="72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S32" s="37"/>
    </row>
    <row r="33" spans="1:42" x14ac:dyDescent="0.3">
      <c r="A33" s="25">
        <v>11</v>
      </c>
      <c r="C33" s="171" t="s">
        <v>295</v>
      </c>
      <c r="F33" s="55"/>
      <c r="G33" s="53"/>
      <c r="H33" s="55"/>
      <c r="I33" s="72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S33" s="37"/>
    </row>
    <row r="34" spans="1:42" x14ac:dyDescent="0.3">
      <c r="F34" s="55"/>
      <c r="G34" s="53"/>
      <c r="H34" s="55"/>
      <c r="I34" s="72"/>
      <c r="J34" s="43"/>
      <c r="K34" s="174"/>
      <c r="L34" s="32"/>
      <c r="M34" s="37"/>
      <c r="N34" s="33"/>
      <c r="O34" s="39"/>
      <c r="P34" s="32"/>
      <c r="Q34" s="37"/>
      <c r="R34" s="32"/>
      <c r="S34" s="37"/>
    </row>
    <row r="35" spans="1:42" x14ac:dyDescent="0.3">
      <c r="A35" s="25">
        <v>12</v>
      </c>
      <c r="C35" s="196" t="s">
        <v>209</v>
      </c>
      <c r="F35" s="55"/>
      <c r="G35" s="53"/>
      <c r="H35" s="5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S35" s="37"/>
    </row>
    <row r="36" spans="1:42" x14ac:dyDescent="0.3">
      <c r="A36" s="24"/>
      <c r="S36" s="37"/>
    </row>
    <row r="37" spans="1:42" ht="16.2" thickBot="1" x14ac:dyDescent="0.35">
      <c r="A37" s="24">
        <v>13</v>
      </c>
      <c r="C37" s="191" t="s">
        <v>214</v>
      </c>
      <c r="F37" s="40">
        <f>F24</f>
        <v>78612</v>
      </c>
      <c r="H37" s="40">
        <f>H27</f>
        <v>2857007</v>
      </c>
      <c r="I37" s="37"/>
      <c r="J37" s="46"/>
      <c r="K37" s="46"/>
      <c r="L37" s="40">
        <f>L29+L35</f>
        <v>15819246</v>
      </c>
      <c r="M37" s="37"/>
      <c r="N37" s="41">
        <f>N29+N35</f>
        <v>100</v>
      </c>
      <c r="O37" s="39"/>
      <c r="P37" s="40">
        <f>P29+P35</f>
        <v>11605162</v>
      </c>
      <c r="Q37" s="72"/>
      <c r="R37" s="40">
        <f>R29+R35</f>
        <v>27424408</v>
      </c>
      <c r="S37" s="37"/>
    </row>
    <row r="38" spans="1:42" ht="16.2" thickTop="1" x14ac:dyDescent="0.3">
      <c r="L38" s="37"/>
      <c r="M38" s="37"/>
      <c r="N38" s="37"/>
      <c r="O38" s="37"/>
      <c r="P38" s="37"/>
      <c r="Q38" s="37"/>
      <c r="R38" s="37"/>
      <c r="S38" s="37"/>
    </row>
    <row r="39" spans="1:42" x14ac:dyDescent="0.3">
      <c r="C39" s="26" t="s">
        <v>51</v>
      </c>
      <c r="L39" s="37"/>
      <c r="M39" s="37"/>
      <c r="N39" s="37"/>
      <c r="O39" s="37"/>
      <c r="P39" s="37"/>
      <c r="Q39" s="37"/>
      <c r="R39" s="37"/>
      <c r="S39" s="37"/>
    </row>
    <row r="40" spans="1:42" x14ac:dyDescent="0.3">
      <c r="C40" s="42" t="s">
        <v>118</v>
      </c>
    </row>
    <row r="41" spans="1:42" x14ac:dyDescent="0.3">
      <c r="C41" s="26" t="str">
        <f>"(3) REFLECTS AVERAGE EXPECTED GAS COST OF "&amp;TEXT(EGC,"$0.000")&amp;"/MCF."</f>
        <v>(3) REFLECTS AVERAGE EXPECTED GAS COST OF $4.062/MCF.</v>
      </c>
      <c r="H41" s="66"/>
      <c r="I41" s="42"/>
      <c r="T41" s="67" t="str">
        <f>COMPANY</f>
        <v>DUKE ENERGY KENTUCKY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x14ac:dyDescent="0.3">
      <c r="C42" s="27"/>
      <c r="H42" s="66"/>
      <c r="I42" s="42"/>
      <c r="T42" s="67" t="str">
        <f>CASE</f>
        <v>CASE NO. 2021-00190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x14ac:dyDescent="0.3">
      <c r="T43" s="20" t="s">
        <v>82</v>
      </c>
      <c r="U43" s="19"/>
      <c r="V43" s="19"/>
      <c r="W43" s="19"/>
      <c r="X43" s="19"/>
      <c r="Y43" s="19"/>
      <c r="Z43" s="20"/>
      <c r="AA43" s="20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x14ac:dyDescent="0.3">
      <c r="T44" s="19" t="str">
        <f>TIME_PERIOD</f>
        <v>FOR THE TWELVE MONTHS ENDED DECEMBER 31, 2022</v>
      </c>
      <c r="U44" s="19"/>
      <c r="V44" s="19"/>
      <c r="W44" s="19"/>
      <c r="X44" s="19"/>
      <c r="Y44" s="19"/>
      <c r="Z44" s="19"/>
      <c r="AA44" s="19"/>
      <c r="AB44" s="20"/>
      <c r="AC44" s="20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x14ac:dyDescent="0.3">
      <c r="T45" s="19" t="str">
        <f>SERV_TYPE</f>
        <v>(GAS SERVICE)</v>
      </c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x14ac:dyDescent="0.3">
      <c r="T46" s="24" t="str">
        <f>DATA_TYPE</f>
        <v>DATA: ___ BASE PERIOD   _X_FORECASTED PERIOD</v>
      </c>
      <c r="AN46" s="26" t="s">
        <v>88</v>
      </c>
      <c r="AO46" s="26"/>
    </row>
    <row r="47" spans="1:42" x14ac:dyDescent="0.3">
      <c r="T47" s="24" t="str">
        <f>FILING_TYPE</f>
        <v>TYPE OF FILING: _X_ ORIGINAL   ___UPDATED  ___ REVISED</v>
      </c>
      <c r="AN47" s="27" t="str">
        <f>R7</f>
        <v>PAGE  3  OF  7</v>
      </c>
      <c r="AO47" s="26"/>
    </row>
    <row r="48" spans="1:42" x14ac:dyDescent="0.3">
      <c r="T48" s="26" t="s">
        <v>98</v>
      </c>
      <c r="AN48" s="26" t="s">
        <v>1</v>
      </c>
      <c r="AO48" s="26"/>
    </row>
    <row r="49" spans="20:56" x14ac:dyDescent="0.3">
      <c r="T49" s="177" t="str">
        <f>TIME</f>
        <v>12 MONTHS FORECASTED</v>
      </c>
      <c r="AN49" s="26" t="str">
        <f>WIT</f>
        <v>J.L. Kern</v>
      </c>
      <c r="AO49" s="26"/>
    </row>
    <row r="50" spans="20:56" x14ac:dyDescent="0.3">
      <c r="AD50" s="26" t="s">
        <v>2</v>
      </c>
      <c r="AE50" s="26"/>
      <c r="AN50" s="24"/>
      <c r="AO50" s="24"/>
    </row>
    <row r="51" spans="20:56" x14ac:dyDescent="0.3"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20:56" x14ac:dyDescent="0.3">
      <c r="AD52" s="176" t="s">
        <v>5</v>
      </c>
      <c r="AE52" s="176"/>
      <c r="AF52" s="176" t="s">
        <v>4</v>
      </c>
      <c r="AG52" s="176"/>
      <c r="AH52" s="176" t="s">
        <v>6</v>
      </c>
      <c r="AI52" s="176"/>
      <c r="AJ52" s="176" t="s">
        <v>7</v>
      </c>
      <c r="AK52" s="176"/>
      <c r="AN52" s="176" t="s">
        <v>5</v>
      </c>
      <c r="AO52" s="176"/>
      <c r="AP52" s="176" t="s">
        <v>8</v>
      </c>
    </row>
    <row r="53" spans="20:56" x14ac:dyDescent="0.3">
      <c r="AB53" s="176" t="s">
        <v>11</v>
      </c>
      <c r="AC53" s="176"/>
      <c r="AD53" s="176" t="s">
        <v>9</v>
      </c>
      <c r="AE53" s="176"/>
      <c r="AF53" s="176" t="s">
        <v>10</v>
      </c>
      <c r="AG53" s="176"/>
      <c r="AH53" s="176" t="s">
        <v>12</v>
      </c>
      <c r="AI53" s="176"/>
      <c r="AJ53" s="176" t="s">
        <v>13</v>
      </c>
      <c r="AK53" s="176"/>
      <c r="AN53" s="176" t="s">
        <v>8</v>
      </c>
      <c r="AO53" s="176"/>
      <c r="AP53" s="176" t="s">
        <v>6</v>
      </c>
    </row>
    <row r="54" spans="20:56" x14ac:dyDescent="0.3">
      <c r="T54" s="176" t="s">
        <v>14</v>
      </c>
      <c r="V54" s="176" t="s">
        <v>15</v>
      </c>
      <c r="W54" s="176" t="s">
        <v>16</v>
      </c>
      <c r="X54" s="176" t="s">
        <v>17</v>
      </c>
      <c r="AB54" s="176" t="s">
        <v>5</v>
      </c>
      <c r="AC54" s="176"/>
      <c r="AD54" s="176" t="s">
        <v>112</v>
      </c>
      <c r="AE54" s="176"/>
      <c r="AF54" s="176" t="s">
        <v>112</v>
      </c>
      <c r="AG54" s="176"/>
      <c r="AH54" s="176" t="s">
        <v>113</v>
      </c>
      <c r="AI54" s="176"/>
      <c r="AJ54" s="176" t="s">
        <v>113</v>
      </c>
      <c r="AK54" s="176"/>
      <c r="AL54" s="176" t="s">
        <v>112</v>
      </c>
      <c r="AM54" s="176"/>
      <c r="AN54" s="176" t="s">
        <v>6</v>
      </c>
      <c r="AO54" s="176"/>
      <c r="AP54" s="176" t="s">
        <v>18</v>
      </c>
    </row>
    <row r="55" spans="20:56" x14ac:dyDescent="0.3">
      <c r="T55" s="176" t="s">
        <v>19</v>
      </c>
      <c r="V55" s="176" t="s">
        <v>20</v>
      </c>
      <c r="W55" s="176" t="s">
        <v>21</v>
      </c>
      <c r="X55" s="176" t="s">
        <v>22</v>
      </c>
      <c r="Z55" s="31" t="s">
        <v>117</v>
      </c>
      <c r="AA55" s="176"/>
      <c r="AB55" s="176" t="s">
        <v>24</v>
      </c>
      <c r="AC55" s="176"/>
      <c r="AD55" s="176" t="s">
        <v>6</v>
      </c>
      <c r="AE55" s="176"/>
      <c r="AF55" s="176" t="s">
        <v>6</v>
      </c>
      <c r="AG55" s="176"/>
      <c r="AH55" s="188" t="s">
        <v>26</v>
      </c>
      <c r="AI55" s="188"/>
      <c r="AJ55" s="188" t="s">
        <v>27</v>
      </c>
      <c r="AK55" s="176"/>
      <c r="AL55" s="31" t="s">
        <v>116</v>
      </c>
      <c r="AM55" s="176"/>
      <c r="AN55" s="188" t="s">
        <v>28</v>
      </c>
      <c r="AO55" s="188"/>
      <c r="AP55" s="188" t="s">
        <v>29</v>
      </c>
    </row>
    <row r="56" spans="20:56" x14ac:dyDescent="0.3">
      <c r="V56" s="188" t="s">
        <v>30</v>
      </c>
      <c r="W56" s="188" t="s">
        <v>31</v>
      </c>
      <c r="X56" s="188" t="s">
        <v>32</v>
      </c>
      <c r="Y56" s="184"/>
      <c r="Z56" s="188" t="s">
        <v>33</v>
      </c>
      <c r="AA56" s="188"/>
      <c r="AB56" s="188" t="s">
        <v>39</v>
      </c>
      <c r="AC56" s="188"/>
      <c r="AD56" s="188" t="s">
        <v>40</v>
      </c>
      <c r="AE56" s="188"/>
      <c r="AF56" s="188" t="s">
        <v>41</v>
      </c>
      <c r="AG56" s="188"/>
      <c r="AH56" s="188" t="s">
        <v>42</v>
      </c>
      <c r="AI56" s="188"/>
      <c r="AJ56" s="188" t="s">
        <v>43</v>
      </c>
      <c r="AK56" s="188"/>
      <c r="AL56" s="188" t="s">
        <v>37</v>
      </c>
      <c r="AM56" s="188"/>
      <c r="AN56" s="188" t="s">
        <v>44</v>
      </c>
      <c r="AO56" s="188"/>
      <c r="AP56" s="188" t="s">
        <v>45</v>
      </c>
    </row>
    <row r="57" spans="20:56" x14ac:dyDescent="0.3"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20:56" x14ac:dyDescent="0.3">
      <c r="Z58" s="189" t="s">
        <v>115</v>
      </c>
      <c r="AA58" s="188"/>
      <c r="AB58" s="189" t="s">
        <v>114</v>
      </c>
      <c r="AC58" s="188"/>
      <c r="AD58" s="188" t="s">
        <v>46</v>
      </c>
      <c r="AE58" s="188"/>
      <c r="AF58" s="188" t="s">
        <v>47</v>
      </c>
      <c r="AG58" s="188"/>
      <c r="AH58" s="188" t="s">
        <v>46</v>
      </c>
      <c r="AI58" s="188"/>
      <c r="AJ58" s="188" t="s">
        <v>47</v>
      </c>
      <c r="AK58" s="188"/>
      <c r="AL58" s="188" t="s">
        <v>46</v>
      </c>
      <c r="AM58" s="188"/>
      <c r="AN58" s="188" t="s">
        <v>46</v>
      </c>
      <c r="AO58" s="188"/>
      <c r="AP58" s="188" t="s">
        <v>47</v>
      </c>
    </row>
    <row r="59" spans="20:56" x14ac:dyDescent="0.3">
      <c r="T59" s="24">
        <v>1</v>
      </c>
      <c r="V59" s="177" t="s">
        <v>119</v>
      </c>
      <c r="W59" s="177" t="s">
        <v>120</v>
      </c>
    </row>
    <row r="60" spans="20:56" x14ac:dyDescent="0.3">
      <c r="T60" s="24"/>
      <c r="V60" s="26"/>
    </row>
    <row r="61" spans="20:56" x14ac:dyDescent="0.3">
      <c r="T61" s="25">
        <v>2</v>
      </c>
      <c r="V61" s="184" t="s">
        <v>85</v>
      </c>
    </row>
    <row r="62" spans="20:56" x14ac:dyDescent="0.3">
      <c r="T62" s="25">
        <v>3</v>
      </c>
      <c r="V62" s="25" t="s">
        <v>125</v>
      </c>
    </row>
    <row r="63" spans="20:56" x14ac:dyDescent="0.3">
      <c r="T63" s="25">
        <v>4</v>
      </c>
      <c r="V63" s="25" t="s">
        <v>198</v>
      </c>
    </row>
    <row r="64" spans="20:56" x14ac:dyDescent="0.3">
      <c r="T64" s="24">
        <v>5</v>
      </c>
      <c r="V64" s="25" t="s">
        <v>221</v>
      </c>
      <c r="W64" s="26"/>
      <c r="X64" s="32">
        <f>F24</f>
        <v>78612</v>
      </c>
      <c r="Y64" s="21"/>
      <c r="Z64" s="32"/>
      <c r="AA64" s="32"/>
      <c r="AB64" s="119">
        <f>CUR_GS_CUST</f>
        <v>50</v>
      </c>
      <c r="AC64" s="119"/>
      <c r="AD64" s="32">
        <f>ROUND(X64*AB64,0)</f>
        <v>3930600</v>
      </c>
      <c r="AE64" s="32"/>
      <c r="AF64" s="33">
        <f>ROUND((AD64/$AD$77)*100,1)</f>
        <v>32</v>
      </c>
      <c r="AG64" s="33"/>
      <c r="AH64" s="32">
        <f>L24-AD64</f>
        <v>628896</v>
      </c>
      <c r="AI64" s="32"/>
      <c r="AJ64" s="109">
        <f>IF(AD64=0,"0.0 ",ROUND((AH64/AD64)*100,1))</f>
        <v>16</v>
      </c>
      <c r="AK64" s="33"/>
      <c r="AL64" s="32"/>
      <c r="AM64" s="32"/>
      <c r="AN64" s="32">
        <f>AD64+AL64</f>
        <v>3930600</v>
      </c>
      <c r="AO64" s="32"/>
      <c r="AP64" s="109">
        <f>IF(AN64=0,"0.0 ",ROUND((AH64/AN64)*100,1))</f>
        <v>16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pans="20:42" x14ac:dyDescent="0.3">
      <c r="X65" s="32"/>
      <c r="Z65" s="32"/>
      <c r="AA65" s="37"/>
      <c r="AB65" s="72"/>
      <c r="AC65" s="72"/>
      <c r="AD65" s="32"/>
      <c r="AE65" s="37"/>
      <c r="AF65" s="39"/>
      <c r="AG65" s="39"/>
      <c r="AH65" s="37"/>
      <c r="AI65" s="37"/>
      <c r="AJ65" s="104"/>
      <c r="AL65" s="37"/>
      <c r="AM65" s="37"/>
      <c r="AN65" s="37"/>
      <c r="AO65" s="37"/>
      <c r="AP65" s="104"/>
    </row>
    <row r="66" spans="20:42" x14ac:dyDescent="0.3">
      <c r="T66" s="24">
        <v>6</v>
      </c>
      <c r="V66" s="191" t="s">
        <v>124</v>
      </c>
      <c r="X66" s="37"/>
      <c r="Z66" s="32"/>
      <c r="AA66" s="37"/>
      <c r="AC66" s="147"/>
      <c r="AD66" s="32"/>
      <c r="AE66" s="32"/>
      <c r="AF66" s="33"/>
      <c r="AG66" s="33"/>
      <c r="AH66" s="32"/>
      <c r="AI66" s="32"/>
      <c r="AJ66" s="105"/>
      <c r="AK66" s="33"/>
      <c r="AL66" s="32"/>
      <c r="AM66" s="32"/>
      <c r="AN66" s="32"/>
      <c r="AO66" s="32"/>
      <c r="AP66" s="105"/>
    </row>
    <row r="67" spans="20:42" x14ac:dyDescent="0.3">
      <c r="T67" s="25">
        <v>7</v>
      </c>
      <c r="V67" s="25" t="s">
        <v>130</v>
      </c>
      <c r="W67" s="42"/>
      <c r="X67" s="54"/>
      <c r="Y67" s="55"/>
      <c r="Z67" s="54">
        <f>H27</f>
        <v>2857007</v>
      </c>
      <c r="AA67" s="53"/>
      <c r="AB67" s="147">
        <f>CUR_GS</f>
        <v>2.9243000000000001</v>
      </c>
      <c r="AC67" s="147"/>
      <c r="AD67" s="36">
        <f>ROUND((Z67*AB67),0)</f>
        <v>8354746</v>
      </c>
      <c r="AE67" s="37"/>
      <c r="AF67" s="38">
        <f>ROUND((AD67/$AD$77)*100,1)</f>
        <v>68</v>
      </c>
      <c r="AG67" s="39"/>
      <c r="AH67" s="36">
        <f>L27-AD67</f>
        <v>2905004</v>
      </c>
      <c r="AI67" s="37"/>
      <c r="AJ67" s="154">
        <f>IF(AD67=0,"0.0 ",ROUND((AH67/AD67)*100,1))</f>
        <v>34.799999999999997</v>
      </c>
      <c r="AK67" s="39"/>
      <c r="AL67" s="36">
        <f>P27</f>
        <v>11605162</v>
      </c>
      <c r="AM67" s="37"/>
      <c r="AN67" s="36">
        <f>AD67+AL67</f>
        <v>19959908</v>
      </c>
      <c r="AO67" s="37"/>
      <c r="AP67" s="109">
        <f>IF(AN67=0,"0.0 ",ROUND((AH67/AN67)*100,1))</f>
        <v>14.6</v>
      </c>
    </row>
    <row r="68" spans="20:42" x14ac:dyDescent="0.3">
      <c r="W68" s="42"/>
      <c r="X68" s="55"/>
      <c r="Y68" s="55"/>
      <c r="Z68" s="55"/>
      <c r="AA68" s="53"/>
      <c r="AB68" s="147"/>
      <c r="AC68" s="147"/>
      <c r="AD68" s="32"/>
      <c r="AE68" s="37"/>
      <c r="AF68" s="33"/>
      <c r="AG68" s="39"/>
      <c r="AH68" s="32"/>
      <c r="AI68" s="37"/>
      <c r="AJ68" s="109"/>
      <c r="AK68" s="39"/>
      <c r="AL68" s="32"/>
      <c r="AM68" s="37"/>
      <c r="AN68" s="32"/>
      <c r="AO68" s="37"/>
      <c r="AP68" s="109"/>
    </row>
    <row r="69" spans="20:42" x14ac:dyDescent="0.3">
      <c r="T69" s="24">
        <v>8</v>
      </c>
      <c r="V69" s="196" t="s">
        <v>215</v>
      </c>
      <c r="X69" s="54">
        <f>X64</f>
        <v>78612</v>
      </c>
      <c r="Y69" s="55"/>
      <c r="Z69" s="54">
        <f>Z67</f>
        <v>2857007</v>
      </c>
      <c r="AA69" s="53"/>
      <c r="AB69" s="147"/>
      <c r="AC69" s="147"/>
      <c r="AD69" s="36">
        <f>SUM(AD64:AD67)</f>
        <v>12285346</v>
      </c>
      <c r="AE69" s="37"/>
      <c r="AF69" s="38">
        <f>ROUND((AD69/$AD$77)*100,1)</f>
        <v>100</v>
      </c>
      <c r="AG69" s="39"/>
      <c r="AH69" s="36">
        <f>SUM(AH64:AH67)</f>
        <v>3533900</v>
      </c>
      <c r="AI69" s="37"/>
      <c r="AJ69" s="154">
        <f>IF(AD69=0,"0.0 ",ROUND((AH69/AD69)*100,1))</f>
        <v>28.8</v>
      </c>
      <c r="AK69" s="39"/>
      <c r="AL69" s="36">
        <f>SUM(AL64:AL67)</f>
        <v>11605162</v>
      </c>
      <c r="AM69" s="37"/>
      <c r="AN69" s="36">
        <f>SUM(AN64:AN67)</f>
        <v>23890508</v>
      </c>
      <c r="AO69" s="37"/>
      <c r="AP69" s="109">
        <f>IF(AN69=0,"0.0 ",ROUND((AH69/AN69)*100,1))</f>
        <v>14.8</v>
      </c>
    </row>
    <row r="70" spans="20:42" x14ac:dyDescent="0.3">
      <c r="W70" s="42"/>
      <c r="X70" s="55"/>
      <c r="Y70" s="55"/>
      <c r="Z70" s="55"/>
      <c r="AA70" s="53"/>
      <c r="AB70" s="147"/>
      <c r="AC70" s="147"/>
      <c r="AD70" s="32"/>
      <c r="AE70" s="37"/>
      <c r="AF70" s="33"/>
      <c r="AG70" s="39"/>
      <c r="AH70" s="32"/>
      <c r="AI70" s="37"/>
      <c r="AJ70" s="109"/>
      <c r="AK70" s="39"/>
      <c r="AL70" s="32"/>
      <c r="AM70" s="37"/>
      <c r="AN70" s="32"/>
      <c r="AO70" s="37"/>
      <c r="AP70" s="109"/>
    </row>
    <row r="71" spans="20:42" x14ac:dyDescent="0.3">
      <c r="T71" s="25">
        <v>9</v>
      </c>
      <c r="V71" s="177" t="s">
        <v>206</v>
      </c>
      <c r="X71" s="55"/>
      <c r="Y71" s="55"/>
      <c r="Z71" s="55"/>
      <c r="AA71" s="53"/>
      <c r="AB71" s="147"/>
      <c r="AC71" s="147"/>
      <c r="AD71" s="32"/>
      <c r="AE71" s="37"/>
      <c r="AF71" s="33"/>
      <c r="AG71" s="39"/>
      <c r="AH71" s="32"/>
      <c r="AI71" s="37"/>
      <c r="AJ71" s="109"/>
      <c r="AK71" s="39"/>
      <c r="AL71" s="32"/>
      <c r="AM71" s="37"/>
      <c r="AN71" s="32"/>
      <c r="AO71" s="37"/>
      <c r="AP71" s="109"/>
    </row>
    <row r="72" spans="20:42" x14ac:dyDescent="0.3">
      <c r="T72" s="25">
        <v>10</v>
      </c>
      <c r="V72" s="171" t="str">
        <f>C32</f>
        <v>DEMAND SIDE MANAGEMENT RATE (DSMR)</v>
      </c>
      <c r="W72" s="21"/>
      <c r="X72" s="55"/>
      <c r="Y72" s="55"/>
      <c r="Z72" s="55"/>
      <c r="AA72" s="55"/>
      <c r="AB72" s="173">
        <f>CUR_GS_DSM</f>
        <v>0</v>
      </c>
      <c r="AC72" s="200"/>
      <c r="AD72" s="32">
        <f>ROUND(Z67*AB72,0)</f>
        <v>0</v>
      </c>
      <c r="AE72" s="32"/>
      <c r="AF72" s="33">
        <f>ROUND((AD72/$AD$77)*100,1)</f>
        <v>0</v>
      </c>
      <c r="AG72" s="33"/>
      <c r="AH72" s="32">
        <f>L32-AD72</f>
        <v>0</v>
      </c>
      <c r="AI72" s="32"/>
      <c r="AJ72" s="109" t="str">
        <f>IF(AD72=0,"0.0 ",ROUND((AH72/AD72)*100,1))</f>
        <v xml:space="preserve">0.0 </v>
      </c>
      <c r="AK72" s="33"/>
      <c r="AL72" s="32"/>
      <c r="AM72" s="32"/>
      <c r="AN72" s="32">
        <f>AD72+AL72</f>
        <v>0</v>
      </c>
      <c r="AO72" s="32"/>
      <c r="AP72" s="109" t="str">
        <f>IF(AN72=0,"0.0 ",ROUND((AH72/AN72)*100,1))</f>
        <v xml:space="preserve">0.0 </v>
      </c>
    </row>
    <row r="73" spans="20:42" x14ac:dyDescent="0.3">
      <c r="T73" s="25">
        <f>A33</f>
        <v>11</v>
      </c>
      <c r="V73" s="171" t="s">
        <v>295</v>
      </c>
      <c r="W73" s="21"/>
      <c r="X73" s="55"/>
      <c r="Y73" s="55"/>
      <c r="Z73" s="55"/>
      <c r="AA73" s="55"/>
      <c r="AB73" s="173">
        <v>0</v>
      </c>
      <c r="AC73" s="200"/>
      <c r="AD73" s="32">
        <f>ROUND(Z69*AB73,0)</f>
        <v>0</v>
      </c>
      <c r="AE73" s="32"/>
      <c r="AF73" s="33">
        <f>ROUND((AD73/$AD$77)*100,1)</f>
        <v>0</v>
      </c>
      <c r="AG73" s="33"/>
      <c r="AH73" s="32">
        <f>L33-AD73</f>
        <v>0</v>
      </c>
      <c r="AI73" s="32"/>
      <c r="AJ73" s="109" t="str">
        <f>IF(AD73=0,"0.0 ",ROUND((AH73/AD73)*100,1))</f>
        <v xml:space="preserve">0.0 </v>
      </c>
      <c r="AK73" s="33"/>
      <c r="AL73" s="32"/>
      <c r="AM73" s="32"/>
      <c r="AN73" s="32">
        <f>AD73+AL73</f>
        <v>0</v>
      </c>
      <c r="AO73" s="32"/>
      <c r="AP73" s="109" t="str">
        <f>IF(AN73=0,"0.0 ",ROUND((AH73/AN73)*100,1))</f>
        <v xml:space="preserve">0.0 </v>
      </c>
    </row>
    <row r="74" spans="20:42" x14ac:dyDescent="0.3">
      <c r="X74" s="55"/>
      <c r="Y74" s="55"/>
      <c r="Z74" s="55"/>
      <c r="AA74" s="53"/>
      <c r="AB74" s="147"/>
      <c r="AC74" s="147"/>
      <c r="AD74" s="32"/>
      <c r="AE74" s="37"/>
      <c r="AF74" s="33"/>
      <c r="AG74" s="39"/>
      <c r="AH74" s="32"/>
      <c r="AI74" s="37"/>
      <c r="AJ74" s="109"/>
      <c r="AK74" s="39"/>
      <c r="AL74" s="32"/>
      <c r="AM74" s="37"/>
      <c r="AN74" s="32"/>
      <c r="AO74" s="37"/>
      <c r="AP74" s="109"/>
    </row>
    <row r="75" spans="20:42" x14ac:dyDescent="0.3">
      <c r="T75" s="25">
        <f>A35</f>
        <v>12</v>
      </c>
      <c r="V75" s="196" t="s">
        <v>209</v>
      </c>
      <c r="Y75" s="195"/>
      <c r="AA75" s="195"/>
      <c r="AB75" s="201"/>
      <c r="AC75" s="147"/>
      <c r="AD75" s="36">
        <f>SUM(AD71:AD73)</f>
        <v>0</v>
      </c>
      <c r="AE75" s="37"/>
      <c r="AF75" s="38">
        <f>ROUND((AD75/$AD$77)*100,1)</f>
        <v>0</v>
      </c>
      <c r="AG75" s="39"/>
      <c r="AH75" s="36">
        <f>SUM(AH71:AH73)</f>
        <v>0</v>
      </c>
      <c r="AI75" s="37"/>
      <c r="AJ75" s="154" t="str">
        <f>IF(AD75=0,"0.0 ",ROUND((AH75/AD75)*100,1))</f>
        <v xml:space="preserve">0.0 </v>
      </c>
      <c r="AK75" s="39"/>
      <c r="AL75" s="36"/>
      <c r="AM75" s="37"/>
      <c r="AN75" s="36">
        <f>SUM(AN71:AN73)</f>
        <v>0</v>
      </c>
      <c r="AO75" s="37"/>
      <c r="AP75" s="109" t="str">
        <f>IF(AN75=0,"0.0 ",ROUND((AH75/AN75)*100,1))</f>
        <v xml:space="preserve">0.0 </v>
      </c>
    </row>
    <row r="76" spans="20:42" x14ac:dyDescent="0.3">
      <c r="T76" s="24"/>
      <c r="AB76" s="193"/>
      <c r="AC76" s="193"/>
      <c r="AD76" s="37"/>
      <c r="AE76" s="37"/>
      <c r="AF76" s="39"/>
      <c r="AG76" s="39"/>
      <c r="AH76" s="37"/>
      <c r="AI76" s="37"/>
      <c r="AJ76" s="103"/>
      <c r="AK76" s="39"/>
      <c r="AL76" s="37"/>
      <c r="AM76" s="37"/>
      <c r="AN76" s="37"/>
      <c r="AO76" s="37"/>
      <c r="AP76" s="103"/>
    </row>
    <row r="77" spans="20:42" ht="16.2" thickBot="1" x14ac:dyDescent="0.35">
      <c r="T77" s="25">
        <f>A37</f>
        <v>13</v>
      </c>
      <c r="V77" s="191" t="s">
        <v>214</v>
      </c>
      <c r="X77" s="40">
        <f>X64</f>
        <v>78612</v>
      </c>
      <c r="Z77" s="40">
        <f>Z67</f>
        <v>2857007</v>
      </c>
      <c r="AA77" s="37"/>
      <c r="AB77" s="193"/>
      <c r="AC77" s="193"/>
      <c r="AD77" s="40">
        <f>AD69+AD75</f>
        <v>12285346</v>
      </c>
      <c r="AE77" s="37"/>
      <c r="AF77" s="41">
        <f>AF69+AF75</f>
        <v>100</v>
      </c>
      <c r="AG77" s="39"/>
      <c r="AH77" s="40">
        <f>AH69+AH75</f>
        <v>3533900</v>
      </c>
      <c r="AI77" s="37"/>
      <c r="AJ77" s="155">
        <f>IF(AD77=0,"0.0 ",ROUND((AH77/AD77)*100,1))</f>
        <v>28.8</v>
      </c>
      <c r="AK77" s="39"/>
      <c r="AL77" s="40">
        <f>P37</f>
        <v>11605162</v>
      </c>
      <c r="AM77" s="37"/>
      <c r="AN77" s="40">
        <f>AN69+AN75</f>
        <v>23890508</v>
      </c>
      <c r="AO77" s="37"/>
      <c r="AP77" s="109">
        <f>IF(AN77=0,"0.0 ",ROUND((AH77/AN77)*100,1))</f>
        <v>14.8</v>
      </c>
    </row>
    <row r="78" spans="20:42" ht="16.2" thickTop="1" x14ac:dyDescent="0.3">
      <c r="AD78" s="37"/>
      <c r="AE78" s="37"/>
      <c r="AF78" s="37"/>
      <c r="AG78" s="37"/>
      <c r="AL78" s="37"/>
      <c r="AM78" s="37"/>
      <c r="AN78" s="37"/>
      <c r="AO78" s="37"/>
      <c r="AP78" s="104"/>
    </row>
    <row r="79" spans="20:42" x14ac:dyDescent="0.3">
      <c r="V79" s="26" t="s">
        <v>51</v>
      </c>
      <c r="AD79" s="37"/>
      <c r="AE79" s="37"/>
      <c r="AF79" s="37"/>
      <c r="AG79" s="37"/>
      <c r="AL79" s="37"/>
      <c r="AM79" s="37"/>
      <c r="AN79" s="37"/>
      <c r="AO79" s="37"/>
      <c r="AP79" s="104"/>
    </row>
    <row r="80" spans="20:42" x14ac:dyDescent="0.3">
      <c r="V80" s="42" t="s">
        <v>118</v>
      </c>
      <c r="AP80" s="104"/>
    </row>
    <row r="81" spans="22:42" x14ac:dyDescent="0.3">
      <c r="V81" s="26" t="str">
        <f>"(3) REFLECTS AVERAGE EXPECTED GAS COST OF "&amp;TEXT(EGC,"$0.000")&amp;"/MCF."</f>
        <v>(3) REFLECTS AVERAGE EXPECTED GAS COST OF $4.062/MCF.</v>
      </c>
      <c r="Z81" s="66"/>
      <c r="AA81" s="42"/>
      <c r="AP81" s="104"/>
    </row>
    <row r="82" spans="22:42" x14ac:dyDescent="0.3">
      <c r="V82" s="27"/>
      <c r="AP82" s="104"/>
    </row>
    <row r="83" spans="22:42" x14ac:dyDescent="0.3">
      <c r="AP83" s="104"/>
    </row>
    <row r="84" spans="22:42" x14ac:dyDescent="0.3">
      <c r="AP84" s="104"/>
    </row>
    <row r="85" spans="22:42" x14ac:dyDescent="0.3">
      <c r="AP85" s="104"/>
    </row>
    <row r="86" spans="22:42" x14ac:dyDescent="0.3">
      <c r="AP86" s="104"/>
    </row>
    <row r="87" spans="22:42" x14ac:dyDescent="0.3">
      <c r="AP87" s="104"/>
    </row>
    <row r="88" spans="22:42" x14ac:dyDescent="0.3">
      <c r="AP88" s="104"/>
    </row>
    <row r="89" spans="22:42" x14ac:dyDescent="0.3">
      <c r="AP89" s="104"/>
    </row>
    <row r="198" spans="1:31" x14ac:dyDescent="0.3">
      <c r="Z198" s="26" t="s">
        <v>68</v>
      </c>
      <c r="AA198" s="26"/>
    </row>
    <row r="199" spans="1:31" x14ac:dyDescent="0.3">
      <c r="A199" s="26"/>
      <c r="H199" s="26"/>
      <c r="I199" s="26"/>
    </row>
    <row r="200" spans="1:31" x14ac:dyDescent="0.3">
      <c r="A200" s="26"/>
      <c r="X200" s="176" t="s">
        <v>69</v>
      </c>
      <c r="AD200" s="176" t="s">
        <v>70</v>
      </c>
      <c r="AE200" s="176"/>
    </row>
    <row r="201" spans="1:31" x14ac:dyDescent="0.3">
      <c r="A201" s="26"/>
      <c r="X201" s="68" t="s">
        <v>52</v>
      </c>
      <c r="AD201" s="68" t="s">
        <v>52</v>
      </c>
      <c r="AE201" s="68"/>
    </row>
    <row r="202" spans="1:31" x14ac:dyDescent="0.3">
      <c r="A202" s="26"/>
      <c r="W202" s="26" t="s">
        <v>71</v>
      </c>
      <c r="AD202" s="176" t="s">
        <v>72</v>
      </c>
      <c r="AE202" s="176"/>
    </row>
    <row r="203" spans="1:31" x14ac:dyDescent="0.3">
      <c r="A203" s="26"/>
    </row>
    <row r="204" spans="1:31" x14ac:dyDescent="0.3">
      <c r="A204" s="26"/>
      <c r="W204" s="26" t="s">
        <v>73</v>
      </c>
      <c r="AD204" s="176" t="s">
        <v>74</v>
      </c>
      <c r="AE204" s="176"/>
    </row>
    <row r="205" spans="1:31" x14ac:dyDescent="0.3">
      <c r="A205" s="26"/>
    </row>
    <row r="206" spans="1:31" x14ac:dyDescent="0.3">
      <c r="A206" s="26"/>
      <c r="W206" s="26" t="s">
        <v>75</v>
      </c>
      <c r="X206" s="199" t="s">
        <v>76</v>
      </c>
      <c r="AD206" s="176" t="s">
        <v>77</v>
      </c>
      <c r="AE206" s="176"/>
    </row>
    <row r="207" spans="1:31" x14ac:dyDescent="0.3">
      <c r="A207" s="26"/>
    </row>
    <row r="208" spans="1:31" x14ac:dyDescent="0.3">
      <c r="A208" s="26"/>
      <c r="W208" s="26" t="s">
        <v>78</v>
      </c>
      <c r="AD208" s="176" t="s">
        <v>79</v>
      </c>
      <c r="AE208" s="176"/>
    </row>
    <row r="209" spans="1:31" x14ac:dyDescent="0.3">
      <c r="A209" s="26"/>
    </row>
    <row r="210" spans="1:31" x14ac:dyDescent="0.3">
      <c r="A210" s="26"/>
      <c r="W210" s="26" t="s">
        <v>80</v>
      </c>
      <c r="AD210" s="176" t="s">
        <v>81</v>
      </c>
      <c r="AE210" s="176"/>
    </row>
    <row r="211" spans="1:31" x14ac:dyDescent="0.3">
      <c r="A211" s="26"/>
    </row>
    <row r="212" spans="1:31" x14ac:dyDescent="0.3">
      <c r="A212" s="26"/>
    </row>
    <row r="213" spans="1:31" x14ac:dyDescent="0.3">
      <c r="A213" s="26"/>
    </row>
    <row r="214" spans="1:31" x14ac:dyDescent="0.3">
      <c r="A214" s="26"/>
    </row>
    <row r="215" spans="1:31" x14ac:dyDescent="0.3">
      <c r="A215" s="26"/>
    </row>
    <row r="216" spans="1:31" x14ac:dyDescent="0.3">
      <c r="A216" s="26"/>
    </row>
    <row r="217" spans="1:31" x14ac:dyDescent="0.3">
      <c r="A217" s="26"/>
    </row>
    <row r="218" spans="1:31" x14ac:dyDescent="0.3">
      <c r="A218" s="26"/>
    </row>
    <row r="219" spans="1:31" x14ac:dyDescent="0.3">
      <c r="A219" s="26"/>
    </row>
    <row r="220" spans="1:31" x14ac:dyDescent="0.3">
      <c r="A220" s="26"/>
    </row>
    <row r="221" spans="1:31" x14ac:dyDescent="0.3">
      <c r="A221" s="26"/>
      <c r="H221" s="26"/>
      <c r="I221" s="26"/>
    </row>
    <row r="224" spans="1:31" x14ac:dyDescent="0.3">
      <c r="A224" s="26"/>
    </row>
    <row r="227" spans="1:1" x14ac:dyDescent="0.3">
      <c r="A227" s="26"/>
    </row>
    <row r="230" spans="1:1" x14ac:dyDescent="0.3">
      <c r="A230" s="26"/>
    </row>
    <row r="231" spans="1:1" x14ac:dyDescent="0.3">
      <c r="A231" s="26"/>
    </row>
    <row r="232" spans="1:1" x14ac:dyDescent="0.3">
      <c r="A232" s="26"/>
    </row>
    <row r="233" spans="1:1" x14ac:dyDescent="0.3">
      <c r="A233" s="26"/>
    </row>
    <row r="234" spans="1:1" x14ac:dyDescent="0.3">
      <c r="A234" s="26"/>
    </row>
    <row r="235" spans="1:1" x14ac:dyDescent="0.3">
      <c r="A235" s="26"/>
    </row>
    <row r="236" spans="1:1" x14ac:dyDescent="0.3">
      <c r="A236" s="26"/>
    </row>
    <row r="237" spans="1:1" x14ac:dyDescent="0.3">
      <c r="A237" s="26"/>
    </row>
    <row r="238" spans="1:1" x14ac:dyDescent="0.3">
      <c r="A238" s="26"/>
    </row>
    <row r="239" spans="1:1" x14ac:dyDescent="0.3">
      <c r="A239" s="26"/>
    </row>
    <row r="240" spans="1:1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01" x14ac:dyDescent="0.3">
      <c r="A257" s="26"/>
    </row>
    <row r="258" spans="1:101" x14ac:dyDescent="0.3">
      <c r="A258" s="26"/>
    </row>
    <row r="259" spans="1:101" x14ac:dyDescent="0.3">
      <c r="A259" s="26"/>
    </row>
    <row r="260" spans="1:101" x14ac:dyDescent="0.3">
      <c r="A260" s="26"/>
    </row>
    <row r="261" spans="1:101" x14ac:dyDescent="0.3">
      <c r="A261" s="26"/>
    </row>
    <row r="262" spans="1:101" x14ac:dyDescent="0.3">
      <c r="A262" s="26"/>
      <c r="CV262" s="26"/>
      <c r="CW262" s="26"/>
    </row>
    <row r="263" spans="1:101" x14ac:dyDescent="0.3">
      <c r="A263" s="26"/>
      <c r="CV263" s="26"/>
      <c r="CW263" s="26"/>
    </row>
    <row r="264" spans="1:101" x14ac:dyDescent="0.3">
      <c r="A264" s="26"/>
      <c r="CV264" s="26"/>
      <c r="CW264" s="26"/>
    </row>
    <row r="265" spans="1:101" x14ac:dyDescent="0.3">
      <c r="CV265" s="26"/>
      <c r="CW265" s="26"/>
    </row>
    <row r="266" spans="1:101" x14ac:dyDescent="0.3">
      <c r="CV266" s="26"/>
      <c r="CW266" s="26"/>
    </row>
    <row r="267" spans="1:101" x14ac:dyDescent="0.3">
      <c r="CV267" s="26"/>
      <c r="CW267" s="26"/>
    </row>
    <row r="268" spans="1:101" x14ac:dyDescent="0.3">
      <c r="CV268" s="26"/>
      <c r="CW268" s="26"/>
    </row>
    <row r="269" spans="1:101" x14ac:dyDescent="0.3">
      <c r="A269" s="26"/>
      <c r="CV269" s="26"/>
      <c r="CW269" s="26"/>
    </row>
    <row r="270" spans="1:101" x14ac:dyDescent="0.3">
      <c r="A270" s="26"/>
      <c r="CV270" s="26"/>
      <c r="CW270" s="26"/>
    </row>
    <row r="271" spans="1:101" x14ac:dyDescent="0.3">
      <c r="CV271" s="26"/>
      <c r="CW271" s="26"/>
    </row>
    <row r="272" spans="1:101" x14ac:dyDescent="0.3">
      <c r="CV272" s="26"/>
      <c r="CW272" s="26"/>
    </row>
    <row r="273" spans="1:101" x14ac:dyDescent="0.3">
      <c r="A273" s="26"/>
      <c r="CV273" s="26"/>
      <c r="CW273" s="26"/>
    </row>
    <row r="274" spans="1:101" x14ac:dyDescent="0.3">
      <c r="CV274" s="26"/>
      <c r="CW274" s="26"/>
    </row>
    <row r="275" spans="1:101" x14ac:dyDescent="0.3">
      <c r="A275" s="26"/>
      <c r="CV275" s="26"/>
      <c r="CW275" s="26"/>
    </row>
    <row r="276" spans="1:101" x14ac:dyDescent="0.3">
      <c r="CV276" s="26"/>
      <c r="CW276" s="26"/>
    </row>
    <row r="277" spans="1:101" x14ac:dyDescent="0.3">
      <c r="A277" s="26"/>
      <c r="CV277" s="26"/>
      <c r="CW277" s="26"/>
    </row>
    <row r="278" spans="1:101" x14ac:dyDescent="0.3">
      <c r="CV278" s="26"/>
      <c r="CW278" s="26"/>
    </row>
    <row r="279" spans="1:101" x14ac:dyDescent="0.3">
      <c r="A279" s="26"/>
      <c r="CV279" s="26"/>
      <c r="CW279" s="26"/>
    </row>
    <row r="280" spans="1:101" x14ac:dyDescent="0.3">
      <c r="CV280" s="26"/>
      <c r="CW280" s="26"/>
    </row>
    <row r="281" spans="1:101" x14ac:dyDescent="0.3">
      <c r="CV281" s="26"/>
      <c r="CW281" s="26"/>
    </row>
    <row r="282" spans="1:101" x14ac:dyDescent="0.3">
      <c r="A282" s="26"/>
      <c r="CV282" s="26"/>
      <c r="CW282" s="26"/>
    </row>
    <row r="283" spans="1:101" x14ac:dyDescent="0.3">
      <c r="A283" s="26"/>
      <c r="CV283" s="26"/>
      <c r="CW283" s="26"/>
    </row>
    <row r="284" spans="1:101" x14ac:dyDescent="0.3">
      <c r="A284" s="26"/>
      <c r="CV284" s="26"/>
      <c r="CW284" s="26"/>
    </row>
    <row r="285" spans="1:101" x14ac:dyDescent="0.3">
      <c r="A285" s="26"/>
      <c r="CV285" s="26"/>
      <c r="CW285" s="26"/>
    </row>
    <row r="286" spans="1:101" x14ac:dyDescent="0.3">
      <c r="A286" s="26"/>
      <c r="CV286" s="26"/>
      <c r="CW286" s="26"/>
    </row>
    <row r="287" spans="1:101" x14ac:dyDescent="0.3">
      <c r="A287" s="26"/>
      <c r="CV287" s="26"/>
      <c r="CW287" s="26"/>
    </row>
    <row r="288" spans="1:101" x14ac:dyDescent="0.3">
      <c r="A288" s="26"/>
      <c r="CV288" s="26"/>
      <c r="CW288" s="26"/>
    </row>
    <row r="289" spans="1:101" x14ac:dyDescent="0.3">
      <c r="A289" s="26"/>
      <c r="CV289" s="26"/>
      <c r="CW289" s="26"/>
    </row>
    <row r="290" spans="1:101" x14ac:dyDescent="0.3">
      <c r="CV290" s="26"/>
      <c r="CW290" s="26"/>
    </row>
    <row r="291" spans="1:101" x14ac:dyDescent="0.3">
      <c r="CV291" s="26"/>
      <c r="CW291" s="26"/>
    </row>
    <row r="292" spans="1:101" x14ac:dyDescent="0.3">
      <c r="CV292" s="26"/>
      <c r="CW292" s="26"/>
    </row>
    <row r="293" spans="1:101" x14ac:dyDescent="0.3">
      <c r="CV293" s="26"/>
      <c r="CW293" s="26"/>
    </row>
    <row r="294" spans="1:101" x14ac:dyDescent="0.3">
      <c r="CV294" s="26"/>
      <c r="CW294" s="26"/>
    </row>
    <row r="295" spans="1:101" x14ac:dyDescent="0.3">
      <c r="CV295" s="26"/>
      <c r="CW295" s="26"/>
    </row>
    <row r="296" spans="1:101" x14ac:dyDescent="0.3">
      <c r="CV296" s="26"/>
      <c r="CW296" s="26"/>
    </row>
    <row r="297" spans="1:101" x14ac:dyDescent="0.3">
      <c r="CV297" s="26"/>
      <c r="CW297" s="26"/>
    </row>
    <row r="298" spans="1:101" x14ac:dyDescent="0.3">
      <c r="CV298" s="26"/>
      <c r="CW298" s="26"/>
    </row>
    <row r="299" spans="1:101" x14ac:dyDescent="0.3">
      <c r="CV299" s="26"/>
      <c r="CW299" s="26"/>
    </row>
    <row r="300" spans="1:101" x14ac:dyDescent="0.3">
      <c r="CV300" s="26"/>
      <c r="CW300" s="26"/>
    </row>
    <row r="301" spans="1:101" x14ac:dyDescent="0.3">
      <c r="CV301" s="26"/>
      <c r="CW301" s="26"/>
    </row>
    <row r="302" spans="1:101" x14ac:dyDescent="0.3">
      <c r="CV302" s="26"/>
      <c r="CW302" s="26"/>
    </row>
    <row r="303" spans="1:101" x14ac:dyDescent="0.3">
      <c r="CV303" s="26"/>
      <c r="CW303" s="26"/>
    </row>
    <row r="304" spans="1:101" x14ac:dyDescent="0.3">
      <c r="CV304" s="26"/>
      <c r="CW304" s="26"/>
    </row>
    <row r="305" spans="100:101" x14ac:dyDescent="0.3">
      <c r="CV305" s="26"/>
      <c r="CW305" s="26"/>
    </row>
    <row r="306" spans="100:101" x14ac:dyDescent="0.3">
      <c r="CV306" s="26"/>
      <c r="CW306" s="26"/>
    </row>
    <row r="307" spans="100:101" x14ac:dyDescent="0.3">
      <c r="CV307" s="26"/>
      <c r="CW307" s="26"/>
    </row>
    <row r="308" spans="100:101" x14ac:dyDescent="0.3">
      <c r="CV308" s="26"/>
      <c r="CW308" s="26"/>
    </row>
    <row r="309" spans="100:101" x14ac:dyDescent="0.3">
      <c r="CV309" s="26"/>
      <c r="CW309" s="26"/>
    </row>
    <row r="310" spans="100:101" x14ac:dyDescent="0.3">
      <c r="CV310" s="26"/>
      <c r="CW310" s="26"/>
    </row>
    <row r="311" spans="100:101" x14ac:dyDescent="0.3">
      <c r="CV311" s="26"/>
      <c r="CW311" s="26"/>
    </row>
    <row r="312" spans="100:101" x14ac:dyDescent="0.3">
      <c r="CV312" s="26"/>
      <c r="CW312" s="26"/>
    </row>
    <row r="313" spans="100:101" x14ac:dyDescent="0.3">
      <c r="CV313" s="26"/>
      <c r="CW313" s="26"/>
    </row>
    <row r="314" spans="100:101" x14ac:dyDescent="0.3">
      <c r="CV314" s="26"/>
      <c r="CW314" s="26"/>
    </row>
    <row r="315" spans="100:101" x14ac:dyDescent="0.3">
      <c r="CV315" s="26"/>
      <c r="CW315" s="26"/>
    </row>
    <row r="316" spans="100:101" x14ac:dyDescent="0.3">
      <c r="CV316" s="26"/>
      <c r="CW316" s="26"/>
    </row>
    <row r="317" spans="100:101" x14ac:dyDescent="0.3">
      <c r="CV317" s="26"/>
      <c r="CW317" s="26"/>
    </row>
    <row r="318" spans="100:101" x14ac:dyDescent="0.3">
      <c r="CV318" s="26"/>
      <c r="CW318" s="26"/>
    </row>
    <row r="319" spans="100:101" x14ac:dyDescent="0.3">
      <c r="CV319" s="26"/>
      <c r="CW319" s="26"/>
    </row>
    <row r="320" spans="100:101" x14ac:dyDescent="0.3">
      <c r="CV320" s="26"/>
      <c r="CW320" s="26"/>
    </row>
    <row r="321" spans="100:101" x14ac:dyDescent="0.3">
      <c r="CV321" s="26"/>
      <c r="CW321" s="26"/>
    </row>
    <row r="322" spans="100:101" x14ac:dyDescent="0.3">
      <c r="CV322" s="26"/>
      <c r="CW322" s="26"/>
    </row>
    <row r="323" spans="100:101" x14ac:dyDescent="0.3">
      <c r="CV323" s="26"/>
      <c r="CW323" s="26"/>
    </row>
    <row r="324" spans="100:101" x14ac:dyDescent="0.3">
      <c r="CV324" s="26"/>
      <c r="CW324" s="26"/>
    </row>
    <row r="325" spans="100:101" x14ac:dyDescent="0.3">
      <c r="CV325" s="26"/>
      <c r="CW325" s="26"/>
    </row>
    <row r="326" spans="100:101" x14ac:dyDescent="0.3">
      <c r="CV326" s="26"/>
      <c r="CW326" s="26"/>
    </row>
    <row r="327" spans="100:101" x14ac:dyDescent="0.3">
      <c r="CV327" s="26"/>
      <c r="CW327" s="26"/>
    </row>
    <row r="328" spans="100:101" x14ac:dyDescent="0.3">
      <c r="CV328" s="26"/>
      <c r="CW328" s="26"/>
    </row>
    <row r="329" spans="100:101" x14ac:dyDescent="0.3">
      <c r="CV329" s="26"/>
      <c r="CW329" s="26"/>
    </row>
    <row r="330" spans="100:101" x14ac:dyDescent="0.3">
      <c r="CV330" s="26"/>
      <c r="CW330" s="26"/>
    </row>
    <row r="331" spans="100:101" x14ac:dyDescent="0.3">
      <c r="CV331" s="26"/>
      <c r="CW331" s="26"/>
    </row>
    <row r="332" spans="100:101" x14ac:dyDescent="0.3">
      <c r="CV332" s="26"/>
      <c r="CW332" s="26"/>
    </row>
    <row r="333" spans="100:101" x14ac:dyDescent="0.3">
      <c r="CV333" s="26"/>
      <c r="CW333" s="26"/>
    </row>
    <row r="334" spans="100:101" x14ac:dyDescent="0.3">
      <c r="CV334" s="26"/>
      <c r="CW334" s="26"/>
    </row>
    <row r="335" spans="100:101" x14ac:dyDescent="0.3">
      <c r="CV335" s="26"/>
      <c r="CW335" s="26"/>
    </row>
    <row r="336" spans="100:101" x14ac:dyDescent="0.3">
      <c r="CV336" s="26"/>
      <c r="CW336" s="26"/>
    </row>
    <row r="337" spans="100:101" x14ac:dyDescent="0.3">
      <c r="CV337" s="26"/>
      <c r="CW337" s="26"/>
    </row>
    <row r="338" spans="100:101" x14ac:dyDescent="0.3">
      <c r="CV338" s="26"/>
      <c r="CW338" s="26"/>
    </row>
    <row r="339" spans="100:101" x14ac:dyDescent="0.3">
      <c r="CV339" s="26"/>
      <c r="CW339" s="26"/>
    </row>
    <row r="340" spans="100:101" x14ac:dyDescent="0.3">
      <c r="CV340" s="26"/>
      <c r="CW340" s="26"/>
    </row>
    <row r="341" spans="100:101" x14ac:dyDescent="0.3">
      <c r="CV341" s="26"/>
      <c r="CW341" s="26"/>
    </row>
    <row r="342" spans="100:101" x14ac:dyDescent="0.3">
      <c r="CV342" s="26"/>
      <c r="CW342" s="26"/>
    </row>
    <row r="343" spans="100:101" x14ac:dyDescent="0.3">
      <c r="CV343" s="26"/>
      <c r="CW343" s="26"/>
    </row>
    <row r="344" spans="100:101" x14ac:dyDescent="0.3">
      <c r="CV344" s="26"/>
      <c r="CW344" s="26"/>
    </row>
    <row r="345" spans="100:101" x14ac:dyDescent="0.3">
      <c r="CV345" s="26"/>
      <c r="CW345" s="26"/>
    </row>
    <row r="346" spans="100:101" x14ac:dyDescent="0.3">
      <c r="CV346" s="26"/>
      <c r="CW346" s="26"/>
    </row>
  </sheetData>
  <customSheetViews>
    <customSheetView guid="{B7519FF1-05A6-4A79-8E47-A233872313D4}" scale="75" fitToPage="1">
      <selection activeCell="H27" sqref="H27"/>
      <rowBreaks count="2" manualBreakCount="2">
        <brk id="39" max="17" man="1"/>
        <brk id="133" max="65535" man="1"/>
      </rowBreaks>
      <colBreaks count="1" manualBreakCount="1">
        <brk id="19" max="1048575" man="1"/>
      </colBreaks>
      <pageMargins left="0.5" right="0.5" top="1" bottom="1" header="0.5" footer="0.5"/>
      <pageSetup scale="69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3" orientation="landscape" horizontalDpi="300" verticalDpi="300" r:id="rId2"/>
  <headerFooter alignWithMargins="0">
    <oddHeader>&amp;R&amp;"Times New Roman,Bold"&amp;10KyPSC Case No. 2021-00190
STAFF-DR-01-049 Attachment 2
Page &amp;P of &amp;N</oddHeader>
  </headerFooter>
  <rowBreaks count="1" manualBreakCount="1">
    <brk id="133" max="65535" man="1"/>
  </rowBreaks>
  <colBreaks count="1" manualBreakCount="1">
    <brk id="19" max="1048575" man="1"/>
  </colBreaks>
  <ignoredErrors>
    <ignoredError sqref="F29 H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transitionEntry="1" codeName="Sheet8"/>
  <dimension ref="A1:BV1047"/>
  <sheetViews>
    <sheetView tabSelected="1" view="pageBreakPreview" zoomScale="60" zoomScaleNormal="75" workbookViewId="0">
      <selection activeCell="P13" sqref="P13"/>
    </sheetView>
  </sheetViews>
  <sheetFormatPr defaultColWidth="9.75" defaultRowHeight="15.6" x14ac:dyDescent="0.3"/>
  <cols>
    <col min="1" max="1" width="5" style="21" customWidth="1"/>
    <col min="2" max="2" width="0.6640625" style="21" customWidth="1"/>
    <col min="3" max="3" width="6.75" style="21" customWidth="1"/>
    <col min="4" max="4" width="36.9140625" style="21" customWidth="1"/>
    <col min="5" max="5" width="0.75" style="21" customWidth="1"/>
    <col min="6" max="6" width="11.08203125" style="21" customWidth="1"/>
    <col min="7" max="7" width="0.6640625" style="21" customWidth="1"/>
    <col min="8" max="8" width="13.6640625" style="21" customWidth="1"/>
    <col min="9" max="9" width="0.6640625" style="21" customWidth="1"/>
    <col min="10" max="10" width="12.6640625" style="21" customWidth="1"/>
    <col min="11" max="11" width="0.6640625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2.75" style="21" customWidth="1"/>
    <col min="17" max="17" width="0.58203125" style="21" customWidth="1"/>
    <col min="18" max="18" width="17.33203125" style="21" customWidth="1"/>
    <col min="19" max="19" width="6.6640625" style="21" customWidth="1"/>
    <col min="20" max="20" width="5.08203125" style="21" customWidth="1"/>
    <col min="21" max="21" width="1" style="21" customWidth="1"/>
    <col min="22" max="22" width="8.4140625" style="21" customWidth="1"/>
    <col min="23" max="23" width="36.4140625" style="21" customWidth="1"/>
    <col min="24" max="24" width="11" style="21" customWidth="1"/>
    <col min="25" max="25" width="0.9140625" style="21" customWidth="1"/>
    <col min="26" max="26" width="11.4140625" style="21" customWidth="1"/>
    <col min="27" max="27" width="0.6640625" style="21" customWidth="1"/>
    <col min="28" max="28" width="11.08203125" style="21" customWidth="1"/>
    <col min="29" max="29" width="0.4140625" style="21" customWidth="1"/>
    <col min="30" max="30" width="13.9140625" style="21" customWidth="1"/>
    <col min="31" max="31" width="0.33203125" style="21" customWidth="1"/>
    <col min="32" max="32" width="12.9140625" style="21" customWidth="1"/>
    <col min="33" max="33" width="0.75" style="21" customWidth="1"/>
    <col min="34" max="34" width="13.6640625" style="21" customWidth="1"/>
    <col min="35" max="35" width="0.6640625" style="21" customWidth="1"/>
    <col min="36" max="36" width="13.08203125" style="21" customWidth="1"/>
    <col min="37" max="37" width="0.75" style="21" customWidth="1"/>
    <col min="38" max="38" width="12.75" style="21" customWidth="1"/>
    <col min="39" max="39" width="0.6640625" style="21" customWidth="1"/>
    <col min="40" max="40" width="14.75" style="21" customWidth="1"/>
    <col min="41" max="41" width="0.6640625" style="21" customWidth="1"/>
    <col min="42" max="42" width="14.66406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41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AA1" s="22"/>
    </row>
    <row r="2" spans="1:41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AA2" s="22"/>
    </row>
    <row r="3" spans="1:41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Z3" s="23"/>
    </row>
    <row r="4" spans="1:41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AA4" s="22"/>
    </row>
    <row r="5" spans="1:41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AB5" s="23"/>
      <c r="AC5" s="23"/>
    </row>
    <row r="6" spans="1:41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L6" s="23"/>
      <c r="AM6" s="23"/>
    </row>
    <row r="7" spans="1:41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176</v>
      </c>
      <c r="AL7" s="23"/>
      <c r="AM7" s="23"/>
    </row>
    <row r="8" spans="1:41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L8" s="23"/>
      <c r="AM8" s="23"/>
    </row>
    <row r="9" spans="1:41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L9" s="23"/>
      <c r="AM9" s="23"/>
    </row>
    <row r="10" spans="1:41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AB10" s="23"/>
      <c r="AC10" s="23"/>
      <c r="AL10" s="22"/>
      <c r="AM10" s="22"/>
    </row>
    <row r="11" spans="1:4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AB12" s="30"/>
      <c r="AC12" s="30"/>
      <c r="AD12" s="30"/>
      <c r="AE12" s="30"/>
      <c r="AF12" s="30"/>
      <c r="AG12" s="30"/>
      <c r="AH12" s="30"/>
      <c r="AI12" s="30"/>
      <c r="AL12" s="30"/>
      <c r="AM12" s="30"/>
      <c r="AN12" s="30"/>
      <c r="AO12" s="30"/>
    </row>
    <row r="13" spans="1:4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AA13" s="30"/>
      <c r="AB13" s="30"/>
      <c r="AC13" s="30"/>
      <c r="AD13" s="30"/>
      <c r="AE13" s="30"/>
      <c r="AF13" s="30"/>
      <c r="AG13" s="30"/>
      <c r="AH13" s="30"/>
      <c r="AI13" s="30"/>
      <c r="AL13" s="30"/>
      <c r="AM13" s="30"/>
      <c r="AN13" s="30"/>
      <c r="AO13" s="30"/>
    </row>
    <row r="14" spans="1:41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176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  <c r="T15" s="30"/>
      <c r="U15" s="30"/>
      <c r="V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2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2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2" x14ac:dyDescent="0.3">
      <c r="A19" s="24">
        <v>1</v>
      </c>
      <c r="B19" s="25"/>
      <c r="C19" s="177" t="s">
        <v>119</v>
      </c>
      <c r="D19" s="177" t="s">
        <v>126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2" x14ac:dyDescent="0.3">
      <c r="A20" s="24"/>
      <c r="B20" s="25"/>
      <c r="C20" s="26"/>
      <c r="D20" s="26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</row>
    <row r="21" spans="1:42" x14ac:dyDescent="0.3">
      <c r="A21" s="25">
        <v>2</v>
      </c>
      <c r="B21" s="25"/>
      <c r="C21" s="177" t="s">
        <v>85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42" x14ac:dyDescent="0.3">
      <c r="A22" s="25">
        <v>3</v>
      </c>
      <c r="B22" s="25"/>
      <c r="C22" s="27" t="s">
        <v>125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2"/>
      <c r="T22" s="23"/>
      <c r="V22" s="32"/>
      <c r="Z22" s="32"/>
      <c r="AA22" s="119"/>
      <c r="AB22" s="32"/>
      <c r="AC22" s="32"/>
      <c r="AD22" s="33"/>
      <c r="AE22" s="33"/>
      <c r="AF22" s="32"/>
      <c r="AG22" s="32"/>
      <c r="AH22" s="33"/>
      <c r="AI22" s="33"/>
      <c r="AJ22" s="32"/>
      <c r="AK22" s="32"/>
      <c r="AL22" s="32"/>
      <c r="AM22" s="32"/>
      <c r="AN22" s="33"/>
      <c r="AO22" s="33"/>
    </row>
    <row r="23" spans="1:42" x14ac:dyDescent="0.3">
      <c r="A23" s="25">
        <v>4</v>
      </c>
      <c r="B23" s="25"/>
      <c r="C23" s="26" t="s">
        <v>197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2"/>
      <c r="V23" s="34"/>
      <c r="Z23" s="32"/>
      <c r="AA23" s="195"/>
      <c r="AB23" s="32"/>
      <c r="AC23" s="32"/>
      <c r="AD23" s="33"/>
      <c r="AE23" s="33"/>
      <c r="AF23" s="32"/>
      <c r="AG23" s="32"/>
      <c r="AJ23" s="32"/>
      <c r="AK23" s="32"/>
      <c r="AL23" s="32"/>
      <c r="AM23" s="32"/>
    </row>
    <row r="24" spans="1:42" x14ac:dyDescent="0.3">
      <c r="A24" s="24">
        <v>5</v>
      </c>
      <c r="B24" s="25"/>
      <c r="C24" s="25" t="s">
        <v>221</v>
      </c>
      <c r="D24" s="25"/>
      <c r="E24" s="25"/>
      <c r="F24" s="195">
        <v>2547</v>
      </c>
      <c r="H24" s="195"/>
      <c r="I24" s="195"/>
      <c r="J24" s="119">
        <f>PRO_GS_CUST</f>
        <v>58</v>
      </c>
      <c r="K24" s="119"/>
      <c r="L24" s="32">
        <f>ROUND(F24*J24,0)</f>
        <v>147726</v>
      </c>
      <c r="M24" s="32"/>
      <c r="N24" s="33">
        <f>ROUND((L24/$L$37)*100,1)</f>
        <v>11.4</v>
      </c>
      <c r="O24" s="33"/>
      <c r="P24" s="32"/>
      <c r="Q24" s="32"/>
      <c r="R24" s="32">
        <f>L24+P24</f>
        <v>147726</v>
      </c>
      <c r="S24" s="32"/>
      <c r="V24" s="32"/>
      <c r="Z24" s="32"/>
      <c r="AA24" s="195"/>
      <c r="AB24" s="32"/>
      <c r="AC24" s="32"/>
      <c r="AD24" s="33"/>
      <c r="AE24" s="33"/>
      <c r="AF24" s="32"/>
      <c r="AG24" s="32"/>
      <c r="AJ24" s="32"/>
      <c r="AK24" s="32"/>
      <c r="AL24" s="32"/>
      <c r="AM24" s="32"/>
    </row>
    <row r="25" spans="1:42" x14ac:dyDescent="0.3">
      <c r="A25" s="24"/>
      <c r="B25" s="25"/>
      <c r="C25" s="25"/>
      <c r="D25" s="25"/>
      <c r="E25" s="25"/>
      <c r="F25" s="195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  <c r="S25" s="32"/>
      <c r="V25" s="32"/>
      <c r="Z25" s="32"/>
      <c r="AA25" s="195"/>
      <c r="AB25" s="32"/>
      <c r="AC25" s="32"/>
      <c r="AD25" s="33"/>
      <c r="AE25" s="33"/>
      <c r="AF25" s="32"/>
      <c r="AG25" s="32"/>
      <c r="AJ25" s="32"/>
      <c r="AK25" s="32"/>
      <c r="AL25" s="32"/>
      <c r="AM25" s="32"/>
    </row>
    <row r="26" spans="1:42" x14ac:dyDescent="0.3">
      <c r="A26" s="24">
        <v>6</v>
      </c>
      <c r="B26" s="25"/>
      <c r="C26" s="191" t="s">
        <v>124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V26" s="34"/>
      <c r="Z26" s="195"/>
      <c r="AA26" s="198"/>
      <c r="AB26" s="32"/>
      <c r="AC26" s="32"/>
      <c r="AD26" s="33"/>
      <c r="AE26" s="33"/>
      <c r="AF26" s="32"/>
      <c r="AG26" s="32"/>
      <c r="AH26" s="33"/>
      <c r="AI26" s="33"/>
      <c r="AJ26" s="32"/>
      <c r="AK26" s="32"/>
      <c r="AL26" s="32"/>
      <c r="AM26" s="32"/>
      <c r="AN26" s="33"/>
      <c r="AO26" s="33"/>
    </row>
    <row r="27" spans="1:42" x14ac:dyDescent="0.3">
      <c r="A27" s="21">
        <v>7</v>
      </c>
      <c r="C27" s="21" t="s">
        <v>130</v>
      </c>
      <c r="D27" s="42"/>
      <c r="E27" s="25"/>
      <c r="F27" s="54"/>
      <c r="G27" s="53"/>
      <c r="H27" s="54">
        <v>290082</v>
      </c>
      <c r="I27" s="72"/>
      <c r="J27" s="43">
        <f>PRO_GS</f>
        <v>3.9410999999999996</v>
      </c>
      <c r="K27" s="174"/>
      <c r="L27" s="36">
        <f>ROUND((H27*J27),0)</f>
        <v>1143242</v>
      </c>
      <c r="M27" s="37"/>
      <c r="N27" s="38">
        <f>ROUND((L27/$L$37)*100,1)</f>
        <v>88.6</v>
      </c>
      <c r="O27" s="39"/>
      <c r="P27" s="36">
        <f>ROUND(EGC*$H27,0)</f>
        <v>1178313</v>
      </c>
      <c r="Q27" s="37"/>
      <c r="R27" s="36">
        <f>L27+P27</f>
        <v>2321555</v>
      </c>
      <c r="S27" s="32"/>
      <c r="T27" s="23"/>
      <c r="V27" s="195"/>
      <c r="Z27" s="32"/>
      <c r="AA27" s="200"/>
      <c r="AB27" s="32"/>
      <c r="AC27" s="32"/>
      <c r="AD27" s="33"/>
      <c r="AE27" s="33"/>
      <c r="AF27" s="32"/>
      <c r="AG27" s="32"/>
      <c r="AH27" s="33"/>
      <c r="AI27" s="33"/>
      <c r="AJ27" s="32"/>
      <c r="AK27" s="32"/>
      <c r="AL27" s="32"/>
      <c r="AM27" s="32"/>
      <c r="AN27" s="33"/>
      <c r="AO27" s="33"/>
    </row>
    <row r="28" spans="1:42" x14ac:dyDescent="0.3">
      <c r="A28" s="24"/>
      <c r="B28" s="25"/>
      <c r="C28" s="26"/>
      <c r="D28" s="25"/>
      <c r="E28" s="25"/>
      <c r="F28" s="195"/>
      <c r="G28" s="25"/>
      <c r="H28" s="195"/>
      <c r="I28" s="72"/>
      <c r="J28" s="43"/>
      <c r="K28" s="174"/>
      <c r="L28" s="32"/>
      <c r="M28" s="37"/>
      <c r="N28" s="33"/>
      <c r="O28" s="39"/>
      <c r="P28" s="32"/>
      <c r="Q28" s="37"/>
      <c r="R28" s="3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x14ac:dyDescent="0.3">
      <c r="A29" s="24">
        <v>8</v>
      </c>
      <c r="B29" s="25"/>
      <c r="C29" s="196" t="s">
        <v>216</v>
      </c>
      <c r="D29" s="25"/>
      <c r="E29" s="25"/>
      <c r="F29" s="45">
        <f>F24</f>
        <v>2547</v>
      </c>
      <c r="G29" s="25"/>
      <c r="H29" s="45">
        <f>H27</f>
        <v>290082</v>
      </c>
      <c r="I29" s="72"/>
      <c r="J29" s="43"/>
      <c r="K29" s="174"/>
      <c r="L29" s="36">
        <f>SUM(L24:L27)</f>
        <v>1290968</v>
      </c>
      <c r="M29" s="37"/>
      <c r="N29" s="38">
        <f>ROUND((L29/$L$37)*100,1)</f>
        <v>100</v>
      </c>
      <c r="O29" s="39"/>
      <c r="P29" s="36">
        <f>SUM(P24:P27)</f>
        <v>1178313</v>
      </c>
      <c r="Q29" s="37"/>
      <c r="R29" s="36">
        <f>SUM(R24:R27)</f>
        <v>2469281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x14ac:dyDescent="0.3">
      <c r="A30" s="25"/>
      <c r="B30" s="25"/>
      <c r="C30" s="25"/>
      <c r="D30" s="25"/>
      <c r="E30" s="25"/>
      <c r="F30" s="195"/>
      <c r="G30" s="25"/>
      <c r="H30" s="195"/>
      <c r="I30" s="72"/>
      <c r="J30" s="43"/>
      <c r="K30" s="174"/>
      <c r="L30" s="32"/>
      <c r="M30" s="37"/>
      <c r="N30" s="33"/>
      <c r="O30" s="39"/>
      <c r="P30" s="32"/>
      <c r="Q30" s="37"/>
      <c r="R30" s="32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x14ac:dyDescent="0.3">
      <c r="A31" s="25">
        <v>9</v>
      </c>
      <c r="B31" s="25"/>
      <c r="C31" s="177" t="s">
        <v>206</v>
      </c>
      <c r="D31" s="25"/>
      <c r="E31" s="25"/>
      <c r="F31" s="195"/>
      <c r="G31" s="25"/>
      <c r="H31" s="195"/>
      <c r="I31" s="72"/>
      <c r="J31" s="43"/>
      <c r="K31" s="174"/>
      <c r="L31" s="32"/>
      <c r="M31" s="37"/>
      <c r="N31" s="33"/>
      <c r="O31" s="39"/>
      <c r="P31" s="32"/>
      <c r="Q31" s="37"/>
      <c r="R31" s="3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x14ac:dyDescent="0.3">
      <c r="A32" s="22">
        <v>10</v>
      </c>
      <c r="C32" s="171" t="s">
        <v>222</v>
      </c>
      <c r="F32" s="195"/>
      <c r="H32" s="195"/>
      <c r="I32" s="195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x14ac:dyDescent="0.3">
      <c r="A33" s="25">
        <v>11</v>
      </c>
      <c r="B33" s="25"/>
      <c r="C33" s="171" t="s">
        <v>295</v>
      </c>
      <c r="F33" s="195"/>
      <c r="H33" s="195"/>
      <c r="I33" s="195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x14ac:dyDescent="0.3">
      <c r="A34" s="25"/>
      <c r="B34" s="25"/>
      <c r="C34" s="25"/>
      <c r="D34" s="25"/>
      <c r="E34" s="25"/>
      <c r="F34" s="195"/>
      <c r="G34" s="25"/>
      <c r="H34" s="195"/>
      <c r="I34" s="72"/>
      <c r="J34" s="43"/>
      <c r="K34" s="174"/>
      <c r="L34" s="32"/>
      <c r="M34" s="37"/>
      <c r="N34" s="33"/>
      <c r="O34" s="39"/>
      <c r="P34" s="32"/>
      <c r="Q34" s="37"/>
      <c r="R34" s="3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3">
      <c r="A35" s="25">
        <v>12</v>
      </c>
      <c r="B35" s="25"/>
      <c r="C35" s="196" t="s">
        <v>209</v>
      </c>
      <c r="D35" s="25"/>
      <c r="E35" s="25"/>
      <c r="F35" s="195"/>
      <c r="G35" s="25"/>
      <c r="H35" s="19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x14ac:dyDescent="0.3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6.2" thickBot="1" x14ac:dyDescent="0.35">
      <c r="A37" s="24">
        <v>13</v>
      </c>
      <c r="B37" s="25"/>
      <c r="C37" s="191" t="s">
        <v>217</v>
      </c>
      <c r="D37" s="25"/>
      <c r="E37" s="25"/>
      <c r="F37" s="40">
        <f>F24</f>
        <v>2547</v>
      </c>
      <c r="G37" s="25"/>
      <c r="H37" s="40">
        <f>H27</f>
        <v>290082</v>
      </c>
      <c r="I37" s="37"/>
      <c r="J37" s="46"/>
      <c r="K37" s="46"/>
      <c r="L37" s="40">
        <f>L29+L35</f>
        <v>1290968</v>
      </c>
      <c r="M37" s="37"/>
      <c r="N37" s="41">
        <f>N29+N35</f>
        <v>100</v>
      </c>
      <c r="O37" s="39"/>
      <c r="P37" s="40">
        <f>P29+P35</f>
        <v>1178313</v>
      </c>
      <c r="Q37" s="72"/>
      <c r="R37" s="40">
        <f>R29+R35</f>
        <v>2469281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6.2" thickTop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7"/>
      <c r="M38" s="37"/>
      <c r="N38" s="37"/>
      <c r="O38" s="37"/>
      <c r="P38" s="37"/>
      <c r="Q38" s="37"/>
      <c r="R38" s="3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x14ac:dyDescent="0.3">
      <c r="A39" s="25"/>
      <c r="B39" s="25"/>
      <c r="C39" s="26" t="s">
        <v>51</v>
      </c>
      <c r="D39" s="25"/>
      <c r="E39" s="25"/>
      <c r="F39" s="25"/>
      <c r="G39" s="25"/>
      <c r="H39" s="25"/>
      <c r="I39" s="25"/>
      <c r="J39" s="25"/>
      <c r="K39" s="25"/>
      <c r="L39" s="37"/>
      <c r="M39" s="37"/>
      <c r="N39" s="37"/>
      <c r="O39" s="37"/>
      <c r="P39" s="37"/>
      <c r="Q39" s="37"/>
      <c r="R39" s="3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x14ac:dyDescent="0.3">
      <c r="A40" s="25"/>
      <c r="B40" s="25"/>
      <c r="C40" s="42" t="s">
        <v>118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x14ac:dyDescent="0.3">
      <c r="A41" s="25"/>
      <c r="B41" s="25"/>
      <c r="C41" s="26" t="str">
        <f>"(3) REFLECTS AVERAGE EXPECTED GAS COST OF "&amp;TEXT(EGC,"$0.000")&amp;"/MCF."</f>
        <v>(3) REFLECTS AVERAGE EXPECTED GAS COST OF $4.062/MCF.</v>
      </c>
      <c r="D41" s="25"/>
      <c r="E41" s="25"/>
      <c r="F41" s="25"/>
      <c r="G41" s="25"/>
      <c r="H41" s="47"/>
      <c r="I41" s="42"/>
      <c r="J41" s="25"/>
      <c r="K41" s="25"/>
      <c r="L41" s="37"/>
      <c r="M41" s="25"/>
      <c r="N41" s="37"/>
      <c r="O41" s="25"/>
      <c r="P41" s="37"/>
      <c r="Q41" s="32"/>
      <c r="R41" s="37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x14ac:dyDescent="0.3">
      <c r="C42" s="27"/>
      <c r="F42" s="34"/>
      <c r="H42" s="34"/>
      <c r="I42" s="25"/>
      <c r="J42" s="34"/>
      <c r="K42" s="25"/>
      <c r="L42" s="198"/>
      <c r="M42" s="25"/>
      <c r="N42" s="198"/>
      <c r="O42" s="25"/>
      <c r="P42" s="34"/>
      <c r="Q42" s="34"/>
      <c r="R42" s="3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x14ac:dyDescent="0.3">
      <c r="A43" s="22"/>
      <c r="C43" s="23"/>
      <c r="F43" s="32"/>
      <c r="H43" s="32"/>
      <c r="I43" s="25"/>
      <c r="J43" s="32"/>
      <c r="K43" s="25"/>
      <c r="L43" s="48"/>
      <c r="M43" s="25"/>
      <c r="N43" s="48"/>
      <c r="O43" s="25"/>
      <c r="P43" s="32"/>
      <c r="Q43" s="32"/>
      <c r="R43" s="32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x14ac:dyDescent="0.3">
      <c r="A44" s="22"/>
      <c r="C44" s="23"/>
      <c r="F44" s="32"/>
      <c r="H44" s="32"/>
      <c r="I44" s="25"/>
      <c r="J44" s="32"/>
      <c r="K44" s="25"/>
      <c r="L44" s="48"/>
      <c r="M44" s="25"/>
      <c r="N44" s="48"/>
      <c r="O44" s="25"/>
      <c r="P44" s="32"/>
      <c r="Q44" s="32"/>
      <c r="R44" s="32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x14ac:dyDescent="0.3">
      <c r="F45" s="32"/>
      <c r="H45" s="32"/>
      <c r="I45" s="25"/>
      <c r="J45" s="32"/>
      <c r="K45" s="25"/>
      <c r="L45" s="48"/>
      <c r="M45" s="25"/>
      <c r="N45" s="48"/>
      <c r="O45" s="25"/>
      <c r="P45" s="32"/>
      <c r="Q45" s="32"/>
      <c r="R45" s="32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x14ac:dyDescent="0.3">
      <c r="A46" s="23"/>
      <c r="F46" s="32"/>
      <c r="H46" s="32"/>
      <c r="I46" s="25"/>
      <c r="J46" s="32"/>
      <c r="K46" s="25"/>
      <c r="L46" s="48"/>
      <c r="M46" s="25"/>
      <c r="N46" s="48"/>
      <c r="O46" s="25"/>
      <c r="P46" s="32"/>
      <c r="Q46" s="32"/>
      <c r="R46" s="32"/>
      <c r="T46" s="19" t="str">
        <f>COMPANY</f>
        <v>DUKE ENERGY KENTUCKY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49"/>
      <c r="AH46" s="19"/>
      <c r="AI46" s="49"/>
      <c r="AJ46" s="19"/>
      <c r="AK46" s="19"/>
      <c r="AL46" s="19"/>
      <c r="AM46" s="19"/>
      <c r="AN46" s="19"/>
      <c r="AO46" s="49"/>
      <c r="AP46" s="19"/>
    </row>
    <row r="47" spans="1:42" x14ac:dyDescent="0.3">
      <c r="A47" s="23"/>
      <c r="F47" s="32"/>
      <c r="H47" s="32"/>
      <c r="I47" s="25"/>
      <c r="J47" s="32"/>
      <c r="K47" s="25"/>
      <c r="L47" s="48"/>
      <c r="M47" s="25"/>
      <c r="N47" s="48"/>
      <c r="O47" s="25"/>
      <c r="P47" s="32"/>
      <c r="Q47" s="32"/>
      <c r="R47" s="32"/>
      <c r="T47" s="19" t="str">
        <f>CASE</f>
        <v>CASE NO. 2021-00190</v>
      </c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19"/>
      <c r="AG47" s="49"/>
      <c r="AH47" s="19"/>
      <c r="AI47" s="49"/>
      <c r="AJ47" s="19"/>
      <c r="AK47" s="19"/>
      <c r="AL47" s="19"/>
      <c r="AM47" s="19"/>
      <c r="AN47" s="19"/>
      <c r="AO47" s="49"/>
      <c r="AP47" s="19"/>
    </row>
    <row r="48" spans="1:42" x14ac:dyDescent="0.3">
      <c r="I48" s="25"/>
      <c r="K48" s="25"/>
      <c r="M48" s="25"/>
      <c r="O48" s="25"/>
      <c r="T48" s="20" t="s">
        <v>82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49"/>
      <c r="AH48" s="19"/>
      <c r="AI48" s="49"/>
      <c r="AJ48" s="19"/>
      <c r="AK48" s="19"/>
      <c r="AL48" s="19"/>
      <c r="AM48" s="19"/>
      <c r="AN48" s="19"/>
      <c r="AO48" s="49"/>
      <c r="AP48" s="19"/>
    </row>
    <row r="49" spans="1:42" x14ac:dyDescent="0.3">
      <c r="I49" s="25"/>
      <c r="K49" s="25"/>
      <c r="M49" s="25"/>
      <c r="O49" s="25"/>
      <c r="T49" s="19" t="str">
        <f>TIME_PERIOD</f>
        <v>FOR THE TWELVE MONTHS ENDED DECEMBER 31, 2022</v>
      </c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19"/>
      <c r="AG49" s="49"/>
      <c r="AH49" s="19"/>
      <c r="AI49" s="49"/>
      <c r="AJ49" s="19"/>
      <c r="AK49" s="19"/>
      <c r="AL49" s="19"/>
      <c r="AM49" s="19"/>
      <c r="AN49" s="19"/>
      <c r="AO49" s="49"/>
      <c r="AP49" s="19"/>
    </row>
    <row r="50" spans="1:42" x14ac:dyDescent="0.3">
      <c r="I50" s="25"/>
      <c r="K50" s="25"/>
      <c r="M50" s="25"/>
      <c r="O50" s="25"/>
      <c r="P50" s="32"/>
      <c r="Q50" s="32"/>
      <c r="R50" s="32"/>
      <c r="T50" s="19" t="str">
        <f>SERV_TYPE</f>
        <v>(GAS SERVICE)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50"/>
      <c r="AH50" s="19"/>
      <c r="AI50" s="49"/>
      <c r="AJ50" s="19"/>
      <c r="AK50" s="19"/>
      <c r="AL50" s="19"/>
      <c r="AM50" s="19"/>
      <c r="AN50" s="19"/>
      <c r="AO50" s="49"/>
      <c r="AP50" s="19"/>
    </row>
    <row r="51" spans="1:42" x14ac:dyDescent="0.3">
      <c r="I51" s="25"/>
      <c r="K51" s="25"/>
      <c r="M51" s="25"/>
      <c r="O51" s="25"/>
      <c r="T51" s="24" t="str">
        <f>DATA_TYPE</f>
        <v>DATA: ___ BASE PERIOD   _X_FORECASTED PERIOD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25"/>
      <c r="AJ51" s="25"/>
      <c r="AK51" s="25"/>
      <c r="AL51" s="25"/>
      <c r="AM51" s="25"/>
      <c r="AN51" s="26" t="s">
        <v>88</v>
      </c>
    </row>
    <row r="52" spans="1:42" x14ac:dyDescent="0.3">
      <c r="I52" s="25"/>
      <c r="K52" s="25"/>
      <c r="L52" s="22"/>
      <c r="M52" s="25"/>
      <c r="N52" s="22"/>
      <c r="O52" s="25"/>
      <c r="T52" s="24" t="str">
        <f>FILING_TYPE</f>
        <v>TYPE OF FILING: _X_ ORIGINAL   ___UPDATED  ___ REVISED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H52" s="25"/>
      <c r="AJ52" s="25"/>
      <c r="AK52" s="25"/>
      <c r="AL52" s="25"/>
      <c r="AM52" s="25"/>
      <c r="AN52" s="27" t="str">
        <f>R7</f>
        <v>PAGE  4  OF  7</v>
      </c>
    </row>
    <row r="53" spans="1:42" x14ac:dyDescent="0.3">
      <c r="H53" s="23"/>
      <c r="I53" s="25"/>
      <c r="J53" s="23"/>
      <c r="K53" s="25"/>
      <c r="M53" s="25"/>
      <c r="O53" s="25"/>
      <c r="T53" s="26" t="s">
        <v>98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H53" s="25"/>
      <c r="AJ53" s="25"/>
      <c r="AK53" s="25"/>
      <c r="AL53" s="25"/>
      <c r="AM53" s="25"/>
      <c r="AN53" s="26" t="s">
        <v>1</v>
      </c>
    </row>
    <row r="54" spans="1:42" x14ac:dyDescent="0.3">
      <c r="I54" s="25"/>
      <c r="K54" s="25"/>
      <c r="L54" s="22"/>
      <c r="M54" s="25"/>
      <c r="N54" s="22"/>
      <c r="O54" s="25"/>
      <c r="T54" s="177" t="str">
        <f>TIME</f>
        <v>12 MONTHS FORECASTED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H54" s="25"/>
      <c r="AJ54" s="25"/>
      <c r="AK54" s="25"/>
      <c r="AL54" s="25"/>
      <c r="AM54" s="25"/>
      <c r="AN54" s="24" t="str">
        <f>WIT</f>
        <v>J.L. Kern</v>
      </c>
    </row>
    <row r="55" spans="1:42" x14ac:dyDescent="0.3">
      <c r="I55" s="25"/>
      <c r="K55" s="25"/>
      <c r="M55" s="25"/>
      <c r="O55" s="25"/>
      <c r="P55" s="23"/>
      <c r="T55" s="20" t="s">
        <v>84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49"/>
      <c r="AH55" s="19"/>
      <c r="AI55" s="49"/>
      <c r="AJ55" s="19"/>
      <c r="AK55" s="19"/>
      <c r="AL55" s="19"/>
      <c r="AM55" s="19"/>
      <c r="AN55" s="19"/>
      <c r="AO55" s="49"/>
      <c r="AP55" s="19"/>
    </row>
    <row r="56" spans="1:42" x14ac:dyDescent="0.3">
      <c r="A56" s="22"/>
      <c r="I56" s="25"/>
      <c r="K56" s="25"/>
      <c r="M56" s="25"/>
      <c r="R56" s="23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x14ac:dyDescent="0.3">
      <c r="A57" s="22"/>
      <c r="I57" s="25"/>
      <c r="K57" s="25"/>
      <c r="M57" s="25"/>
      <c r="R57" s="23"/>
      <c r="T57" s="25"/>
      <c r="U57" s="25"/>
      <c r="V57" s="25"/>
      <c r="W57" s="25"/>
      <c r="X57" s="25"/>
      <c r="Y57" s="25"/>
      <c r="Z57" s="25"/>
      <c r="AB57" s="25"/>
      <c r="AD57" s="176" t="s">
        <v>5</v>
      </c>
      <c r="AF57" s="176" t="s">
        <v>4</v>
      </c>
      <c r="AH57" s="176" t="s">
        <v>6</v>
      </c>
      <c r="AJ57" s="176" t="s">
        <v>7</v>
      </c>
      <c r="AL57" s="25"/>
      <c r="AN57" s="176" t="s">
        <v>5</v>
      </c>
      <c r="AP57" s="176" t="s">
        <v>8</v>
      </c>
    </row>
    <row r="58" spans="1:42" x14ac:dyDescent="0.3">
      <c r="A58" s="23"/>
      <c r="I58" s="25"/>
      <c r="K58" s="25"/>
      <c r="M58" s="25"/>
      <c r="R58" s="23"/>
      <c r="T58" s="25"/>
      <c r="U58" s="25"/>
      <c r="V58" s="25"/>
      <c r="W58" s="25"/>
      <c r="X58" s="25"/>
      <c r="Y58" s="25"/>
      <c r="Z58" s="25"/>
      <c r="AB58" s="176" t="s">
        <v>11</v>
      </c>
      <c r="AD58" s="176" t="s">
        <v>9</v>
      </c>
      <c r="AF58" s="176" t="s">
        <v>10</v>
      </c>
      <c r="AH58" s="176" t="s">
        <v>12</v>
      </c>
      <c r="AJ58" s="176" t="s">
        <v>13</v>
      </c>
      <c r="AL58" s="25"/>
      <c r="AN58" s="176" t="s">
        <v>8</v>
      </c>
      <c r="AP58" s="176" t="s">
        <v>6</v>
      </c>
    </row>
    <row r="59" spans="1:42" x14ac:dyDescent="0.3">
      <c r="I59" s="25"/>
      <c r="K59" s="25"/>
      <c r="M59" s="25"/>
      <c r="O59" s="23"/>
      <c r="R59" s="22"/>
      <c r="T59" s="176" t="s">
        <v>14</v>
      </c>
      <c r="U59" s="25"/>
      <c r="V59" s="176" t="s">
        <v>15</v>
      </c>
      <c r="W59" s="176" t="s">
        <v>16</v>
      </c>
      <c r="X59" s="176" t="s">
        <v>17</v>
      </c>
      <c r="Y59" s="176"/>
      <c r="Z59" s="25"/>
      <c r="AB59" s="176" t="s">
        <v>5</v>
      </c>
      <c r="AD59" s="176" t="s">
        <v>112</v>
      </c>
      <c r="AF59" s="176" t="s">
        <v>112</v>
      </c>
      <c r="AH59" s="176" t="s">
        <v>113</v>
      </c>
      <c r="AJ59" s="176" t="s">
        <v>113</v>
      </c>
      <c r="AL59" s="176" t="s">
        <v>112</v>
      </c>
      <c r="AN59" s="176" t="s">
        <v>6</v>
      </c>
      <c r="AP59" s="176" t="s">
        <v>18</v>
      </c>
    </row>
    <row r="60" spans="1:42" x14ac:dyDescent="0.3">
      <c r="A60" s="29"/>
      <c r="B60" s="29"/>
      <c r="C60" s="29"/>
      <c r="D60" s="29"/>
      <c r="E60" s="29"/>
      <c r="F60" s="29"/>
      <c r="G60" s="29"/>
      <c r="H60" s="29"/>
      <c r="I60" s="25"/>
      <c r="J60" s="29"/>
      <c r="K60" s="25"/>
      <c r="L60" s="29"/>
      <c r="M60" s="25"/>
      <c r="N60" s="29"/>
      <c r="O60" s="29"/>
      <c r="P60" s="29"/>
      <c r="Q60" s="29"/>
      <c r="R60" s="29"/>
      <c r="T60" s="176" t="s">
        <v>19</v>
      </c>
      <c r="U60" s="25"/>
      <c r="V60" s="176" t="s">
        <v>20</v>
      </c>
      <c r="W60" s="176" t="s">
        <v>21</v>
      </c>
      <c r="X60" s="176" t="s">
        <v>22</v>
      </c>
      <c r="Y60" s="176"/>
      <c r="Z60" s="31" t="s">
        <v>117</v>
      </c>
      <c r="AB60" s="176" t="s">
        <v>24</v>
      </c>
      <c r="AD60" s="176" t="s">
        <v>6</v>
      </c>
      <c r="AF60" s="176" t="s">
        <v>6</v>
      </c>
      <c r="AH60" s="188" t="s">
        <v>26</v>
      </c>
      <c r="AI60" s="202"/>
      <c r="AJ60" s="188" t="s">
        <v>27</v>
      </c>
      <c r="AL60" s="31" t="s">
        <v>116</v>
      </c>
      <c r="AN60" s="188" t="s">
        <v>28</v>
      </c>
      <c r="AO60" s="202"/>
      <c r="AP60" s="188" t="s">
        <v>29</v>
      </c>
    </row>
    <row r="61" spans="1:42" x14ac:dyDescent="0.3">
      <c r="I61" s="25"/>
      <c r="K61" s="25"/>
      <c r="M61" s="25"/>
      <c r="O61" s="30"/>
      <c r="P61" s="30"/>
      <c r="R61" s="30"/>
      <c r="T61" s="25"/>
      <c r="U61" s="25"/>
      <c r="V61" s="188" t="s">
        <v>30</v>
      </c>
      <c r="W61" s="188" t="s">
        <v>31</v>
      </c>
      <c r="X61" s="188" t="s">
        <v>32</v>
      </c>
      <c r="Y61" s="188"/>
      <c r="Z61" s="188" t="s">
        <v>33</v>
      </c>
      <c r="AA61" s="202"/>
      <c r="AB61" s="188" t="s">
        <v>39</v>
      </c>
      <c r="AC61" s="202"/>
      <c r="AD61" s="188" t="s">
        <v>40</v>
      </c>
      <c r="AE61" s="202"/>
      <c r="AF61" s="188" t="s">
        <v>41</v>
      </c>
      <c r="AG61" s="202"/>
      <c r="AH61" s="188" t="s">
        <v>42</v>
      </c>
      <c r="AI61" s="202"/>
      <c r="AJ61" s="188" t="s">
        <v>43</v>
      </c>
      <c r="AK61" s="202"/>
      <c r="AL61" s="188" t="s">
        <v>37</v>
      </c>
      <c r="AM61" s="202"/>
      <c r="AN61" s="188" t="s">
        <v>44</v>
      </c>
      <c r="AO61" s="202"/>
      <c r="AP61" s="188" t="s">
        <v>45</v>
      </c>
    </row>
    <row r="62" spans="1:42" x14ac:dyDescent="0.3">
      <c r="I62" s="25"/>
      <c r="K62" s="25"/>
      <c r="M62" s="25"/>
      <c r="O62" s="30"/>
      <c r="P62" s="30"/>
      <c r="R62" s="30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x14ac:dyDescent="0.3">
      <c r="A63" s="30"/>
      <c r="C63" s="30"/>
      <c r="D63" s="30"/>
      <c r="E63" s="30"/>
      <c r="F63" s="30"/>
      <c r="I63" s="25"/>
      <c r="K63" s="25"/>
      <c r="L63" s="30"/>
      <c r="M63" s="25"/>
      <c r="N63" s="30"/>
      <c r="O63" s="30"/>
      <c r="P63" s="30"/>
      <c r="Q63" s="30"/>
      <c r="R63" s="30"/>
      <c r="T63" s="25"/>
      <c r="U63" s="25"/>
      <c r="V63" s="25"/>
      <c r="W63" s="25"/>
      <c r="X63" s="25"/>
      <c r="Y63" s="25"/>
      <c r="Z63" s="189" t="s">
        <v>115</v>
      </c>
      <c r="AA63" s="202"/>
      <c r="AB63" s="189" t="s">
        <v>114</v>
      </c>
      <c r="AC63" s="202"/>
      <c r="AD63" s="188" t="s">
        <v>46</v>
      </c>
      <c r="AE63" s="202"/>
      <c r="AF63" s="188" t="s">
        <v>47</v>
      </c>
      <c r="AG63" s="202"/>
      <c r="AH63" s="188" t="s">
        <v>46</v>
      </c>
      <c r="AI63" s="202"/>
      <c r="AJ63" s="188" t="s">
        <v>47</v>
      </c>
      <c r="AK63" s="202"/>
      <c r="AL63" s="188" t="s">
        <v>46</v>
      </c>
      <c r="AM63" s="202"/>
      <c r="AN63" s="188" t="s">
        <v>46</v>
      </c>
      <c r="AO63" s="202"/>
      <c r="AP63" s="188" t="s">
        <v>47</v>
      </c>
    </row>
    <row r="64" spans="1:42" x14ac:dyDescent="0.3">
      <c r="A64" s="30"/>
      <c r="C64" s="30"/>
      <c r="D64" s="30"/>
      <c r="E64" s="30"/>
      <c r="F64" s="30"/>
      <c r="H64" s="30"/>
      <c r="I64" s="25"/>
      <c r="J64" s="30"/>
      <c r="K64" s="25"/>
      <c r="L64" s="30"/>
      <c r="M64" s="25"/>
      <c r="N64" s="30"/>
      <c r="O64" s="30"/>
      <c r="P64" s="30"/>
      <c r="Q64" s="30"/>
      <c r="R64" s="30"/>
      <c r="T64" s="24">
        <v>1</v>
      </c>
      <c r="U64" s="25"/>
      <c r="V64" s="177" t="s">
        <v>119</v>
      </c>
      <c r="W64" s="177" t="s">
        <v>126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x14ac:dyDescent="0.3">
      <c r="C65" s="30"/>
      <c r="D65" s="30"/>
      <c r="E65" s="30"/>
      <c r="F65" s="30"/>
      <c r="H65" s="30"/>
      <c r="I65" s="25"/>
      <c r="J65" s="30"/>
      <c r="K65" s="25"/>
      <c r="L65" s="30"/>
      <c r="M65" s="25"/>
      <c r="N65" s="30"/>
      <c r="O65" s="30"/>
      <c r="P65" s="30"/>
      <c r="Q65" s="30"/>
      <c r="R65" s="30"/>
      <c r="T65" s="24"/>
      <c r="U65" s="25"/>
      <c r="V65" s="26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51"/>
      <c r="AK65" s="25"/>
      <c r="AL65" s="25"/>
      <c r="AM65" s="25"/>
      <c r="AN65" s="25"/>
      <c r="AO65" s="25"/>
      <c r="AP65" s="25"/>
    </row>
    <row r="66" spans="1:42" x14ac:dyDescent="0.3">
      <c r="A66" s="29"/>
      <c r="B66" s="29"/>
      <c r="C66" s="29"/>
      <c r="D66" s="29"/>
      <c r="E66" s="29"/>
      <c r="F66" s="29"/>
      <c r="G66" s="29"/>
      <c r="H66" s="29"/>
      <c r="I66" s="25"/>
      <c r="J66" s="29"/>
      <c r="K66" s="25"/>
      <c r="L66" s="29"/>
      <c r="M66" s="25"/>
      <c r="N66" s="29"/>
      <c r="O66" s="29"/>
      <c r="P66" s="29"/>
      <c r="Q66" s="29"/>
      <c r="R66" s="29"/>
      <c r="T66" s="25">
        <v>2</v>
      </c>
      <c r="U66" s="25"/>
      <c r="V66" s="184" t="s">
        <v>85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51"/>
      <c r="AK66" s="25"/>
      <c r="AL66" s="25"/>
      <c r="AM66" s="25"/>
      <c r="AN66" s="25"/>
      <c r="AO66" s="25"/>
      <c r="AP66" s="104"/>
    </row>
    <row r="67" spans="1:42" x14ac:dyDescent="0.3">
      <c r="H67" s="30"/>
      <c r="I67" s="25"/>
      <c r="J67" s="30"/>
      <c r="K67" s="25"/>
      <c r="L67" s="30"/>
      <c r="M67" s="25"/>
      <c r="N67" s="30"/>
      <c r="O67" s="30"/>
      <c r="P67" s="30"/>
      <c r="Q67" s="30"/>
      <c r="R67" s="30"/>
      <c r="T67" s="25">
        <v>3</v>
      </c>
      <c r="U67" s="25"/>
      <c r="V67" s="25" t="s">
        <v>125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51"/>
      <c r="AK67" s="25"/>
      <c r="AL67" s="25"/>
      <c r="AM67" s="25"/>
      <c r="AN67" s="25"/>
      <c r="AO67" s="25"/>
      <c r="AP67" s="104"/>
    </row>
    <row r="68" spans="1:42" x14ac:dyDescent="0.3">
      <c r="A68" s="22"/>
      <c r="C68" s="23"/>
      <c r="D68" s="23"/>
      <c r="E68" s="23"/>
      <c r="I68" s="25"/>
      <c r="K68" s="25"/>
      <c r="M68" s="25"/>
      <c r="T68" s="25">
        <v>4</v>
      </c>
      <c r="U68" s="25"/>
      <c r="V68" s="25" t="s">
        <v>198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51"/>
      <c r="AK68" s="25"/>
      <c r="AL68" s="25"/>
      <c r="AM68" s="25"/>
      <c r="AN68" s="25"/>
      <c r="AO68" s="25"/>
      <c r="AP68" s="104"/>
    </row>
    <row r="69" spans="1:42" x14ac:dyDescent="0.3">
      <c r="A69" s="22"/>
      <c r="C69" s="23"/>
      <c r="I69" s="25"/>
      <c r="K69" s="25"/>
      <c r="M69" s="25"/>
      <c r="T69" s="24">
        <v>5</v>
      </c>
      <c r="U69" s="25"/>
      <c r="V69" s="25" t="s">
        <v>221</v>
      </c>
      <c r="W69" s="26"/>
      <c r="X69" s="32">
        <f>F24</f>
        <v>2547</v>
      </c>
      <c r="Y69" s="32"/>
      <c r="Z69" s="32"/>
      <c r="AA69" s="32"/>
      <c r="AB69" s="119">
        <f>CUR_GS_CUST</f>
        <v>50</v>
      </c>
      <c r="AC69" s="119"/>
      <c r="AD69" s="32">
        <f>ROUND(X69*AB69,0)</f>
        <v>127350</v>
      </c>
      <c r="AE69" s="32"/>
      <c r="AF69" s="33">
        <f>ROUND((AD69/$AD$82)*100,1)</f>
        <v>13.1</v>
      </c>
      <c r="AG69" s="33"/>
      <c r="AH69" s="32">
        <f>L24-AD69</f>
        <v>20376</v>
      </c>
      <c r="AI69" s="32"/>
      <c r="AJ69" s="108">
        <f>IF(AD69=0,"0.0 ",ROUND((AH69/AD69)*100,1))</f>
        <v>16</v>
      </c>
      <c r="AK69" s="33"/>
      <c r="AL69" s="32"/>
      <c r="AM69" s="32"/>
      <c r="AN69" s="32">
        <f>AD69+AL69</f>
        <v>127350</v>
      </c>
      <c r="AO69" s="32"/>
      <c r="AP69" s="99">
        <f>IF(AN69=0,"0.0 ",ROUND((AH69/AN69)*100,1))</f>
        <v>16</v>
      </c>
    </row>
    <row r="70" spans="1:42" x14ac:dyDescent="0.3">
      <c r="A70" s="22"/>
      <c r="C70" s="23"/>
      <c r="F70" s="195"/>
      <c r="H70" s="195"/>
      <c r="I70" s="25"/>
      <c r="J70" s="195"/>
      <c r="K70" s="25"/>
      <c r="L70" s="119"/>
      <c r="M70" s="25"/>
      <c r="N70" s="119"/>
      <c r="O70" s="32"/>
      <c r="P70" s="33"/>
      <c r="Q70" s="22"/>
      <c r="R70" s="32"/>
      <c r="T70" s="25"/>
      <c r="U70" s="25"/>
      <c r="V70" s="25"/>
      <c r="W70" s="25"/>
      <c r="X70" s="32"/>
      <c r="Y70" s="32"/>
      <c r="Z70" s="32"/>
      <c r="AA70" s="37"/>
      <c r="AB70" s="72"/>
      <c r="AC70" s="72"/>
      <c r="AD70" s="32"/>
      <c r="AE70" s="37"/>
      <c r="AF70" s="39"/>
      <c r="AG70" s="39"/>
      <c r="AH70" s="37"/>
      <c r="AI70" s="37"/>
      <c r="AJ70" s="56"/>
      <c r="AK70" s="25"/>
      <c r="AL70" s="37"/>
      <c r="AM70" s="37"/>
      <c r="AN70" s="37"/>
      <c r="AO70" s="37"/>
      <c r="AP70" s="104"/>
    </row>
    <row r="71" spans="1:42" x14ac:dyDescent="0.3">
      <c r="F71" s="34"/>
      <c r="H71" s="32"/>
      <c r="I71" s="25"/>
      <c r="J71" s="32"/>
      <c r="K71" s="25"/>
      <c r="L71" s="198"/>
      <c r="M71" s="25"/>
      <c r="N71" s="198"/>
      <c r="O71" s="34"/>
      <c r="P71" s="34"/>
      <c r="Q71" s="34"/>
      <c r="R71" s="34"/>
      <c r="T71" s="24">
        <v>6</v>
      </c>
      <c r="U71" s="25"/>
      <c r="V71" s="191" t="s">
        <v>124</v>
      </c>
      <c r="W71" s="25"/>
      <c r="X71" s="37"/>
      <c r="Y71" s="32"/>
      <c r="Z71" s="32"/>
      <c r="AA71" s="37"/>
      <c r="AB71" s="25"/>
      <c r="AC71" s="147"/>
      <c r="AD71" s="32"/>
      <c r="AE71" s="32"/>
      <c r="AF71" s="33"/>
      <c r="AG71" s="33"/>
      <c r="AH71" s="32"/>
      <c r="AI71" s="32"/>
      <c r="AJ71" s="44"/>
      <c r="AK71" s="33"/>
      <c r="AL71" s="32"/>
      <c r="AM71" s="32"/>
      <c r="AN71" s="32"/>
      <c r="AO71" s="32"/>
      <c r="AP71" s="105"/>
    </row>
    <row r="72" spans="1:42" x14ac:dyDescent="0.3">
      <c r="A72" s="22"/>
      <c r="C72" s="23"/>
      <c r="F72" s="32"/>
      <c r="H72" s="32"/>
      <c r="I72" s="25"/>
      <c r="J72" s="32"/>
      <c r="K72" s="25"/>
      <c r="L72" s="198"/>
      <c r="M72" s="25"/>
      <c r="N72" s="198"/>
      <c r="O72" s="32"/>
      <c r="P72" s="33"/>
      <c r="Q72" s="32"/>
      <c r="R72" s="32"/>
      <c r="T72" s="21">
        <v>7</v>
      </c>
      <c r="V72" s="21" t="s">
        <v>130</v>
      </c>
      <c r="W72" s="42"/>
      <c r="X72" s="36"/>
      <c r="Y72" s="32"/>
      <c r="Z72" s="54">
        <f>H27</f>
        <v>290082</v>
      </c>
      <c r="AA72" s="53"/>
      <c r="AB72" s="147">
        <f>CUR_GS</f>
        <v>2.9243000000000001</v>
      </c>
      <c r="AC72" s="147"/>
      <c r="AD72" s="36">
        <f>ROUND((Z72*AB72),0)</f>
        <v>848287</v>
      </c>
      <c r="AE72" s="37"/>
      <c r="AF72" s="38">
        <f>ROUND((AD72/$AD$82)*100,1)</f>
        <v>86.9</v>
      </c>
      <c r="AG72" s="39"/>
      <c r="AH72" s="36">
        <f>L27-AD72</f>
        <v>294955</v>
      </c>
      <c r="AI72" s="37"/>
      <c r="AJ72" s="107">
        <f>IF(AD72=0,"0.0 ",ROUND((AH72/AD72)*100,1))</f>
        <v>34.799999999999997</v>
      </c>
      <c r="AK72" s="39"/>
      <c r="AL72" s="36">
        <f>P27</f>
        <v>1178313</v>
      </c>
      <c r="AM72" s="37"/>
      <c r="AN72" s="36">
        <f>AD72+AL72</f>
        <v>2026600</v>
      </c>
      <c r="AO72" s="37"/>
      <c r="AP72" s="99">
        <f>IF(AN72=0,"0.0 ",ROUND((AH72/AN72)*100,1))</f>
        <v>14.6</v>
      </c>
    </row>
    <row r="73" spans="1:42" x14ac:dyDescent="0.3">
      <c r="F73" s="34"/>
      <c r="H73" s="34"/>
      <c r="I73" s="25"/>
      <c r="J73" s="34"/>
      <c r="K73" s="25"/>
      <c r="L73" s="198"/>
      <c r="M73" s="25"/>
      <c r="N73" s="198"/>
      <c r="O73" s="34"/>
      <c r="P73" s="34"/>
      <c r="Q73" s="34"/>
      <c r="R73" s="34"/>
      <c r="T73" s="24"/>
      <c r="U73" s="25"/>
      <c r="V73" s="26"/>
      <c r="W73" s="25"/>
      <c r="X73" s="25"/>
      <c r="Z73" s="25"/>
      <c r="AA73" s="195"/>
      <c r="AB73" s="201"/>
      <c r="AC73" s="147"/>
      <c r="AD73" s="32"/>
      <c r="AE73" s="37"/>
      <c r="AF73" s="33"/>
      <c r="AG73" s="39"/>
      <c r="AH73" s="32"/>
      <c r="AI73" s="37"/>
      <c r="AJ73" s="70"/>
      <c r="AK73" s="39"/>
      <c r="AL73" s="32"/>
      <c r="AM73" s="37"/>
      <c r="AN73" s="32"/>
      <c r="AO73" s="37"/>
      <c r="AP73" s="103"/>
    </row>
    <row r="74" spans="1:42" x14ac:dyDescent="0.3">
      <c r="F74" s="34"/>
      <c r="H74" s="34"/>
      <c r="I74" s="25"/>
      <c r="J74" s="34"/>
      <c r="K74" s="25"/>
      <c r="L74" s="198"/>
      <c r="M74" s="25"/>
      <c r="N74" s="198"/>
      <c r="O74" s="34"/>
      <c r="P74" s="34"/>
      <c r="Q74" s="34"/>
      <c r="R74" s="34"/>
      <c r="T74" s="24">
        <v>8</v>
      </c>
      <c r="U74" s="25"/>
      <c r="V74" s="196" t="s">
        <v>216</v>
      </c>
      <c r="W74" s="25"/>
      <c r="X74" s="54">
        <f>X69</f>
        <v>2547</v>
      </c>
      <c r="Z74" s="54">
        <f>Z72</f>
        <v>290082</v>
      </c>
      <c r="AA74" s="195"/>
      <c r="AB74" s="201"/>
      <c r="AC74" s="147"/>
      <c r="AD74" s="36">
        <f>SUM(AD69:AD72)</f>
        <v>975637</v>
      </c>
      <c r="AE74" s="37"/>
      <c r="AF74" s="38">
        <f>ROUND((AD74/$AD$82)*100,1)</f>
        <v>100</v>
      </c>
      <c r="AG74" s="39"/>
      <c r="AH74" s="36">
        <f>SUM(AH69:AH72)</f>
        <v>315331</v>
      </c>
      <c r="AI74" s="37"/>
      <c r="AJ74" s="107">
        <f>IF(AD74=0,"0.0 ",ROUND((AH74/AD74)*100,1))</f>
        <v>32.299999999999997</v>
      </c>
      <c r="AK74" s="39"/>
      <c r="AL74" s="36">
        <f>SUM(AL69:AL72)</f>
        <v>1178313</v>
      </c>
      <c r="AM74" s="37"/>
      <c r="AN74" s="36">
        <f>SUM(AN69:AN72)</f>
        <v>2153950</v>
      </c>
      <c r="AO74" s="37"/>
      <c r="AP74" s="99">
        <f>IF(AN74=0,"0.0 ",ROUND((AH74/AN74)*100,1))</f>
        <v>14.6</v>
      </c>
    </row>
    <row r="75" spans="1:42" x14ac:dyDescent="0.3">
      <c r="F75" s="34"/>
      <c r="H75" s="34"/>
      <c r="I75" s="25"/>
      <c r="J75" s="34"/>
      <c r="K75" s="25"/>
      <c r="L75" s="198"/>
      <c r="M75" s="25"/>
      <c r="N75" s="198"/>
      <c r="O75" s="34"/>
      <c r="P75" s="34"/>
      <c r="Q75" s="34"/>
      <c r="R75" s="34"/>
      <c r="T75" s="25"/>
      <c r="U75" s="25"/>
      <c r="V75" s="25"/>
      <c r="W75" s="25"/>
      <c r="X75" s="25"/>
      <c r="Z75" s="25"/>
      <c r="AA75" s="195"/>
      <c r="AB75" s="201"/>
      <c r="AC75" s="147"/>
      <c r="AD75" s="32"/>
      <c r="AE75" s="37"/>
      <c r="AF75" s="33"/>
      <c r="AG75" s="39"/>
      <c r="AH75" s="32"/>
      <c r="AI75" s="37"/>
      <c r="AJ75" s="70"/>
      <c r="AK75" s="39"/>
      <c r="AL75" s="32"/>
      <c r="AM75" s="37"/>
      <c r="AN75" s="32"/>
      <c r="AO75" s="37"/>
      <c r="AP75" s="103"/>
    </row>
    <row r="76" spans="1:42" x14ac:dyDescent="0.3">
      <c r="F76" s="34"/>
      <c r="H76" s="34"/>
      <c r="I76" s="25"/>
      <c r="J76" s="34"/>
      <c r="K76" s="25"/>
      <c r="L76" s="198"/>
      <c r="M76" s="25"/>
      <c r="N76" s="198"/>
      <c r="O76" s="34"/>
      <c r="P76" s="34"/>
      <c r="Q76" s="34"/>
      <c r="R76" s="34"/>
      <c r="T76" s="25">
        <v>9</v>
      </c>
      <c r="U76" s="25"/>
      <c r="V76" s="177" t="s">
        <v>206</v>
      </c>
      <c r="W76" s="25"/>
      <c r="X76" s="25"/>
      <c r="Z76" s="25"/>
      <c r="AA76" s="195"/>
      <c r="AB76" s="201"/>
      <c r="AC76" s="147"/>
      <c r="AD76" s="32"/>
      <c r="AE76" s="37"/>
      <c r="AF76" s="33"/>
      <c r="AG76" s="39"/>
      <c r="AH76" s="32"/>
      <c r="AI76" s="37"/>
      <c r="AJ76" s="70"/>
      <c r="AK76" s="39"/>
      <c r="AL76" s="32"/>
      <c r="AM76" s="37"/>
      <c r="AN76" s="32"/>
      <c r="AO76" s="37"/>
      <c r="AP76" s="103"/>
    </row>
    <row r="77" spans="1:42" x14ac:dyDescent="0.3">
      <c r="F77" s="34"/>
      <c r="H77" s="34"/>
      <c r="I77" s="25"/>
      <c r="J77" s="34"/>
      <c r="K77" s="25"/>
      <c r="L77" s="198"/>
      <c r="M77" s="25"/>
      <c r="N77" s="198"/>
      <c r="O77" s="34"/>
      <c r="P77" s="34"/>
      <c r="Q77" s="34"/>
      <c r="R77" s="34"/>
      <c r="T77" s="22">
        <v>10</v>
      </c>
      <c r="V77" s="171" t="str">
        <f>C37</f>
        <v>TOTAL RATE GS INDUSTRIAL INCLUDING RIDERS</v>
      </c>
      <c r="X77" s="55"/>
      <c r="Y77" s="55"/>
      <c r="Z77" s="55"/>
      <c r="AA77" s="55"/>
      <c r="AB77" s="173">
        <f>CUR_GS_DSM</f>
        <v>0</v>
      </c>
      <c r="AC77" s="200"/>
      <c r="AD77" s="32">
        <f>ROUND(Z72*AB77,0)</f>
        <v>0</v>
      </c>
      <c r="AE77" s="32"/>
      <c r="AF77" s="33">
        <f>ROUND((AD77/$AD$82)*100,1)</f>
        <v>0</v>
      </c>
      <c r="AG77" s="33"/>
      <c r="AH77" s="32">
        <f>L32-AD77</f>
        <v>0</v>
      </c>
      <c r="AI77" s="32"/>
      <c r="AJ77" s="109" t="str">
        <f>IF(AD77=0,"0.0 ",ROUND((AH77/AD77)*100,1))</f>
        <v xml:space="preserve">0.0 </v>
      </c>
      <c r="AK77" s="33"/>
      <c r="AL77" s="32"/>
      <c r="AM77" s="32"/>
      <c r="AN77" s="32">
        <f>AD77+AL77</f>
        <v>0</v>
      </c>
      <c r="AO77" s="32"/>
      <c r="AP77" s="109" t="str">
        <f>IF(AN77=0,"0.0 ",ROUND((AH77/AN77)*100,1))</f>
        <v xml:space="preserve">0.0 </v>
      </c>
    </row>
    <row r="78" spans="1:42" x14ac:dyDescent="0.3">
      <c r="F78" s="34"/>
      <c r="H78" s="34"/>
      <c r="I78" s="25"/>
      <c r="J78" s="34"/>
      <c r="K78" s="25"/>
      <c r="L78" s="198"/>
      <c r="M78" s="25"/>
      <c r="N78" s="198"/>
      <c r="O78" s="34"/>
      <c r="P78" s="34"/>
      <c r="Q78" s="34"/>
      <c r="R78" s="34"/>
      <c r="T78" s="22">
        <f>A33</f>
        <v>11</v>
      </c>
      <c r="V78" s="171" t="s">
        <v>295</v>
      </c>
      <c r="X78" s="55"/>
      <c r="Y78" s="55"/>
      <c r="Z78" s="55"/>
      <c r="AA78" s="55"/>
      <c r="AB78" s="173">
        <v>0</v>
      </c>
      <c r="AC78" s="200"/>
      <c r="AD78" s="32">
        <f>ROUND(Z74*AB78,0)</f>
        <v>0</v>
      </c>
      <c r="AE78" s="32"/>
      <c r="AF78" s="33">
        <f>ROUND((AD78/$AD$82)*100,1)</f>
        <v>0</v>
      </c>
      <c r="AG78" s="33"/>
      <c r="AH78" s="32">
        <f>L33-AD78</f>
        <v>0</v>
      </c>
      <c r="AI78" s="32"/>
      <c r="AJ78" s="109" t="str">
        <f>IF(AD78=0,"0.0 ",ROUND((AH78/AD78)*100,1))</f>
        <v xml:space="preserve">0.0 </v>
      </c>
      <c r="AK78" s="33"/>
      <c r="AL78" s="32"/>
      <c r="AM78" s="32"/>
      <c r="AN78" s="32">
        <f>AD78+AL78</f>
        <v>0</v>
      </c>
      <c r="AO78" s="32"/>
      <c r="AP78" s="109" t="str">
        <f>IF(AN78=0,"0.0 ",ROUND((AH78/AN78)*100,1))</f>
        <v xml:space="preserve">0.0 </v>
      </c>
    </row>
    <row r="79" spans="1:42" x14ac:dyDescent="0.3">
      <c r="F79" s="34"/>
      <c r="H79" s="34"/>
      <c r="I79" s="25"/>
      <c r="J79" s="34"/>
      <c r="K79" s="25"/>
      <c r="L79" s="198"/>
      <c r="M79" s="25"/>
      <c r="N79" s="198"/>
      <c r="O79" s="34"/>
      <c r="P79" s="34"/>
      <c r="Q79" s="34"/>
      <c r="R79" s="34"/>
      <c r="T79" s="25"/>
      <c r="U79" s="25"/>
      <c r="V79" s="25"/>
      <c r="W79" s="25"/>
      <c r="X79" s="25"/>
      <c r="Z79" s="25"/>
      <c r="AA79" s="195"/>
      <c r="AB79" s="201"/>
      <c r="AC79" s="147"/>
      <c r="AD79" s="32"/>
      <c r="AE79" s="37"/>
      <c r="AF79" s="33"/>
      <c r="AG79" s="39"/>
      <c r="AH79" s="32"/>
      <c r="AI79" s="37"/>
      <c r="AJ79" s="70"/>
      <c r="AK79" s="39"/>
      <c r="AL79" s="32"/>
      <c r="AM79" s="37"/>
      <c r="AN79" s="32"/>
      <c r="AO79" s="37"/>
      <c r="AP79" s="103"/>
    </row>
    <row r="80" spans="1:42" x14ac:dyDescent="0.3">
      <c r="F80" s="34"/>
      <c r="H80" s="34"/>
      <c r="I80" s="25"/>
      <c r="J80" s="34"/>
      <c r="K80" s="25"/>
      <c r="L80" s="198"/>
      <c r="M80" s="25"/>
      <c r="N80" s="198"/>
      <c r="O80" s="34"/>
      <c r="P80" s="34"/>
      <c r="Q80" s="34"/>
      <c r="R80" s="34"/>
      <c r="T80" s="22">
        <f>A35</f>
        <v>12</v>
      </c>
      <c r="U80" s="25"/>
      <c r="V80" s="196" t="s">
        <v>209</v>
      </c>
      <c r="W80" s="25"/>
      <c r="X80" s="25"/>
      <c r="Z80" s="25"/>
      <c r="AA80" s="195"/>
      <c r="AB80" s="201"/>
      <c r="AC80" s="147"/>
      <c r="AD80" s="36">
        <f>SUM(AD76:AD78)</f>
        <v>0</v>
      </c>
      <c r="AE80" s="37"/>
      <c r="AF80" s="38">
        <f>ROUND((AD80/$AD$82)*100,1)</f>
        <v>0</v>
      </c>
      <c r="AG80" s="39"/>
      <c r="AH80" s="36">
        <f>SUM(AH76:AH78)</f>
        <v>0</v>
      </c>
      <c r="AI80" s="37"/>
      <c r="AJ80" s="107" t="str">
        <f>IF(AD80=0,"0.0 ",ROUND((AH80/AD80)*100,1))</f>
        <v xml:space="preserve">0.0 </v>
      </c>
      <c r="AK80" s="39"/>
      <c r="AL80" s="36"/>
      <c r="AM80" s="37"/>
      <c r="AN80" s="36">
        <f>SUM(AN76:AN78)</f>
        <v>0</v>
      </c>
      <c r="AO80" s="37"/>
      <c r="AP80" s="99" t="str">
        <f>IF(AN80=0,"0.0 ",ROUND((AH80/AN80)*100,1))</f>
        <v xml:space="preserve">0.0 </v>
      </c>
    </row>
    <row r="81" spans="1:42" x14ac:dyDescent="0.3">
      <c r="F81" s="34"/>
      <c r="H81" s="34"/>
      <c r="I81" s="25"/>
      <c r="J81" s="34"/>
      <c r="K81" s="25"/>
      <c r="L81" s="198"/>
      <c r="M81" s="25"/>
      <c r="N81" s="198"/>
      <c r="O81" s="34"/>
      <c r="P81" s="34"/>
      <c r="Q81" s="34"/>
      <c r="R81" s="34"/>
      <c r="T81" s="24"/>
      <c r="U81" s="25"/>
      <c r="V81" s="25"/>
      <c r="W81" s="25"/>
      <c r="X81" s="25"/>
      <c r="Z81" s="25"/>
      <c r="AA81" s="195"/>
      <c r="AB81" s="201"/>
      <c r="AC81" s="147"/>
      <c r="AD81" s="32"/>
      <c r="AE81" s="37"/>
      <c r="AF81" s="33"/>
      <c r="AG81" s="39"/>
      <c r="AH81" s="32"/>
      <c r="AI81" s="37"/>
      <c r="AJ81" s="70"/>
      <c r="AK81" s="39"/>
      <c r="AL81" s="32"/>
      <c r="AM81" s="37"/>
      <c r="AN81" s="32"/>
      <c r="AO81" s="37"/>
      <c r="AP81" s="103"/>
    </row>
    <row r="82" spans="1:42" ht="16.2" thickBot="1" x14ac:dyDescent="0.35">
      <c r="A82" s="22"/>
      <c r="C82" s="23"/>
      <c r="F82" s="195"/>
      <c r="H82" s="195"/>
      <c r="I82" s="25"/>
      <c r="J82" s="195"/>
      <c r="K82" s="25"/>
      <c r="L82" s="119"/>
      <c r="M82" s="25"/>
      <c r="N82" s="119"/>
      <c r="O82" s="32"/>
      <c r="P82" s="33"/>
      <c r="Q82" s="22"/>
      <c r="R82" s="32"/>
      <c r="T82" s="22">
        <f>A37</f>
        <v>13</v>
      </c>
      <c r="U82" s="25"/>
      <c r="V82" s="191" t="s">
        <v>217</v>
      </c>
      <c r="W82" s="25"/>
      <c r="X82" s="40">
        <f>X69</f>
        <v>2547</v>
      </c>
      <c r="Y82" s="32"/>
      <c r="Z82" s="40">
        <f>Z72</f>
        <v>290082</v>
      </c>
      <c r="AA82" s="37"/>
      <c r="AB82" s="193"/>
      <c r="AC82" s="193"/>
      <c r="AD82" s="40">
        <f>AD74+AD80</f>
        <v>975637</v>
      </c>
      <c r="AE82" s="37"/>
      <c r="AF82" s="41">
        <f>AF74+AF80</f>
        <v>100</v>
      </c>
      <c r="AG82" s="39"/>
      <c r="AH82" s="40">
        <f>AH74+AH80</f>
        <v>315331</v>
      </c>
      <c r="AI82" s="37"/>
      <c r="AJ82" s="110">
        <f>IF(AD82=0,"0.0 ",ROUND((AH82/AD82)*100,1))</f>
        <v>32.299999999999997</v>
      </c>
      <c r="AK82" s="39"/>
      <c r="AL82" s="40">
        <f>P37</f>
        <v>1178313</v>
      </c>
      <c r="AM82" s="37"/>
      <c r="AN82" s="40">
        <f>AN74+AN80</f>
        <v>2153950</v>
      </c>
      <c r="AO82" s="37"/>
      <c r="AP82" s="99">
        <f>IF(AN82=0,"0.0 ",ROUND((AH82/AN82)*100,1))</f>
        <v>14.6</v>
      </c>
    </row>
    <row r="83" spans="1:42" ht="16.2" thickTop="1" x14ac:dyDescent="0.3">
      <c r="F83" s="34"/>
      <c r="H83" s="34"/>
      <c r="I83" s="25"/>
      <c r="J83" s="34"/>
      <c r="K83" s="198"/>
      <c r="L83" s="198"/>
      <c r="M83" s="25"/>
      <c r="N83" s="34"/>
      <c r="O83" s="34"/>
      <c r="P83" s="34"/>
      <c r="Q83" s="34"/>
      <c r="R83" s="34"/>
      <c r="S83" s="32"/>
      <c r="T83" s="25"/>
      <c r="U83" s="25"/>
      <c r="V83" s="25"/>
      <c r="W83" s="25"/>
      <c r="X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51"/>
      <c r="AK83" s="25"/>
      <c r="AL83" s="25"/>
      <c r="AM83" s="25"/>
      <c r="AN83" s="25"/>
      <c r="AO83" s="25"/>
      <c r="AP83" s="104"/>
    </row>
    <row r="84" spans="1:42" x14ac:dyDescent="0.3">
      <c r="F84" s="34"/>
      <c r="H84" s="34"/>
      <c r="I84" s="25"/>
      <c r="J84" s="34"/>
      <c r="K84" s="198"/>
      <c r="L84" s="198"/>
      <c r="M84" s="25"/>
      <c r="N84" s="34"/>
      <c r="O84" s="34"/>
      <c r="P84" s="34"/>
      <c r="Q84" s="34"/>
      <c r="R84" s="34"/>
      <c r="S84" s="32"/>
      <c r="T84" s="25"/>
      <c r="U84" s="25"/>
      <c r="V84" s="26" t="s">
        <v>51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51"/>
      <c r="AK84" s="25"/>
      <c r="AL84" s="25"/>
      <c r="AM84" s="25"/>
      <c r="AN84" s="25"/>
      <c r="AO84" s="25"/>
      <c r="AP84" s="104"/>
    </row>
    <row r="85" spans="1:42" x14ac:dyDescent="0.3">
      <c r="F85" s="34"/>
      <c r="H85" s="34"/>
      <c r="I85" s="25"/>
      <c r="J85" s="34"/>
      <c r="K85" s="198"/>
      <c r="L85" s="198"/>
      <c r="M85" s="25"/>
      <c r="N85" s="34"/>
      <c r="O85" s="34"/>
      <c r="P85" s="34"/>
      <c r="Q85" s="34"/>
      <c r="R85" s="34"/>
      <c r="S85" s="32"/>
      <c r="T85" s="25"/>
      <c r="U85" s="25"/>
      <c r="V85" s="42" t="s">
        <v>118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51"/>
      <c r="AK85" s="25"/>
      <c r="AL85" s="25"/>
      <c r="AM85" s="25"/>
      <c r="AN85" s="25"/>
      <c r="AO85" s="25"/>
      <c r="AP85" s="104"/>
    </row>
    <row r="86" spans="1:42" x14ac:dyDescent="0.3">
      <c r="A86" s="22"/>
      <c r="C86" s="23"/>
      <c r="I86" s="25"/>
      <c r="M86" s="25"/>
      <c r="T86" s="25"/>
      <c r="U86" s="25"/>
      <c r="V86" s="26" t="str">
        <f>"(3) REFLECTS AVERAGE EXPECTED GAS COST OF "&amp;TEXT(EGC,"$0.000")&amp;"/MCF."</f>
        <v>(3) REFLECTS AVERAGE EXPECTED GAS COST OF $4.062/MCF.</v>
      </c>
      <c r="W86" s="25"/>
      <c r="X86" s="25"/>
      <c r="Y86" s="25"/>
      <c r="Z86" s="47"/>
      <c r="AA86" s="42"/>
      <c r="AB86" s="25"/>
      <c r="AC86" s="25"/>
      <c r="AD86" s="25"/>
      <c r="AE86" s="25"/>
      <c r="AF86" s="37"/>
      <c r="AG86" s="37"/>
      <c r="AH86" s="25"/>
      <c r="AI86" s="25"/>
      <c r="AJ86" s="51"/>
      <c r="AK86" s="25"/>
      <c r="AL86" s="25"/>
      <c r="AM86" s="25"/>
      <c r="AN86" s="37"/>
      <c r="AO86" s="25"/>
      <c r="AP86" s="103"/>
    </row>
    <row r="87" spans="1:42" x14ac:dyDescent="0.3">
      <c r="A87" s="22"/>
      <c r="C87" s="23"/>
      <c r="F87" s="32"/>
      <c r="H87" s="32"/>
      <c r="I87" s="25"/>
      <c r="J87" s="32"/>
      <c r="M87" s="25"/>
      <c r="N87" s="32"/>
      <c r="O87" s="32"/>
      <c r="P87" s="33"/>
      <c r="Q87" s="195"/>
      <c r="R87" s="32"/>
      <c r="T87" s="23"/>
      <c r="V87" s="27"/>
      <c r="Z87" s="32"/>
      <c r="AA87" s="203"/>
      <c r="AB87" s="32"/>
      <c r="AC87" s="32"/>
      <c r="AD87" s="33"/>
      <c r="AE87" s="33"/>
      <c r="AF87" s="32"/>
      <c r="AG87" s="32"/>
      <c r="AH87" s="44"/>
      <c r="AI87" s="25"/>
      <c r="AJ87" s="52"/>
      <c r="AK87" s="44"/>
      <c r="AL87" s="32"/>
      <c r="AM87" s="32"/>
      <c r="AN87" s="25"/>
      <c r="AO87" s="25"/>
      <c r="AP87" s="105"/>
    </row>
    <row r="88" spans="1:42" x14ac:dyDescent="0.3">
      <c r="F88" s="34"/>
      <c r="H88" s="34"/>
      <c r="I88" s="25"/>
      <c r="J88" s="34"/>
      <c r="K88" s="198"/>
      <c r="L88" s="198"/>
      <c r="M88" s="25"/>
      <c r="N88" s="34"/>
      <c r="O88" s="34"/>
      <c r="P88" s="34"/>
      <c r="Q88" s="34"/>
      <c r="R88" s="34"/>
      <c r="V88" s="32"/>
      <c r="Z88" s="32"/>
      <c r="AA88" s="198"/>
      <c r="AB88" s="34"/>
      <c r="AC88" s="34"/>
      <c r="AD88" s="34"/>
      <c r="AE88" s="34"/>
      <c r="AF88" s="34"/>
      <c r="AG88" s="34"/>
      <c r="AI88" s="25"/>
      <c r="AJ88" s="57"/>
      <c r="AL88" s="34"/>
      <c r="AM88" s="34"/>
      <c r="AN88" s="25"/>
      <c r="AO88" s="25"/>
      <c r="AP88" s="105"/>
    </row>
    <row r="89" spans="1:42" x14ac:dyDescent="0.3">
      <c r="I89" s="25"/>
      <c r="M89" s="25"/>
      <c r="T89" s="23"/>
      <c r="V89" s="32"/>
      <c r="Z89" s="32"/>
      <c r="AA89" s="48"/>
      <c r="AB89" s="32"/>
      <c r="AC89" s="32"/>
      <c r="AD89" s="33"/>
      <c r="AE89" s="33"/>
      <c r="AF89" s="32"/>
      <c r="AG89" s="32"/>
      <c r="AH89" s="44"/>
      <c r="AI89" s="25"/>
      <c r="AJ89" s="44"/>
      <c r="AK89" s="44"/>
      <c r="AL89" s="32"/>
      <c r="AM89" s="32"/>
      <c r="AN89" s="25"/>
      <c r="AO89" s="25"/>
      <c r="AP89" s="105"/>
    </row>
    <row r="90" spans="1:42" x14ac:dyDescent="0.3">
      <c r="C90" s="23"/>
      <c r="I90" s="25"/>
      <c r="M90" s="25"/>
      <c r="N90" s="32"/>
      <c r="O90" s="32"/>
      <c r="P90" s="32"/>
      <c r="Q90" s="32"/>
      <c r="R90" s="32"/>
      <c r="S90" s="32"/>
      <c r="V90" s="32"/>
      <c r="Z90" s="32"/>
      <c r="AA90" s="198"/>
      <c r="AB90" s="34"/>
      <c r="AC90" s="34"/>
      <c r="AD90" s="34"/>
      <c r="AE90" s="34"/>
      <c r="AF90" s="34"/>
      <c r="AG90" s="34"/>
      <c r="AI90" s="25"/>
      <c r="AL90" s="34"/>
      <c r="AM90" s="34"/>
      <c r="AN90" s="25"/>
      <c r="AO90" s="25"/>
      <c r="AP90" s="105"/>
    </row>
    <row r="91" spans="1:42" x14ac:dyDescent="0.3">
      <c r="A91" s="23"/>
      <c r="I91" s="25"/>
      <c r="M91" s="25"/>
      <c r="T91" s="23"/>
      <c r="V91" s="32"/>
      <c r="Z91" s="32"/>
      <c r="AA91" s="48"/>
      <c r="AB91" s="32"/>
      <c r="AC91" s="32"/>
      <c r="AD91" s="33"/>
      <c r="AE91" s="33"/>
      <c r="AF91" s="32"/>
      <c r="AG91" s="32"/>
      <c r="AH91" s="44"/>
      <c r="AI91" s="25"/>
      <c r="AJ91" s="44"/>
      <c r="AK91" s="44"/>
      <c r="AL91" s="32"/>
      <c r="AM91" s="32"/>
      <c r="AN91" s="25"/>
      <c r="AO91" s="25"/>
      <c r="AP91" s="105"/>
    </row>
    <row r="92" spans="1:42" x14ac:dyDescent="0.3">
      <c r="I92" s="25"/>
      <c r="K92" s="22"/>
      <c r="L92" s="22"/>
      <c r="M92" s="25"/>
      <c r="T92" s="23"/>
      <c r="V92" s="195"/>
      <c r="Z92" s="32"/>
      <c r="AA92" s="197"/>
      <c r="AB92" s="32"/>
      <c r="AC92" s="32"/>
      <c r="AD92" s="33"/>
      <c r="AE92" s="33"/>
      <c r="AF92" s="32"/>
      <c r="AG92" s="32"/>
      <c r="AH92" s="44"/>
      <c r="AI92" s="25"/>
      <c r="AJ92" s="44"/>
      <c r="AK92" s="44"/>
      <c r="AL92" s="32"/>
      <c r="AM92" s="32"/>
      <c r="AN92" s="25"/>
      <c r="AO92" s="25"/>
      <c r="AP92" s="105"/>
    </row>
    <row r="93" spans="1:42" x14ac:dyDescent="0.3">
      <c r="H93" s="23"/>
      <c r="I93" s="25"/>
      <c r="J93" s="23"/>
      <c r="M93" s="25"/>
      <c r="V93" s="34"/>
      <c r="Z93" s="34"/>
      <c r="AA93" s="198"/>
      <c r="AB93" s="34"/>
      <c r="AC93" s="34"/>
      <c r="AD93" s="34"/>
      <c r="AE93" s="34"/>
      <c r="AF93" s="34"/>
      <c r="AG93" s="34"/>
      <c r="AI93" s="25"/>
      <c r="AL93" s="34"/>
      <c r="AM93" s="34"/>
      <c r="AN93" s="25"/>
      <c r="AO93" s="25"/>
      <c r="AP93" s="105"/>
    </row>
    <row r="94" spans="1:42" x14ac:dyDescent="0.3">
      <c r="I94" s="25"/>
      <c r="K94" s="22"/>
      <c r="L94" s="22"/>
      <c r="M94" s="25"/>
      <c r="T94" s="23"/>
      <c r="V94" s="32"/>
      <c r="Z94" s="32"/>
      <c r="AA94" s="198"/>
      <c r="AB94" s="32"/>
      <c r="AC94" s="32"/>
      <c r="AD94" s="33"/>
      <c r="AE94" s="33"/>
      <c r="AF94" s="32"/>
      <c r="AG94" s="32"/>
      <c r="AH94" s="33"/>
      <c r="AI94" s="25"/>
      <c r="AJ94" s="33"/>
      <c r="AK94" s="33"/>
      <c r="AL94" s="32"/>
      <c r="AM94" s="32"/>
      <c r="AN94" s="25"/>
      <c r="AO94" s="25"/>
      <c r="AP94" s="105"/>
    </row>
    <row r="95" spans="1:42" x14ac:dyDescent="0.3">
      <c r="I95" s="25"/>
      <c r="M95" s="23"/>
      <c r="N95" s="23"/>
      <c r="V95" s="34"/>
      <c r="Z95" s="34"/>
      <c r="AA95" s="198"/>
      <c r="AB95" s="34"/>
      <c r="AC95" s="34"/>
      <c r="AD95" s="34"/>
      <c r="AE95" s="34"/>
      <c r="AF95" s="34"/>
      <c r="AG95" s="34"/>
      <c r="AI95" s="25"/>
      <c r="AL95" s="34"/>
      <c r="AM95" s="34"/>
      <c r="AN95" s="25"/>
      <c r="AO95" s="25"/>
      <c r="AP95" s="105"/>
    </row>
    <row r="96" spans="1:42" x14ac:dyDescent="0.3">
      <c r="A96" s="22"/>
      <c r="I96" s="25"/>
      <c r="R96" s="23"/>
      <c r="T96" s="23"/>
      <c r="V96" s="195"/>
      <c r="Z96" s="195"/>
      <c r="AA96" s="198"/>
      <c r="AB96" s="32"/>
      <c r="AC96" s="32"/>
      <c r="AD96" s="33"/>
      <c r="AE96" s="33"/>
      <c r="AF96" s="32"/>
      <c r="AG96" s="32"/>
      <c r="AI96" s="25"/>
      <c r="AL96" s="32"/>
      <c r="AM96" s="32"/>
      <c r="AN96" s="25"/>
      <c r="AO96" s="25"/>
      <c r="AP96" s="105"/>
    </row>
    <row r="97" spans="1:42" x14ac:dyDescent="0.3">
      <c r="A97" s="22"/>
      <c r="I97" s="25"/>
      <c r="R97" s="23"/>
      <c r="AI97" s="25"/>
      <c r="AN97" s="25"/>
      <c r="AO97" s="25"/>
      <c r="AP97" s="106"/>
    </row>
    <row r="98" spans="1:42" x14ac:dyDescent="0.3">
      <c r="A98" s="23"/>
      <c r="I98" s="25"/>
      <c r="R98" s="23"/>
      <c r="T98" s="23"/>
      <c r="AI98" s="25"/>
      <c r="AN98" s="25"/>
      <c r="AO98" s="25"/>
      <c r="AP98" s="106"/>
    </row>
    <row r="99" spans="1:42" x14ac:dyDescent="0.3">
      <c r="I99" s="25"/>
      <c r="M99" s="23"/>
      <c r="N99" s="23"/>
      <c r="R99" s="22"/>
      <c r="T99" s="23"/>
      <c r="V99" s="32"/>
      <c r="Z99" s="195"/>
      <c r="AA99" s="119"/>
      <c r="AB99" s="32"/>
      <c r="AC99" s="32"/>
      <c r="AD99" s="33"/>
      <c r="AE99" s="33"/>
      <c r="AF99" s="32"/>
      <c r="AG99" s="32"/>
      <c r="AH99" s="204"/>
      <c r="AI99" s="25"/>
      <c r="AJ99" s="204"/>
      <c r="AK99" s="204"/>
      <c r="AL99" s="22"/>
      <c r="AM99" s="22"/>
      <c r="AN99" s="25"/>
      <c r="AO99" s="25"/>
      <c r="AP99" s="205"/>
    </row>
    <row r="100" spans="1:42" x14ac:dyDescent="0.3">
      <c r="A100" s="29"/>
      <c r="B100" s="29"/>
      <c r="C100" s="29"/>
      <c r="D100" s="29"/>
      <c r="E100" s="29"/>
      <c r="F100" s="29"/>
      <c r="G100" s="29"/>
      <c r="H100" s="29"/>
      <c r="I100" s="25"/>
      <c r="J100" s="29"/>
      <c r="K100" s="29"/>
      <c r="L100" s="29"/>
      <c r="M100" s="29"/>
      <c r="N100" s="29"/>
      <c r="O100" s="29"/>
      <c r="P100" s="29"/>
      <c r="Q100" s="29"/>
      <c r="R100" s="29"/>
      <c r="T100" s="23"/>
      <c r="V100" s="32"/>
      <c r="Z100" s="195"/>
      <c r="AA100" s="119"/>
      <c r="AB100" s="32"/>
      <c r="AC100" s="32"/>
      <c r="AD100" s="33"/>
      <c r="AE100" s="33"/>
      <c r="AF100" s="32"/>
      <c r="AG100" s="32"/>
      <c r="AH100" s="44"/>
      <c r="AI100" s="25"/>
      <c r="AJ100" s="44"/>
      <c r="AK100" s="44"/>
      <c r="AL100" s="22"/>
      <c r="AM100" s="22"/>
      <c r="AN100" s="25"/>
      <c r="AO100" s="25"/>
      <c r="AP100" s="105"/>
    </row>
    <row r="101" spans="1:42" x14ac:dyDescent="0.3">
      <c r="I101" s="25"/>
      <c r="M101" s="30"/>
      <c r="N101" s="30"/>
      <c r="O101" s="30"/>
      <c r="P101" s="30"/>
      <c r="R101" s="30"/>
      <c r="T101" s="23"/>
      <c r="V101" s="32"/>
      <c r="Z101" s="195"/>
      <c r="AA101" s="119"/>
      <c r="AB101" s="32"/>
      <c r="AC101" s="32"/>
      <c r="AD101" s="33"/>
      <c r="AE101" s="33"/>
      <c r="AF101" s="32"/>
      <c r="AG101" s="32"/>
      <c r="AH101" s="44"/>
      <c r="AI101" s="25"/>
      <c r="AJ101" s="44"/>
      <c r="AK101" s="44"/>
      <c r="AL101" s="22"/>
      <c r="AM101" s="22"/>
      <c r="AN101" s="25"/>
      <c r="AO101" s="25"/>
      <c r="AP101" s="105"/>
    </row>
    <row r="102" spans="1:42" x14ac:dyDescent="0.3">
      <c r="I102" s="25"/>
      <c r="M102" s="30"/>
      <c r="N102" s="30"/>
      <c r="O102" s="30"/>
      <c r="P102" s="30"/>
      <c r="R102" s="30"/>
      <c r="V102" s="34"/>
      <c r="Z102" s="32"/>
      <c r="AA102" s="198"/>
      <c r="AB102" s="34"/>
      <c r="AC102" s="34"/>
      <c r="AD102" s="34"/>
      <c r="AE102" s="34"/>
      <c r="AF102" s="34"/>
      <c r="AG102" s="34"/>
      <c r="AI102" s="25"/>
      <c r="AL102" s="34"/>
      <c r="AM102" s="34"/>
      <c r="AN102" s="25"/>
      <c r="AO102" s="25"/>
      <c r="AP102" s="105"/>
    </row>
    <row r="103" spans="1:42" x14ac:dyDescent="0.3">
      <c r="A103" s="30"/>
      <c r="C103" s="30"/>
      <c r="D103" s="30"/>
      <c r="E103" s="30"/>
      <c r="F103" s="30"/>
      <c r="I103" s="25"/>
      <c r="K103" s="30"/>
      <c r="L103" s="30"/>
      <c r="M103" s="30"/>
      <c r="N103" s="30"/>
      <c r="O103" s="30"/>
      <c r="P103" s="30"/>
      <c r="Q103" s="30"/>
      <c r="R103" s="30"/>
      <c r="T103" s="23"/>
      <c r="V103" s="32"/>
      <c r="Z103" s="32"/>
      <c r="AA103" s="198"/>
      <c r="AB103" s="32"/>
      <c r="AC103" s="32"/>
      <c r="AD103" s="33"/>
      <c r="AE103" s="33"/>
      <c r="AF103" s="32"/>
      <c r="AG103" s="32"/>
      <c r="AH103" s="44"/>
      <c r="AI103" s="25"/>
      <c r="AJ103" s="44"/>
      <c r="AK103" s="44"/>
      <c r="AL103" s="32"/>
      <c r="AM103" s="32"/>
      <c r="AN103" s="25"/>
      <c r="AO103" s="25"/>
      <c r="AP103" s="105"/>
    </row>
    <row r="104" spans="1:42" x14ac:dyDescent="0.3">
      <c r="A104" s="30"/>
      <c r="C104" s="30"/>
      <c r="D104" s="30"/>
      <c r="E104" s="30"/>
      <c r="F104" s="30"/>
      <c r="H104" s="30"/>
      <c r="I104" s="25"/>
      <c r="J104" s="30"/>
      <c r="K104" s="30"/>
      <c r="L104" s="30"/>
      <c r="M104" s="30"/>
      <c r="N104" s="30"/>
      <c r="O104" s="30"/>
      <c r="P104" s="30"/>
      <c r="Q104" s="30"/>
      <c r="R104" s="30"/>
      <c r="V104" s="34"/>
      <c r="Z104" s="32"/>
      <c r="AA104" s="198"/>
      <c r="AB104" s="34"/>
      <c r="AC104" s="34"/>
      <c r="AD104" s="34"/>
      <c r="AE104" s="34"/>
      <c r="AF104" s="34"/>
      <c r="AG104" s="34"/>
      <c r="AI104" s="25"/>
      <c r="AL104" s="34"/>
      <c r="AM104" s="34"/>
      <c r="AN104" s="25"/>
      <c r="AO104" s="25"/>
      <c r="AP104" s="105"/>
    </row>
    <row r="105" spans="1:42" x14ac:dyDescent="0.3">
      <c r="C105" s="30"/>
      <c r="D105" s="30"/>
      <c r="E105" s="30"/>
      <c r="F105" s="30"/>
      <c r="H105" s="30"/>
      <c r="I105" s="25"/>
      <c r="J105" s="30"/>
      <c r="K105" s="30"/>
      <c r="L105" s="30"/>
      <c r="M105" s="30"/>
      <c r="N105" s="30"/>
      <c r="O105" s="30"/>
      <c r="P105" s="30"/>
      <c r="Q105" s="30"/>
      <c r="R105" s="30"/>
      <c r="T105" s="23"/>
      <c r="V105" s="195"/>
      <c r="Z105" s="195"/>
      <c r="AA105" s="206"/>
      <c r="AB105" s="32"/>
      <c r="AC105" s="32"/>
      <c r="AD105" s="33"/>
      <c r="AE105" s="33"/>
      <c r="AF105" s="32"/>
      <c r="AG105" s="32"/>
      <c r="AH105" s="33"/>
      <c r="AI105" s="25"/>
      <c r="AJ105" s="33"/>
      <c r="AK105" s="33"/>
      <c r="AL105" s="32"/>
      <c r="AM105" s="32"/>
      <c r="AN105" s="25"/>
      <c r="AO105" s="25"/>
      <c r="AP105" s="105"/>
    </row>
    <row r="106" spans="1:42" x14ac:dyDescent="0.3">
      <c r="A106" s="29"/>
      <c r="B106" s="29"/>
      <c r="C106" s="29"/>
      <c r="D106" s="29"/>
      <c r="E106" s="29"/>
      <c r="F106" s="29"/>
      <c r="G106" s="29"/>
      <c r="H106" s="29"/>
      <c r="I106" s="25"/>
      <c r="J106" s="29"/>
      <c r="K106" s="29"/>
      <c r="L106" s="29"/>
      <c r="M106" s="29"/>
      <c r="N106" s="29"/>
      <c r="O106" s="29"/>
      <c r="P106" s="29"/>
      <c r="Q106" s="29"/>
      <c r="R106" s="29"/>
      <c r="T106" s="23"/>
      <c r="V106" s="195"/>
      <c r="Z106" s="32"/>
      <c r="AA106" s="119"/>
      <c r="AB106" s="32"/>
      <c r="AC106" s="32"/>
      <c r="AD106" s="33"/>
      <c r="AE106" s="33"/>
      <c r="AF106" s="32"/>
      <c r="AG106" s="32"/>
      <c r="AH106" s="44"/>
      <c r="AI106" s="25"/>
      <c r="AJ106" s="44"/>
      <c r="AK106" s="44"/>
      <c r="AL106" s="32"/>
      <c r="AM106" s="32"/>
      <c r="AN106" s="25"/>
      <c r="AO106" s="25"/>
      <c r="AP106" s="105"/>
    </row>
    <row r="107" spans="1:42" x14ac:dyDescent="0.3">
      <c r="H107" s="30"/>
      <c r="I107" s="25"/>
      <c r="J107" s="30"/>
      <c r="K107" s="30"/>
      <c r="L107" s="30"/>
      <c r="M107" s="30"/>
      <c r="N107" s="30"/>
      <c r="O107" s="30"/>
      <c r="P107" s="30"/>
      <c r="Q107" s="30"/>
      <c r="R107" s="30"/>
      <c r="T107" s="23"/>
      <c r="V107" s="195"/>
      <c r="Z107" s="32"/>
      <c r="AA107" s="119"/>
      <c r="AB107" s="32"/>
      <c r="AC107" s="32"/>
      <c r="AD107" s="33"/>
      <c r="AE107" s="33"/>
      <c r="AF107" s="32"/>
      <c r="AG107" s="32"/>
      <c r="AH107" s="44"/>
      <c r="AI107" s="25"/>
      <c r="AJ107" s="44"/>
      <c r="AK107" s="44"/>
      <c r="AL107" s="32"/>
      <c r="AM107" s="32"/>
      <c r="AN107" s="25"/>
      <c r="AO107" s="25"/>
      <c r="AP107" s="105"/>
    </row>
    <row r="108" spans="1:42" x14ac:dyDescent="0.3">
      <c r="A108" s="22"/>
      <c r="C108" s="23"/>
      <c r="D108" s="23"/>
      <c r="E108" s="23"/>
      <c r="I108" s="25"/>
      <c r="V108" s="32"/>
      <c r="Z108" s="34"/>
      <c r="AA108" s="198"/>
      <c r="AB108" s="34"/>
      <c r="AC108" s="34"/>
      <c r="AD108" s="34"/>
      <c r="AE108" s="34"/>
      <c r="AF108" s="34"/>
      <c r="AG108" s="34"/>
      <c r="AI108" s="25"/>
      <c r="AL108" s="34"/>
      <c r="AM108" s="34"/>
      <c r="AN108" s="25"/>
      <c r="AO108" s="25"/>
      <c r="AP108" s="33"/>
    </row>
    <row r="109" spans="1:42" x14ac:dyDescent="0.3">
      <c r="A109" s="22"/>
      <c r="D109" s="23"/>
      <c r="E109" s="23"/>
      <c r="I109" s="25"/>
      <c r="T109" s="23"/>
      <c r="V109" s="32"/>
      <c r="Z109" s="32"/>
      <c r="AA109" s="198"/>
      <c r="AB109" s="32"/>
      <c r="AC109" s="32"/>
      <c r="AD109" s="33"/>
      <c r="AE109" s="33"/>
      <c r="AF109" s="32"/>
      <c r="AG109" s="32"/>
      <c r="AH109" s="44"/>
      <c r="AI109" s="25"/>
      <c r="AJ109" s="44"/>
      <c r="AK109" s="44"/>
      <c r="AL109" s="32"/>
      <c r="AM109" s="32"/>
      <c r="AN109" s="25"/>
      <c r="AO109" s="25"/>
      <c r="AP109" s="33"/>
    </row>
    <row r="110" spans="1:42" x14ac:dyDescent="0.3">
      <c r="I110" s="25"/>
      <c r="V110" s="32"/>
      <c r="Z110" s="34"/>
      <c r="AA110" s="198"/>
      <c r="AB110" s="34"/>
      <c r="AC110" s="34"/>
      <c r="AD110" s="34"/>
      <c r="AE110" s="34"/>
      <c r="AF110" s="34"/>
      <c r="AG110" s="34"/>
      <c r="AI110" s="25"/>
      <c r="AL110" s="34"/>
      <c r="AM110" s="34"/>
      <c r="AN110" s="25"/>
      <c r="AO110" s="25"/>
      <c r="AP110" s="33"/>
    </row>
    <row r="111" spans="1:42" x14ac:dyDescent="0.3">
      <c r="A111" s="22"/>
      <c r="C111" s="23"/>
      <c r="F111" s="195"/>
      <c r="H111" s="195"/>
      <c r="I111" s="25"/>
      <c r="J111" s="195"/>
      <c r="K111" s="119"/>
      <c r="L111" s="119"/>
      <c r="M111" s="32"/>
      <c r="N111" s="32"/>
      <c r="O111" s="33"/>
      <c r="P111" s="33"/>
      <c r="R111" s="32"/>
      <c r="T111" s="23"/>
      <c r="V111" s="32"/>
      <c r="Z111" s="32"/>
      <c r="AA111" s="198"/>
      <c r="AB111" s="32"/>
      <c r="AC111" s="32"/>
      <c r="AD111" s="32"/>
      <c r="AE111" s="32"/>
      <c r="AF111" s="32"/>
      <c r="AG111" s="32"/>
      <c r="AH111" s="44"/>
      <c r="AI111" s="25"/>
      <c r="AJ111" s="44"/>
      <c r="AK111" s="44"/>
      <c r="AL111" s="32"/>
      <c r="AM111" s="32"/>
      <c r="AN111" s="25"/>
      <c r="AO111" s="25"/>
      <c r="AP111" s="33"/>
    </row>
    <row r="112" spans="1:42" x14ac:dyDescent="0.3">
      <c r="A112" s="22"/>
      <c r="C112" s="23"/>
      <c r="F112" s="195"/>
      <c r="H112" s="195"/>
      <c r="I112" s="25"/>
      <c r="J112" s="195"/>
      <c r="K112" s="119"/>
      <c r="L112" s="119"/>
      <c r="M112" s="32"/>
      <c r="N112" s="32"/>
      <c r="O112" s="33"/>
      <c r="P112" s="33"/>
      <c r="Q112" s="22"/>
      <c r="R112" s="32"/>
      <c r="T112" s="23"/>
      <c r="V112" s="32"/>
      <c r="Z112" s="32"/>
      <c r="AA112" s="203"/>
      <c r="AB112" s="32"/>
      <c r="AC112" s="32"/>
      <c r="AD112" s="33"/>
      <c r="AE112" s="33"/>
      <c r="AF112" s="32"/>
      <c r="AG112" s="32"/>
      <c r="AH112" s="44"/>
      <c r="AI112" s="25"/>
      <c r="AJ112" s="44"/>
      <c r="AK112" s="44"/>
      <c r="AL112" s="32"/>
      <c r="AM112" s="32"/>
      <c r="AN112" s="25"/>
      <c r="AO112" s="25"/>
      <c r="AP112" s="33"/>
    </row>
    <row r="113" spans="1:42" x14ac:dyDescent="0.3">
      <c r="F113" s="34"/>
      <c r="H113" s="32"/>
      <c r="I113" s="25"/>
      <c r="J113" s="32"/>
      <c r="K113" s="198"/>
      <c r="L113" s="198"/>
      <c r="M113" s="34"/>
      <c r="N113" s="34"/>
      <c r="O113" s="34"/>
      <c r="P113" s="34"/>
      <c r="Q113" s="34"/>
      <c r="R113" s="34"/>
      <c r="T113" s="23"/>
      <c r="Z113" s="32"/>
      <c r="AA113" s="203"/>
      <c r="AB113" s="32"/>
      <c r="AC113" s="32"/>
      <c r="AD113" s="33"/>
      <c r="AE113" s="33"/>
      <c r="AF113" s="32"/>
      <c r="AG113" s="32"/>
      <c r="AH113" s="44"/>
      <c r="AI113" s="25"/>
      <c r="AJ113" s="44"/>
      <c r="AK113" s="44"/>
      <c r="AL113" s="32"/>
      <c r="AM113" s="32"/>
      <c r="AN113" s="25"/>
      <c r="AO113" s="25"/>
      <c r="AP113" s="33"/>
    </row>
    <row r="114" spans="1:42" x14ac:dyDescent="0.3">
      <c r="A114" s="22"/>
      <c r="C114" s="23"/>
      <c r="F114" s="32"/>
      <c r="H114" s="32"/>
      <c r="I114" s="25"/>
      <c r="J114" s="32"/>
      <c r="K114" s="198"/>
      <c r="L114" s="198"/>
      <c r="M114" s="32"/>
      <c r="N114" s="32"/>
      <c r="O114" s="33"/>
      <c r="P114" s="33"/>
      <c r="Q114" s="32"/>
      <c r="R114" s="32"/>
      <c r="V114" s="32"/>
      <c r="Z114" s="32"/>
      <c r="AA114" s="198"/>
      <c r="AB114" s="34"/>
      <c r="AC114" s="34"/>
      <c r="AD114" s="34"/>
      <c r="AE114" s="34"/>
      <c r="AF114" s="34"/>
      <c r="AG114" s="34"/>
      <c r="AI114" s="25"/>
      <c r="AL114" s="34"/>
      <c r="AM114" s="34"/>
      <c r="AN114" s="25"/>
      <c r="AO114" s="25"/>
      <c r="AP114" s="33"/>
    </row>
    <row r="115" spans="1:42" x14ac:dyDescent="0.3">
      <c r="F115" s="34"/>
      <c r="H115" s="32"/>
      <c r="I115" s="25"/>
      <c r="J115" s="32"/>
      <c r="K115" s="198"/>
      <c r="L115" s="198"/>
      <c r="M115" s="34"/>
      <c r="N115" s="34"/>
      <c r="O115" s="34"/>
      <c r="P115" s="34"/>
      <c r="Q115" s="34"/>
      <c r="R115" s="34"/>
      <c r="T115" s="23"/>
      <c r="V115" s="32"/>
      <c r="Z115" s="32"/>
      <c r="AA115" s="48"/>
      <c r="AB115" s="32"/>
      <c r="AC115" s="32"/>
      <c r="AD115" s="33"/>
      <c r="AE115" s="33"/>
      <c r="AF115" s="32"/>
      <c r="AG115" s="32"/>
      <c r="AH115" s="44"/>
      <c r="AI115" s="25"/>
      <c r="AJ115" s="44"/>
      <c r="AK115" s="44"/>
      <c r="AL115" s="32"/>
      <c r="AM115" s="32"/>
      <c r="AN115" s="25"/>
      <c r="AO115" s="25"/>
      <c r="AP115" s="33"/>
    </row>
    <row r="116" spans="1:42" x14ac:dyDescent="0.3">
      <c r="F116" s="32"/>
      <c r="H116" s="32"/>
      <c r="I116" s="25"/>
      <c r="J116" s="32"/>
      <c r="K116" s="198"/>
      <c r="L116" s="198"/>
      <c r="M116" s="32"/>
      <c r="N116" s="32"/>
      <c r="O116" s="33"/>
      <c r="P116" s="33"/>
      <c r="Q116" s="32"/>
      <c r="R116" s="32"/>
      <c r="V116" s="32"/>
      <c r="Z116" s="32"/>
      <c r="AA116" s="198"/>
      <c r="AB116" s="34"/>
      <c r="AC116" s="34"/>
      <c r="AD116" s="34"/>
      <c r="AE116" s="34"/>
      <c r="AF116" s="34"/>
      <c r="AG116" s="34"/>
      <c r="AI116" s="25"/>
      <c r="AL116" s="34"/>
      <c r="AM116" s="34"/>
      <c r="AN116" s="25"/>
      <c r="AO116" s="25"/>
      <c r="AP116" s="33"/>
    </row>
    <row r="117" spans="1:42" x14ac:dyDescent="0.3">
      <c r="A117" s="22"/>
      <c r="C117" s="23"/>
      <c r="F117" s="195"/>
      <c r="H117" s="195"/>
      <c r="I117" s="25"/>
      <c r="J117" s="195"/>
      <c r="K117" s="119"/>
      <c r="L117" s="119"/>
      <c r="M117" s="32"/>
      <c r="N117" s="32"/>
      <c r="O117" s="33"/>
      <c r="P117" s="33"/>
      <c r="Q117" s="32"/>
      <c r="R117" s="32"/>
      <c r="T117" s="23"/>
      <c r="V117" s="32"/>
      <c r="Z117" s="32"/>
      <c r="AA117" s="48"/>
      <c r="AB117" s="32"/>
      <c r="AC117" s="32"/>
      <c r="AD117" s="33"/>
      <c r="AE117" s="33"/>
      <c r="AF117" s="32"/>
      <c r="AG117" s="32"/>
      <c r="AH117" s="44"/>
      <c r="AI117" s="25"/>
      <c r="AJ117" s="44"/>
      <c r="AK117" s="44"/>
      <c r="AL117" s="32"/>
      <c r="AM117" s="32"/>
      <c r="AN117" s="25"/>
      <c r="AO117" s="25"/>
      <c r="AP117" s="33"/>
    </row>
    <row r="118" spans="1:42" x14ac:dyDescent="0.3">
      <c r="A118" s="22"/>
      <c r="C118" s="23"/>
      <c r="F118" s="195"/>
      <c r="H118" s="195"/>
      <c r="I118" s="25"/>
      <c r="J118" s="195"/>
      <c r="K118" s="119"/>
      <c r="L118" s="119"/>
      <c r="M118" s="32"/>
      <c r="N118" s="32"/>
      <c r="O118" s="33"/>
      <c r="P118" s="33"/>
      <c r="Q118" s="32"/>
      <c r="R118" s="32"/>
      <c r="T118" s="23"/>
      <c r="V118" s="195"/>
      <c r="Z118" s="32"/>
      <c r="AA118" s="197"/>
      <c r="AB118" s="32"/>
      <c r="AC118" s="32"/>
      <c r="AD118" s="33"/>
      <c r="AE118" s="33"/>
      <c r="AF118" s="32"/>
      <c r="AG118" s="32"/>
      <c r="AH118" s="44"/>
      <c r="AI118" s="25"/>
      <c r="AJ118" s="44"/>
      <c r="AK118" s="44"/>
      <c r="AL118" s="32"/>
      <c r="AM118" s="32"/>
      <c r="AN118" s="25"/>
      <c r="AO118" s="25"/>
      <c r="AP118" s="33"/>
    </row>
    <row r="119" spans="1:42" x14ac:dyDescent="0.3">
      <c r="F119" s="32"/>
      <c r="H119" s="34"/>
      <c r="I119" s="25"/>
      <c r="J119" s="34"/>
      <c r="K119" s="198"/>
      <c r="L119" s="198"/>
      <c r="M119" s="34"/>
      <c r="N119" s="34"/>
      <c r="O119" s="34"/>
      <c r="P119" s="34"/>
      <c r="Q119" s="34"/>
      <c r="R119" s="34"/>
      <c r="V119" s="34"/>
      <c r="Z119" s="34"/>
      <c r="AA119" s="198"/>
      <c r="AB119" s="34"/>
      <c r="AC119" s="34"/>
      <c r="AD119" s="34"/>
      <c r="AE119" s="34"/>
      <c r="AF119" s="34"/>
      <c r="AG119" s="34"/>
      <c r="AI119" s="25"/>
      <c r="AL119" s="34"/>
      <c r="AM119" s="34"/>
      <c r="AN119" s="25"/>
      <c r="AO119" s="25"/>
      <c r="AP119" s="33"/>
    </row>
    <row r="120" spans="1:42" x14ac:dyDescent="0.3">
      <c r="A120" s="22"/>
      <c r="C120" s="23"/>
      <c r="F120" s="32"/>
      <c r="H120" s="32"/>
      <c r="I120" s="25"/>
      <c r="J120" s="32"/>
      <c r="K120" s="198"/>
      <c r="L120" s="198"/>
      <c r="M120" s="32"/>
      <c r="N120" s="32"/>
      <c r="O120" s="33"/>
      <c r="P120" s="33"/>
      <c r="Q120" s="32"/>
      <c r="R120" s="32"/>
      <c r="T120" s="23"/>
      <c r="V120" s="32"/>
      <c r="Z120" s="32"/>
      <c r="AA120" s="198"/>
      <c r="AB120" s="32"/>
      <c r="AC120" s="32"/>
      <c r="AD120" s="33"/>
      <c r="AE120" s="33"/>
      <c r="AF120" s="32"/>
      <c r="AG120" s="32"/>
      <c r="AH120" s="33"/>
      <c r="AI120" s="25"/>
      <c r="AJ120" s="33"/>
      <c r="AK120" s="33"/>
      <c r="AL120" s="32"/>
      <c r="AM120" s="32"/>
      <c r="AN120" s="25"/>
      <c r="AO120" s="25"/>
      <c r="AP120" s="33"/>
    </row>
    <row r="121" spans="1:42" x14ac:dyDescent="0.3">
      <c r="F121" s="32"/>
      <c r="H121" s="34"/>
      <c r="I121" s="25"/>
      <c r="J121" s="34"/>
      <c r="K121" s="198"/>
      <c r="L121" s="198"/>
      <c r="M121" s="34"/>
      <c r="N121" s="34"/>
      <c r="O121" s="34"/>
      <c r="P121" s="34"/>
      <c r="Q121" s="34"/>
      <c r="R121" s="34"/>
      <c r="V121" s="34"/>
      <c r="Z121" s="34"/>
      <c r="AA121" s="198"/>
      <c r="AB121" s="34"/>
      <c r="AC121" s="34"/>
      <c r="AD121" s="34"/>
      <c r="AE121" s="34"/>
      <c r="AF121" s="34"/>
      <c r="AG121" s="34"/>
      <c r="AI121" s="25"/>
      <c r="AL121" s="34"/>
      <c r="AM121" s="34"/>
      <c r="AN121" s="25"/>
      <c r="AO121" s="25"/>
      <c r="AP121" s="33"/>
    </row>
    <row r="122" spans="1:42" x14ac:dyDescent="0.3">
      <c r="F122" s="32"/>
      <c r="H122" s="32"/>
      <c r="I122" s="25"/>
      <c r="J122" s="32"/>
      <c r="K122" s="198"/>
      <c r="L122" s="198"/>
      <c r="M122" s="32"/>
      <c r="N122" s="32"/>
      <c r="O122" s="32"/>
      <c r="P122" s="32"/>
      <c r="Q122" s="32"/>
      <c r="R122" s="32"/>
      <c r="T122" s="23"/>
      <c r="AI122" s="25"/>
      <c r="AN122" s="25"/>
      <c r="AO122" s="25"/>
    </row>
    <row r="123" spans="1:42" x14ac:dyDescent="0.3">
      <c r="A123" s="22"/>
      <c r="C123" s="23"/>
      <c r="F123" s="195"/>
      <c r="H123" s="195"/>
      <c r="I123" s="25"/>
      <c r="J123" s="195"/>
      <c r="K123" s="197"/>
      <c r="L123" s="197"/>
      <c r="M123" s="32"/>
      <c r="N123" s="32"/>
      <c r="O123" s="33"/>
      <c r="P123" s="33"/>
      <c r="Q123" s="195"/>
      <c r="R123" s="32"/>
      <c r="T123" s="23"/>
      <c r="V123" s="32"/>
      <c r="Z123" s="32"/>
      <c r="AB123" s="32"/>
      <c r="AC123" s="32"/>
      <c r="AD123" s="33"/>
      <c r="AE123" s="33"/>
      <c r="AF123" s="32"/>
      <c r="AG123" s="32"/>
      <c r="AH123" s="33"/>
      <c r="AI123" s="25"/>
      <c r="AJ123" s="33"/>
      <c r="AK123" s="33"/>
      <c r="AL123" s="195"/>
      <c r="AM123" s="195"/>
      <c r="AN123" s="25"/>
      <c r="AO123" s="25"/>
      <c r="AP123" s="33"/>
    </row>
    <row r="124" spans="1:42" x14ac:dyDescent="0.3">
      <c r="A124" s="22"/>
      <c r="C124" s="23"/>
      <c r="F124" s="195"/>
      <c r="H124" s="195"/>
      <c r="I124" s="25"/>
      <c r="J124" s="195"/>
      <c r="K124" s="197"/>
      <c r="L124" s="197"/>
      <c r="M124" s="32"/>
      <c r="N124" s="32"/>
      <c r="O124" s="33"/>
      <c r="P124" s="33"/>
      <c r="Q124" s="195"/>
      <c r="R124" s="32"/>
      <c r="V124" s="34"/>
      <c r="Z124" s="34"/>
      <c r="AA124" s="198"/>
      <c r="AB124" s="34"/>
      <c r="AC124" s="34"/>
      <c r="AD124" s="34"/>
      <c r="AE124" s="34"/>
      <c r="AF124" s="34"/>
      <c r="AG124" s="34"/>
      <c r="AI124" s="25"/>
      <c r="AL124" s="34"/>
      <c r="AM124" s="34"/>
      <c r="AN124" s="25"/>
      <c r="AO124" s="25"/>
    </row>
    <row r="125" spans="1:42" x14ac:dyDescent="0.3">
      <c r="A125" s="22"/>
      <c r="C125" s="23"/>
      <c r="F125" s="195"/>
      <c r="H125" s="195"/>
      <c r="I125" s="25"/>
      <c r="J125" s="195"/>
      <c r="K125" s="197"/>
      <c r="L125" s="197"/>
      <c r="M125" s="32"/>
      <c r="N125" s="32"/>
      <c r="O125" s="33"/>
      <c r="P125" s="33"/>
      <c r="Q125" s="195"/>
      <c r="R125" s="32"/>
      <c r="AN125" s="25"/>
      <c r="AO125" s="25"/>
    </row>
    <row r="126" spans="1:42" x14ac:dyDescent="0.3">
      <c r="F126" s="34"/>
      <c r="H126" s="34"/>
      <c r="I126" s="25"/>
      <c r="J126" s="34"/>
      <c r="K126" s="198"/>
      <c r="L126" s="198"/>
      <c r="M126" s="34"/>
      <c r="N126" s="34"/>
      <c r="O126" s="34"/>
      <c r="P126" s="34"/>
      <c r="Q126" s="34"/>
      <c r="R126" s="34"/>
      <c r="T126" s="23"/>
      <c r="AB126" s="32"/>
      <c r="AC126" s="32"/>
      <c r="AD126" s="32"/>
      <c r="AE126" s="32"/>
      <c r="AJ126" s="32"/>
      <c r="AK126" s="32"/>
      <c r="AL126" s="32"/>
      <c r="AM126" s="32"/>
      <c r="AN126" s="25"/>
      <c r="AO126" s="25"/>
    </row>
    <row r="127" spans="1:42" x14ac:dyDescent="0.3">
      <c r="A127" s="22"/>
      <c r="C127" s="23"/>
      <c r="F127" s="32"/>
      <c r="H127" s="32"/>
      <c r="I127" s="25"/>
      <c r="J127" s="32"/>
      <c r="K127" s="48"/>
      <c r="L127" s="48"/>
      <c r="M127" s="32"/>
      <c r="N127" s="32"/>
      <c r="O127" s="33"/>
      <c r="P127" s="33"/>
      <c r="Q127" s="32"/>
      <c r="R127" s="32"/>
      <c r="AN127" s="25"/>
      <c r="AO127" s="25"/>
    </row>
    <row r="128" spans="1:42" x14ac:dyDescent="0.3">
      <c r="F128" s="34"/>
      <c r="H128" s="34"/>
      <c r="I128" s="25"/>
      <c r="J128" s="34"/>
      <c r="K128" s="198"/>
      <c r="L128" s="198"/>
      <c r="M128" s="34"/>
      <c r="N128" s="34"/>
      <c r="O128" s="34"/>
      <c r="P128" s="34"/>
      <c r="Q128" s="34"/>
      <c r="R128" s="34"/>
      <c r="AA128" s="22"/>
      <c r="AN128" s="25"/>
      <c r="AO128" s="25"/>
    </row>
    <row r="129" spans="1:41" x14ac:dyDescent="0.3">
      <c r="A129" s="22"/>
      <c r="C129" s="23"/>
      <c r="F129" s="32"/>
      <c r="H129" s="32"/>
      <c r="I129" s="25"/>
      <c r="J129" s="32"/>
      <c r="K129" s="48"/>
      <c r="L129" s="48"/>
      <c r="M129" s="32"/>
      <c r="N129" s="32"/>
      <c r="O129" s="33"/>
      <c r="P129" s="33"/>
      <c r="Q129" s="32"/>
      <c r="R129" s="32"/>
      <c r="Z129" s="23"/>
      <c r="AN129" s="25"/>
      <c r="AO129" s="25"/>
    </row>
    <row r="130" spans="1:41" x14ac:dyDescent="0.3">
      <c r="A130" s="22"/>
      <c r="C130" s="23"/>
      <c r="F130" s="32"/>
      <c r="H130" s="32"/>
      <c r="I130" s="32"/>
      <c r="J130" s="48"/>
      <c r="K130" s="48"/>
      <c r="L130" s="32"/>
      <c r="M130" s="32"/>
      <c r="N130" s="33"/>
      <c r="O130" s="33"/>
      <c r="P130" s="32"/>
      <c r="Q130" s="32"/>
      <c r="R130" s="32"/>
      <c r="AA130" s="22"/>
      <c r="AN130" s="25"/>
      <c r="AO130" s="25"/>
    </row>
    <row r="131" spans="1:41" x14ac:dyDescent="0.3">
      <c r="F131" s="34"/>
      <c r="H131" s="34"/>
      <c r="I131" s="34"/>
      <c r="J131" s="198"/>
      <c r="K131" s="198"/>
      <c r="L131" s="34"/>
      <c r="M131" s="34"/>
      <c r="N131" s="34"/>
      <c r="O131" s="34"/>
      <c r="P131" s="34"/>
      <c r="Q131" s="34"/>
      <c r="R131" s="34"/>
      <c r="AB131" s="23"/>
      <c r="AC131" s="23"/>
      <c r="AN131" s="25"/>
      <c r="AO131" s="25"/>
    </row>
    <row r="132" spans="1:41" x14ac:dyDescent="0.3">
      <c r="F132" s="32"/>
      <c r="H132" s="32"/>
      <c r="I132" s="32"/>
      <c r="J132" s="48"/>
      <c r="K132" s="48"/>
      <c r="L132" s="32"/>
      <c r="M132" s="32"/>
      <c r="N132" s="32"/>
      <c r="O132" s="32"/>
      <c r="P132" s="32"/>
      <c r="Q132" s="32"/>
      <c r="R132" s="32"/>
      <c r="AL132" s="23"/>
      <c r="AM132" s="23"/>
      <c r="AN132" s="25"/>
      <c r="AO132" s="25"/>
    </row>
    <row r="133" spans="1:41" x14ac:dyDescent="0.3">
      <c r="C133" s="23"/>
      <c r="F133" s="32"/>
      <c r="H133" s="32"/>
      <c r="I133" s="32"/>
      <c r="J133" s="48"/>
      <c r="K133" s="48"/>
      <c r="L133" s="32"/>
      <c r="M133" s="32"/>
      <c r="N133" s="32"/>
      <c r="O133" s="32"/>
      <c r="P133" s="32"/>
      <c r="Q133" s="32"/>
      <c r="R133" s="32"/>
      <c r="AL133" s="23"/>
      <c r="AM133" s="23"/>
      <c r="AN133" s="25"/>
      <c r="AO133" s="25"/>
    </row>
    <row r="134" spans="1:41" x14ac:dyDescent="0.3">
      <c r="A134" s="23"/>
      <c r="AL134" s="23"/>
      <c r="AM134" s="23"/>
      <c r="AN134" s="25"/>
      <c r="AO134" s="25"/>
    </row>
    <row r="135" spans="1:41" x14ac:dyDescent="0.3">
      <c r="J135" s="22"/>
      <c r="K135" s="22"/>
      <c r="AA135" s="22"/>
      <c r="AN135" s="25"/>
      <c r="AO135" s="25"/>
    </row>
    <row r="136" spans="1:41" x14ac:dyDescent="0.3">
      <c r="H136" s="23"/>
      <c r="I136" s="23"/>
      <c r="Z136" s="23"/>
      <c r="AN136" s="25"/>
      <c r="AO136" s="25"/>
    </row>
    <row r="137" spans="1:41" x14ac:dyDescent="0.3">
      <c r="J137" s="22"/>
      <c r="K137" s="22"/>
      <c r="AA137" s="22"/>
      <c r="AN137" s="25"/>
      <c r="AO137" s="25"/>
    </row>
    <row r="138" spans="1:41" x14ac:dyDescent="0.3">
      <c r="L138" s="23"/>
      <c r="M138" s="23"/>
      <c r="AB138" s="23"/>
      <c r="AC138" s="23"/>
      <c r="AN138" s="25"/>
    </row>
    <row r="139" spans="1:41" x14ac:dyDescent="0.3">
      <c r="A139" s="22"/>
      <c r="R139" s="23"/>
      <c r="AL139" s="23"/>
      <c r="AM139" s="23"/>
    </row>
    <row r="140" spans="1:41" x14ac:dyDescent="0.3">
      <c r="A140" s="22"/>
      <c r="R140" s="23"/>
      <c r="AL140" s="23"/>
      <c r="AM140" s="23"/>
    </row>
    <row r="141" spans="1:41" x14ac:dyDescent="0.3">
      <c r="A141" s="23"/>
      <c r="R141" s="23"/>
      <c r="AL141" s="23"/>
      <c r="AM141" s="23"/>
    </row>
    <row r="142" spans="1:41" x14ac:dyDescent="0.3">
      <c r="L142" s="23"/>
      <c r="M142" s="23"/>
      <c r="R142" s="22"/>
      <c r="AB142" s="23"/>
      <c r="AC142" s="23"/>
      <c r="AL142" s="22"/>
      <c r="AM142" s="22"/>
    </row>
    <row r="143" spans="1:4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1:41" x14ac:dyDescent="0.3">
      <c r="L144" s="30"/>
      <c r="M144" s="30"/>
      <c r="N144" s="30"/>
      <c r="O144" s="30"/>
      <c r="R144" s="30"/>
      <c r="AB144" s="30"/>
      <c r="AC144" s="30"/>
      <c r="AD144" s="30"/>
      <c r="AE144" s="30"/>
      <c r="AF144" s="30"/>
      <c r="AG144" s="30"/>
      <c r="AH144" s="30"/>
      <c r="AI144" s="30"/>
      <c r="AL144" s="30"/>
      <c r="AM144" s="30"/>
      <c r="AN144" s="30"/>
      <c r="AO144" s="30"/>
    </row>
    <row r="145" spans="1:41" x14ac:dyDescent="0.3">
      <c r="L145" s="30"/>
      <c r="M145" s="30"/>
      <c r="N145" s="30"/>
      <c r="O145" s="30"/>
      <c r="R145" s="30"/>
      <c r="AA145" s="30"/>
      <c r="AB145" s="30"/>
      <c r="AC145" s="30"/>
      <c r="AD145" s="30"/>
      <c r="AE145" s="30"/>
      <c r="AF145" s="30"/>
      <c r="AG145" s="30"/>
      <c r="AH145" s="30"/>
      <c r="AI145" s="30"/>
      <c r="AL145" s="30"/>
      <c r="AM145" s="30"/>
      <c r="AN145" s="30"/>
      <c r="AO145" s="30"/>
    </row>
    <row r="146" spans="1:41" x14ac:dyDescent="0.3">
      <c r="A146" s="30"/>
      <c r="C146" s="30"/>
      <c r="D146" s="30"/>
      <c r="E146" s="30"/>
      <c r="F146" s="30"/>
      <c r="J146" s="30"/>
      <c r="K146" s="30"/>
      <c r="L146" s="30"/>
      <c r="M146" s="30"/>
      <c r="N146" s="30"/>
      <c r="O146" s="30"/>
      <c r="P146" s="30"/>
      <c r="Q146" s="30"/>
      <c r="R146" s="30"/>
      <c r="T146" s="30"/>
      <c r="U146" s="30"/>
      <c r="V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x14ac:dyDescent="0.3">
      <c r="A147" s="30"/>
      <c r="C147" s="30"/>
      <c r="D147" s="30"/>
      <c r="E147" s="30"/>
      <c r="F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x14ac:dyDescent="0.3">
      <c r="C148" s="30"/>
      <c r="D148" s="30"/>
      <c r="E148" s="30"/>
      <c r="F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T148" s="30"/>
      <c r="U148" s="30"/>
      <c r="V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1:41" x14ac:dyDescent="0.3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x14ac:dyDescent="0.3">
      <c r="A151" s="22"/>
      <c r="C151" s="23"/>
      <c r="D151" s="23"/>
      <c r="E151" s="23"/>
      <c r="T151" s="23"/>
      <c r="U151" s="23"/>
    </row>
    <row r="153" spans="1:41" x14ac:dyDescent="0.3">
      <c r="A153" s="22"/>
      <c r="C153" s="23"/>
      <c r="F153" s="195"/>
      <c r="H153" s="207"/>
      <c r="I153" s="207"/>
      <c r="J153" s="119"/>
      <c r="K153" s="119"/>
      <c r="L153" s="32"/>
      <c r="M153" s="32"/>
      <c r="N153" s="22"/>
      <c r="O153" s="22"/>
      <c r="P153" s="22"/>
      <c r="Q153" s="22"/>
      <c r="R153" s="32"/>
      <c r="T153" s="23"/>
      <c r="V153" s="32"/>
      <c r="Z153" s="22"/>
      <c r="AA153" s="119"/>
      <c r="AB153" s="32"/>
      <c r="AC153" s="32"/>
      <c r="AD153" s="22"/>
      <c r="AE153" s="22"/>
      <c r="AF153" s="32"/>
      <c r="AG153" s="32"/>
      <c r="AH153" s="204"/>
      <c r="AI153" s="204"/>
      <c r="AJ153" s="32"/>
      <c r="AK153" s="32"/>
      <c r="AL153" s="32"/>
      <c r="AM153" s="32"/>
      <c r="AN153" s="208"/>
      <c r="AO153" s="208"/>
    </row>
    <row r="154" spans="1:41" x14ac:dyDescent="0.3">
      <c r="F154" s="195"/>
      <c r="H154" s="207"/>
      <c r="I154" s="207"/>
      <c r="J154" s="207"/>
      <c r="K154" s="207"/>
      <c r="R154" s="32"/>
      <c r="V154" s="32"/>
      <c r="AA154" s="207"/>
    </row>
    <row r="155" spans="1:41" x14ac:dyDescent="0.3">
      <c r="A155" s="22"/>
      <c r="C155" s="23"/>
      <c r="F155" s="195"/>
      <c r="H155" s="195"/>
      <c r="I155" s="195"/>
      <c r="J155" s="197"/>
      <c r="K155" s="197"/>
      <c r="L155" s="32"/>
      <c r="M155" s="32"/>
      <c r="N155" s="33"/>
      <c r="O155" s="33"/>
      <c r="P155" s="195"/>
      <c r="Q155" s="195"/>
      <c r="R155" s="32"/>
      <c r="T155" s="23"/>
      <c r="V155" s="32"/>
      <c r="Z155" s="32"/>
      <c r="AA155" s="200"/>
      <c r="AB155" s="32"/>
      <c r="AC155" s="32"/>
      <c r="AD155" s="33"/>
      <c r="AE155" s="33"/>
      <c r="AF155" s="32"/>
      <c r="AG155" s="32"/>
      <c r="AH155" s="44"/>
      <c r="AI155" s="44"/>
      <c r="AJ155" s="195"/>
      <c r="AK155" s="195"/>
      <c r="AL155" s="32"/>
      <c r="AM155" s="32"/>
      <c r="AN155" s="33"/>
      <c r="AO155" s="33"/>
    </row>
    <row r="156" spans="1:41" x14ac:dyDescent="0.3">
      <c r="F156" s="34"/>
      <c r="H156" s="34"/>
      <c r="I156" s="34"/>
      <c r="J156" s="198"/>
      <c r="K156" s="198"/>
      <c r="L156" s="34"/>
      <c r="M156" s="34"/>
      <c r="N156" s="34"/>
      <c r="O156" s="34"/>
      <c r="P156" s="34"/>
      <c r="Q156" s="34"/>
      <c r="R156" s="34"/>
      <c r="V156" s="34"/>
      <c r="Z156" s="34"/>
      <c r="AA156" s="198"/>
      <c r="AB156" s="34"/>
      <c r="AC156" s="34"/>
      <c r="AD156" s="34"/>
      <c r="AE156" s="34"/>
      <c r="AF156" s="34"/>
      <c r="AG156" s="34"/>
      <c r="AJ156" s="34"/>
      <c r="AK156" s="34"/>
      <c r="AL156" s="34"/>
      <c r="AM156" s="34"/>
    </row>
    <row r="157" spans="1:41" x14ac:dyDescent="0.3">
      <c r="A157" s="22"/>
      <c r="D157" s="23"/>
      <c r="E157" s="23"/>
      <c r="F157" s="32"/>
      <c r="H157" s="32"/>
      <c r="I157" s="32"/>
      <c r="J157" s="48"/>
      <c r="K157" s="48"/>
      <c r="L157" s="32"/>
      <c r="M157" s="32"/>
      <c r="N157" s="33"/>
      <c r="O157" s="33"/>
      <c r="P157" s="32"/>
      <c r="Q157" s="32"/>
      <c r="R157" s="32"/>
      <c r="U157" s="23"/>
      <c r="V157" s="32"/>
      <c r="Z157" s="32"/>
      <c r="AA157" s="48"/>
      <c r="AB157" s="32"/>
      <c r="AC157" s="32"/>
      <c r="AD157" s="33"/>
      <c r="AE157" s="33"/>
      <c r="AF157" s="32"/>
      <c r="AG157" s="32"/>
      <c r="AH157" s="44"/>
      <c r="AI157" s="44"/>
      <c r="AJ157" s="32"/>
      <c r="AK157" s="32"/>
      <c r="AL157" s="32"/>
      <c r="AM157" s="32"/>
      <c r="AN157" s="33"/>
      <c r="AO157" s="33"/>
    </row>
    <row r="158" spans="1:41" x14ac:dyDescent="0.3">
      <c r="F158" s="34"/>
      <c r="H158" s="34"/>
      <c r="I158" s="34"/>
      <c r="J158" s="198"/>
      <c r="K158" s="198"/>
      <c r="L158" s="34"/>
      <c r="M158" s="34"/>
      <c r="N158" s="34"/>
      <c r="O158" s="34"/>
      <c r="P158" s="34"/>
      <c r="Q158" s="34"/>
      <c r="R158" s="34"/>
      <c r="V158" s="34"/>
      <c r="Z158" s="34"/>
      <c r="AA158" s="198"/>
      <c r="AB158" s="34"/>
      <c r="AC158" s="34"/>
      <c r="AD158" s="34"/>
      <c r="AE158" s="34"/>
      <c r="AF158" s="34"/>
      <c r="AG158" s="34"/>
      <c r="AJ158" s="34"/>
      <c r="AK158" s="34"/>
      <c r="AL158" s="34"/>
      <c r="AM158" s="34"/>
    </row>
    <row r="159" spans="1:41" x14ac:dyDescent="0.3">
      <c r="R159" s="32"/>
    </row>
    <row r="160" spans="1:41" x14ac:dyDescent="0.3">
      <c r="R160" s="32"/>
    </row>
    <row r="161" spans="1:41" x14ac:dyDescent="0.3">
      <c r="R161" s="32"/>
    </row>
    <row r="162" spans="1:41" x14ac:dyDescent="0.3">
      <c r="A162" s="22"/>
      <c r="C162" s="23"/>
      <c r="D162" s="23"/>
      <c r="E162" s="23"/>
      <c r="H162" s="32"/>
      <c r="I162" s="32"/>
      <c r="J162" s="48"/>
      <c r="K162" s="48"/>
      <c r="L162" s="32"/>
      <c r="M162" s="32"/>
      <c r="N162" s="33"/>
      <c r="O162" s="33"/>
      <c r="P162" s="32"/>
      <c r="Q162" s="32"/>
      <c r="R162" s="32"/>
      <c r="T162" s="23"/>
      <c r="U162" s="23"/>
      <c r="Z162" s="32"/>
      <c r="AA162" s="48"/>
      <c r="AB162" s="32"/>
      <c r="AC162" s="32"/>
      <c r="AD162" s="33"/>
      <c r="AE162" s="33"/>
    </row>
    <row r="163" spans="1:41" x14ac:dyDescent="0.3">
      <c r="H163" s="32"/>
      <c r="I163" s="32"/>
      <c r="J163" s="48"/>
      <c r="K163" s="48"/>
      <c r="L163" s="32"/>
      <c r="M163" s="32"/>
      <c r="N163" s="33"/>
      <c r="O163" s="33"/>
      <c r="P163" s="32"/>
      <c r="Q163" s="32"/>
      <c r="R163" s="32"/>
      <c r="Z163" s="32"/>
      <c r="AA163" s="48"/>
      <c r="AB163" s="32"/>
      <c r="AC163" s="32"/>
      <c r="AD163" s="33"/>
      <c r="AE163" s="33"/>
    </row>
    <row r="164" spans="1:41" x14ac:dyDescent="0.3">
      <c r="A164" s="22"/>
      <c r="C164" s="23"/>
      <c r="F164" s="195"/>
      <c r="H164" s="195"/>
      <c r="I164" s="195"/>
      <c r="J164" s="58"/>
      <c r="K164" s="58"/>
      <c r="L164" s="195"/>
      <c r="M164" s="195"/>
      <c r="N164" s="33"/>
      <c r="O164" s="33"/>
      <c r="P164" s="32"/>
      <c r="Q164" s="32"/>
      <c r="R164" s="32"/>
      <c r="T164" s="23"/>
      <c r="V164" s="32"/>
      <c r="Z164" s="32"/>
      <c r="AA164" s="58"/>
      <c r="AB164" s="32"/>
      <c r="AC164" s="32"/>
      <c r="AD164" s="33"/>
      <c r="AE164" s="33"/>
      <c r="AF164" s="32"/>
      <c r="AG164" s="32"/>
      <c r="AH164" s="44"/>
      <c r="AI164" s="44"/>
      <c r="AJ164" s="32"/>
      <c r="AK164" s="32"/>
      <c r="AL164" s="32"/>
      <c r="AM164" s="32"/>
      <c r="AN164" s="33"/>
      <c r="AO164" s="33"/>
    </row>
    <row r="165" spans="1:41" x14ac:dyDescent="0.3">
      <c r="F165" s="195"/>
      <c r="H165" s="207"/>
      <c r="I165" s="207"/>
      <c r="J165" s="207"/>
      <c r="K165" s="207"/>
      <c r="R165" s="32"/>
      <c r="V165" s="32"/>
      <c r="AA165" s="207"/>
    </row>
    <row r="166" spans="1:41" x14ac:dyDescent="0.3">
      <c r="A166" s="22"/>
      <c r="C166" s="23"/>
      <c r="F166" s="195"/>
      <c r="H166" s="195"/>
      <c r="I166" s="195"/>
      <c r="J166" s="119"/>
      <c r="K166" s="119"/>
      <c r="L166" s="32"/>
      <c r="M166" s="32"/>
      <c r="N166" s="33"/>
      <c r="O166" s="33"/>
      <c r="P166" s="32"/>
      <c r="Q166" s="32"/>
      <c r="R166" s="32"/>
      <c r="T166" s="23"/>
      <c r="V166" s="32"/>
      <c r="Z166" s="32"/>
      <c r="AA166" s="119"/>
      <c r="AB166" s="32"/>
      <c r="AC166" s="32"/>
      <c r="AD166" s="33"/>
      <c r="AE166" s="33"/>
      <c r="AF166" s="32"/>
      <c r="AG166" s="32"/>
      <c r="AH166" s="44"/>
      <c r="AI166" s="44"/>
      <c r="AJ166" s="32"/>
      <c r="AK166" s="32"/>
      <c r="AL166" s="32"/>
      <c r="AM166" s="32"/>
      <c r="AN166" s="33"/>
      <c r="AO166" s="33"/>
    </row>
    <row r="167" spans="1:41" x14ac:dyDescent="0.3">
      <c r="F167" s="195"/>
      <c r="H167" s="207"/>
      <c r="I167" s="207"/>
      <c r="J167" s="207"/>
      <c r="K167" s="207"/>
      <c r="R167" s="32"/>
      <c r="V167" s="32"/>
      <c r="AA167" s="207"/>
    </row>
    <row r="168" spans="1:41" x14ac:dyDescent="0.3">
      <c r="A168" s="22"/>
      <c r="C168" s="23"/>
      <c r="F168" s="195"/>
      <c r="H168" s="195"/>
      <c r="I168" s="195"/>
      <c r="J168" s="197"/>
      <c r="K168" s="197"/>
      <c r="L168" s="32"/>
      <c r="M168" s="32"/>
      <c r="N168" s="33"/>
      <c r="O168" s="33"/>
      <c r="P168" s="32"/>
      <c r="Q168" s="32"/>
      <c r="R168" s="32"/>
      <c r="T168" s="23"/>
      <c r="V168" s="32"/>
      <c r="Z168" s="32"/>
      <c r="AA168" s="200"/>
      <c r="AB168" s="32"/>
      <c r="AC168" s="32"/>
      <c r="AD168" s="33"/>
      <c r="AE168" s="33"/>
      <c r="AF168" s="32"/>
      <c r="AG168" s="32"/>
      <c r="AH168" s="44"/>
      <c r="AI168" s="44"/>
      <c r="AJ168" s="32"/>
      <c r="AK168" s="32"/>
      <c r="AL168" s="32"/>
      <c r="AM168" s="32"/>
      <c r="AN168" s="33"/>
      <c r="AO168" s="33"/>
    </row>
    <row r="169" spans="1:41" x14ac:dyDescent="0.3">
      <c r="F169" s="34"/>
      <c r="H169" s="34"/>
      <c r="I169" s="34"/>
      <c r="J169" s="198"/>
      <c r="K169" s="198"/>
      <c r="L169" s="34"/>
      <c r="M169" s="34"/>
      <c r="N169" s="34"/>
      <c r="O169" s="34"/>
      <c r="P169" s="34"/>
      <c r="Q169" s="34"/>
      <c r="R169" s="34"/>
      <c r="S169" s="32"/>
      <c r="V169" s="34"/>
      <c r="Z169" s="34"/>
      <c r="AA169" s="198"/>
      <c r="AB169" s="34"/>
      <c r="AC169" s="34"/>
      <c r="AD169" s="34"/>
      <c r="AE169" s="34"/>
      <c r="AF169" s="34"/>
      <c r="AG169" s="34"/>
      <c r="AJ169" s="34"/>
      <c r="AK169" s="34"/>
      <c r="AL169" s="34"/>
      <c r="AM169" s="34"/>
    </row>
    <row r="170" spans="1:41" x14ac:dyDescent="0.3">
      <c r="A170" s="22"/>
      <c r="D170" s="23"/>
      <c r="E170" s="23"/>
      <c r="F170" s="32"/>
      <c r="H170" s="32"/>
      <c r="I170" s="32"/>
      <c r="J170" s="48"/>
      <c r="K170" s="48"/>
      <c r="L170" s="32"/>
      <c r="M170" s="32"/>
      <c r="N170" s="33"/>
      <c r="O170" s="33"/>
      <c r="P170" s="195"/>
      <c r="Q170" s="195"/>
      <c r="R170" s="32"/>
      <c r="S170" s="32"/>
      <c r="U170" s="23"/>
      <c r="V170" s="32"/>
      <c r="Z170" s="32"/>
      <c r="AA170" s="48"/>
      <c r="AB170" s="32"/>
      <c r="AC170" s="32"/>
      <c r="AD170" s="33"/>
      <c r="AE170" s="33"/>
      <c r="AF170" s="32"/>
      <c r="AG170" s="32"/>
      <c r="AH170" s="44"/>
      <c r="AI170" s="44"/>
      <c r="AJ170" s="195"/>
      <c r="AK170" s="195"/>
      <c r="AL170" s="32"/>
      <c r="AM170" s="32"/>
      <c r="AN170" s="33"/>
      <c r="AO170" s="33"/>
    </row>
    <row r="171" spans="1:41" x14ac:dyDescent="0.3">
      <c r="F171" s="34"/>
      <c r="H171" s="34"/>
      <c r="I171" s="34"/>
      <c r="J171" s="198"/>
      <c r="K171" s="198"/>
      <c r="L171" s="34"/>
      <c r="M171" s="34"/>
      <c r="N171" s="34"/>
      <c r="O171" s="34"/>
      <c r="P171" s="34"/>
      <c r="Q171" s="34"/>
      <c r="R171" s="34"/>
      <c r="S171" s="32"/>
      <c r="V171" s="34"/>
      <c r="Z171" s="34"/>
      <c r="AA171" s="198"/>
      <c r="AB171" s="34"/>
      <c r="AC171" s="34"/>
      <c r="AD171" s="34"/>
      <c r="AE171" s="34"/>
      <c r="AF171" s="34"/>
      <c r="AG171" s="34"/>
      <c r="AJ171" s="34"/>
      <c r="AK171" s="34"/>
      <c r="AL171" s="34"/>
      <c r="AM171" s="34"/>
    </row>
    <row r="172" spans="1:41" x14ac:dyDescent="0.3">
      <c r="R172" s="32"/>
    </row>
    <row r="173" spans="1:41" x14ac:dyDescent="0.3">
      <c r="F173" s="32"/>
      <c r="H173" s="32"/>
      <c r="I173" s="32"/>
      <c r="J173" s="48"/>
      <c r="K173" s="48"/>
      <c r="L173" s="32"/>
      <c r="M173" s="32"/>
      <c r="N173" s="32"/>
      <c r="O173" s="32"/>
      <c r="P173" s="32"/>
      <c r="Q173" s="32"/>
      <c r="R173" s="32"/>
      <c r="V173" s="32"/>
      <c r="Z173" s="32"/>
      <c r="AA173" s="48"/>
      <c r="AB173" s="32"/>
      <c r="AC173" s="32"/>
      <c r="AD173" s="32"/>
      <c r="AE173" s="32"/>
    </row>
    <row r="174" spans="1:41" x14ac:dyDescent="0.3">
      <c r="C174" s="23"/>
      <c r="F174" s="32"/>
      <c r="H174" s="32"/>
      <c r="I174" s="32"/>
      <c r="J174" s="48"/>
      <c r="K174" s="48"/>
      <c r="L174" s="32"/>
      <c r="M174" s="32"/>
      <c r="N174" s="32"/>
      <c r="O174" s="32"/>
      <c r="P174" s="32"/>
      <c r="Q174" s="32"/>
      <c r="R174" s="32"/>
      <c r="T174" s="23"/>
      <c r="V174" s="32"/>
      <c r="Z174" s="32"/>
      <c r="AA174" s="48"/>
      <c r="AB174" s="32"/>
      <c r="AC174" s="32"/>
      <c r="AD174" s="32"/>
      <c r="AE174" s="32"/>
    </row>
    <row r="175" spans="1:41" x14ac:dyDescent="0.3">
      <c r="C175" s="23"/>
      <c r="T175" s="23"/>
    </row>
    <row r="176" spans="1:41" x14ac:dyDescent="0.3">
      <c r="A176" s="23"/>
    </row>
    <row r="178" spans="1:41" x14ac:dyDescent="0.3">
      <c r="J178" s="22"/>
      <c r="K178" s="22"/>
      <c r="AA178" s="22"/>
    </row>
    <row r="179" spans="1:41" x14ac:dyDescent="0.3">
      <c r="H179" s="23"/>
      <c r="I179" s="23"/>
      <c r="Z179" s="23"/>
    </row>
    <row r="180" spans="1:41" x14ac:dyDescent="0.3">
      <c r="J180" s="22"/>
      <c r="K180" s="22"/>
      <c r="AA180" s="22"/>
    </row>
    <row r="181" spans="1:41" x14ac:dyDescent="0.3">
      <c r="L181" s="23"/>
      <c r="M181" s="23"/>
      <c r="AB181" s="23"/>
      <c r="AC181" s="23"/>
    </row>
    <row r="182" spans="1:41" x14ac:dyDescent="0.3">
      <c r="A182" s="22"/>
      <c r="R182" s="23"/>
      <c r="AL182" s="23"/>
      <c r="AM182" s="23"/>
    </row>
    <row r="183" spans="1:41" x14ac:dyDescent="0.3">
      <c r="A183" s="22"/>
      <c r="R183" s="23"/>
      <c r="AL183" s="23"/>
      <c r="AM183" s="23"/>
    </row>
    <row r="184" spans="1:41" x14ac:dyDescent="0.3">
      <c r="A184" s="23"/>
      <c r="R184" s="23"/>
      <c r="AL184" s="23"/>
      <c r="AM184" s="23"/>
    </row>
    <row r="185" spans="1:41" x14ac:dyDescent="0.3">
      <c r="L185" s="23"/>
      <c r="M185" s="23"/>
      <c r="R185" s="22"/>
      <c r="AB185" s="23"/>
      <c r="AC185" s="23"/>
      <c r="AL185" s="22"/>
      <c r="AM185" s="22"/>
    </row>
    <row r="186" spans="1:4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1:41" x14ac:dyDescent="0.3">
      <c r="L187" s="30"/>
      <c r="M187" s="30"/>
      <c r="N187" s="30"/>
      <c r="O187" s="30"/>
      <c r="R187" s="30"/>
      <c r="AB187" s="30"/>
      <c r="AC187" s="30"/>
      <c r="AD187" s="30"/>
      <c r="AE187" s="30"/>
      <c r="AF187" s="30"/>
      <c r="AG187" s="30"/>
      <c r="AH187" s="30"/>
      <c r="AI187" s="30"/>
      <c r="AL187" s="30"/>
      <c r="AM187" s="30"/>
      <c r="AN187" s="30"/>
      <c r="AO187" s="30"/>
    </row>
    <row r="188" spans="1:41" x14ac:dyDescent="0.3">
      <c r="L188" s="30"/>
      <c r="M188" s="30"/>
      <c r="N188" s="30"/>
      <c r="O188" s="30"/>
      <c r="R188" s="30"/>
      <c r="AA188" s="30"/>
      <c r="AB188" s="30"/>
      <c r="AC188" s="30"/>
      <c r="AD188" s="30"/>
      <c r="AE188" s="30"/>
      <c r="AF188" s="30"/>
      <c r="AG188" s="30"/>
      <c r="AH188" s="30"/>
      <c r="AI188" s="30"/>
      <c r="AL188" s="30"/>
      <c r="AM188" s="30"/>
      <c r="AN188" s="30"/>
      <c r="AO188" s="30"/>
    </row>
    <row r="189" spans="1:41" x14ac:dyDescent="0.3">
      <c r="A189" s="30"/>
      <c r="C189" s="30"/>
      <c r="D189" s="30"/>
      <c r="E189" s="30"/>
      <c r="F189" s="30"/>
      <c r="J189" s="30"/>
      <c r="K189" s="30"/>
      <c r="L189" s="30"/>
      <c r="M189" s="30"/>
      <c r="N189" s="30"/>
      <c r="O189" s="30"/>
      <c r="P189" s="30"/>
      <c r="Q189" s="30"/>
      <c r="R189" s="30"/>
      <c r="T189" s="30"/>
      <c r="U189" s="30"/>
      <c r="V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x14ac:dyDescent="0.3">
      <c r="A190" s="30"/>
      <c r="C190" s="30"/>
      <c r="D190" s="30"/>
      <c r="E190" s="30"/>
      <c r="F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T190" s="30"/>
      <c r="U190" s="30"/>
      <c r="V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x14ac:dyDescent="0.3">
      <c r="C191" s="30"/>
      <c r="D191" s="30"/>
      <c r="E191" s="30"/>
      <c r="F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T191" s="30"/>
      <c r="U191" s="30"/>
      <c r="V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1:41" x14ac:dyDescent="0.3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x14ac:dyDescent="0.3">
      <c r="A194" s="22"/>
      <c r="C194" s="23"/>
      <c r="D194" s="23"/>
      <c r="E194" s="23"/>
      <c r="T194" s="23"/>
      <c r="U194" s="23"/>
    </row>
    <row r="195" spans="1:41" x14ac:dyDescent="0.3">
      <c r="A195" s="22"/>
      <c r="D195" s="23"/>
      <c r="E195" s="23"/>
      <c r="U195" s="23"/>
    </row>
    <row r="197" spans="1:41" x14ac:dyDescent="0.3">
      <c r="A197" s="22"/>
      <c r="C197" s="23"/>
      <c r="F197" s="32"/>
      <c r="J197" s="59"/>
      <c r="K197" s="59"/>
      <c r="L197" s="32"/>
      <c r="M197" s="32"/>
      <c r="R197" s="32"/>
      <c r="T197" s="23"/>
      <c r="V197" s="32"/>
      <c r="AA197" s="59"/>
      <c r="AB197" s="32"/>
      <c r="AC197" s="32"/>
      <c r="AL197" s="32"/>
      <c r="AM197" s="32"/>
    </row>
    <row r="198" spans="1:41" x14ac:dyDescent="0.3">
      <c r="F198" s="32"/>
      <c r="R198" s="32"/>
      <c r="V198" s="32"/>
      <c r="AL198" s="32"/>
      <c r="AM198" s="32"/>
    </row>
    <row r="199" spans="1:41" x14ac:dyDescent="0.3">
      <c r="A199" s="22"/>
      <c r="C199" s="23"/>
      <c r="F199" s="195"/>
      <c r="H199" s="195"/>
      <c r="I199" s="195"/>
      <c r="J199" s="119"/>
      <c r="K199" s="119"/>
      <c r="L199" s="32"/>
      <c r="M199" s="32"/>
      <c r="N199" s="33"/>
      <c r="O199" s="33"/>
      <c r="P199" s="32"/>
      <c r="Q199" s="32"/>
      <c r="R199" s="32"/>
      <c r="T199" s="23"/>
      <c r="V199" s="32"/>
      <c r="Z199" s="32"/>
      <c r="AA199" s="119"/>
      <c r="AB199" s="32"/>
      <c r="AC199" s="32"/>
      <c r="AD199" s="33"/>
      <c r="AE199" s="33"/>
      <c r="AF199" s="32"/>
      <c r="AG199" s="32"/>
      <c r="AH199" s="44"/>
      <c r="AI199" s="44"/>
      <c r="AJ199" s="32"/>
      <c r="AK199" s="32"/>
      <c r="AL199" s="32"/>
      <c r="AM199" s="32"/>
      <c r="AN199" s="33"/>
      <c r="AO199" s="33"/>
    </row>
    <row r="200" spans="1:41" x14ac:dyDescent="0.3">
      <c r="A200" s="22"/>
      <c r="C200" s="23"/>
      <c r="F200" s="195"/>
      <c r="H200" s="207"/>
      <c r="I200" s="207"/>
      <c r="J200" s="119"/>
      <c r="K200" s="119"/>
      <c r="L200" s="32"/>
      <c r="M200" s="32"/>
      <c r="N200" s="33"/>
      <c r="O200" s="33"/>
      <c r="P200" s="32"/>
      <c r="Q200" s="32"/>
      <c r="R200" s="32"/>
      <c r="T200" s="23"/>
      <c r="V200" s="32"/>
      <c r="Z200" s="32"/>
      <c r="AA200" s="119"/>
      <c r="AB200" s="32"/>
      <c r="AC200" s="32"/>
      <c r="AD200" s="33"/>
      <c r="AE200" s="33"/>
      <c r="AF200" s="32"/>
      <c r="AG200" s="32"/>
      <c r="AH200" s="44"/>
      <c r="AI200" s="44"/>
      <c r="AJ200" s="32"/>
      <c r="AK200" s="32"/>
      <c r="AL200" s="32"/>
      <c r="AM200" s="32"/>
      <c r="AN200" s="33"/>
      <c r="AO200" s="33"/>
    </row>
    <row r="201" spans="1:41" x14ac:dyDescent="0.3">
      <c r="F201" s="34"/>
      <c r="H201" s="32"/>
      <c r="I201" s="32"/>
      <c r="J201" s="198"/>
      <c r="K201" s="198"/>
      <c r="L201" s="34"/>
      <c r="M201" s="34"/>
      <c r="N201" s="34"/>
      <c r="O201" s="34"/>
      <c r="P201" s="34"/>
      <c r="Q201" s="34"/>
      <c r="R201" s="34"/>
      <c r="V201" s="34"/>
      <c r="Z201" s="32"/>
      <c r="AA201" s="198"/>
      <c r="AB201" s="34"/>
      <c r="AC201" s="34"/>
      <c r="AD201" s="34"/>
      <c r="AE201" s="34"/>
      <c r="AF201" s="34"/>
      <c r="AG201" s="34"/>
      <c r="AJ201" s="34"/>
      <c r="AK201" s="34"/>
      <c r="AL201" s="34"/>
      <c r="AM201" s="34"/>
    </row>
    <row r="202" spans="1:41" x14ac:dyDescent="0.3">
      <c r="A202" s="22"/>
      <c r="C202" s="23"/>
      <c r="F202" s="32"/>
      <c r="H202" s="32"/>
      <c r="I202" s="32"/>
      <c r="J202" s="48"/>
      <c r="K202" s="48"/>
      <c r="L202" s="32"/>
      <c r="M202" s="32"/>
      <c r="N202" s="33"/>
      <c r="O202" s="33"/>
      <c r="P202" s="32"/>
      <c r="Q202" s="32"/>
      <c r="R202" s="32"/>
      <c r="T202" s="23"/>
      <c r="V202" s="32"/>
      <c r="Z202" s="32"/>
      <c r="AA202" s="48"/>
      <c r="AB202" s="32"/>
      <c r="AC202" s="32"/>
      <c r="AD202" s="33"/>
      <c r="AE202" s="33"/>
      <c r="AF202" s="32"/>
      <c r="AG202" s="32"/>
      <c r="AH202" s="44"/>
      <c r="AI202" s="44"/>
      <c r="AJ202" s="32"/>
      <c r="AK202" s="32"/>
      <c r="AL202" s="32"/>
      <c r="AM202" s="32"/>
      <c r="AN202" s="33"/>
      <c r="AO202" s="33"/>
    </row>
    <row r="203" spans="1:41" x14ac:dyDescent="0.3">
      <c r="F203" s="34"/>
      <c r="H203" s="32"/>
      <c r="I203" s="32"/>
      <c r="J203" s="198"/>
      <c r="K203" s="198"/>
      <c r="L203" s="34"/>
      <c r="M203" s="34"/>
      <c r="N203" s="34"/>
      <c r="O203" s="34"/>
      <c r="P203" s="34"/>
      <c r="Q203" s="34"/>
      <c r="R203" s="34"/>
      <c r="V203" s="34"/>
      <c r="Z203" s="32"/>
      <c r="AA203" s="198"/>
      <c r="AB203" s="34"/>
      <c r="AC203" s="34"/>
      <c r="AD203" s="34"/>
      <c r="AE203" s="34"/>
      <c r="AF203" s="34"/>
      <c r="AG203" s="34"/>
      <c r="AJ203" s="34"/>
      <c r="AK203" s="34"/>
      <c r="AL203" s="34"/>
      <c r="AM203" s="34"/>
    </row>
    <row r="204" spans="1:41" x14ac:dyDescent="0.3">
      <c r="F204" s="32"/>
      <c r="R204" s="32"/>
      <c r="V204" s="32"/>
      <c r="AL204" s="32"/>
      <c r="AM204" s="32"/>
    </row>
    <row r="205" spans="1:41" x14ac:dyDescent="0.3">
      <c r="A205" s="22"/>
      <c r="C205" s="23"/>
      <c r="F205" s="32"/>
      <c r="R205" s="32"/>
      <c r="T205" s="23"/>
      <c r="V205" s="32"/>
      <c r="AL205" s="32"/>
      <c r="AM205" s="32"/>
    </row>
    <row r="206" spans="1:41" x14ac:dyDescent="0.3">
      <c r="F206" s="32"/>
      <c r="R206" s="32"/>
      <c r="V206" s="32"/>
      <c r="AL206" s="32"/>
      <c r="AM206" s="32"/>
    </row>
    <row r="207" spans="1:41" x14ac:dyDescent="0.3">
      <c r="A207" s="22"/>
      <c r="C207" s="23"/>
      <c r="F207" s="32"/>
      <c r="H207" s="195"/>
      <c r="I207" s="195"/>
      <c r="J207" s="197"/>
      <c r="K207" s="197"/>
      <c r="L207" s="32"/>
      <c r="M207" s="32"/>
      <c r="N207" s="33"/>
      <c r="O207" s="33"/>
      <c r="P207" s="195"/>
      <c r="Q207" s="195"/>
      <c r="R207" s="32"/>
      <c r="T207" s="23"/>
      <c r="V207" s="32"/>
      <c r="Z207" s="32"/>
      <c r="AA207" s="200"/>
      <c r="AB207" s="32"/>
      <c r="AC207" s="32"/>
      <c r="AD207" s="33"/>
      <c r="AE207" s="33"/>
      <c r="AF207" s="32"/>
      <c r="AG207" s="32"/>
      <c r="AH207" s="44"/>
      <c r="AI207" s="44"/>
      <c r="AJ207" s="195"/>
      <c r="AK207" s="195"/>
      <c r="AL207" s="32"/>
      <c r="AM207" s="32"/>
      <c r="AN207" s="33"/>
      <c r="AO207" s="33"/>
    </row>
    <row r="208" spans="1:41" x14ac:dyDescent="0.3">
      <c r="F208" s="34"/>
      <c r="H208" s="34"/>
      <c r="I208" s="34"/>
      <c r="J208" s="198"/>
      <c r="K208" s="198"/>
      <c r="L208" s="34"/>
      <c r="M208" s="34"/>
      <c r="N208" s="34"/>
      <c r="O208" s="34"/>
      <c r="P208" s="34"/>
      <c r="Q208" s="34"/>
      <c r="R208" s="34"/>
      <c r="V208" s="34"/>
      <c r="Z208" s="34"/>
      <c r="AA208" s="198"/>
      <c r="AB208" s="34"/>
      <c r="AC208" s="34"/>
      <c r="AD208" s="34"/>
      <c r="AE208" s="34"/>
      <c r="AF208" s="34"/>
      <c r="AG208" s="34"/>
      <c r="AJ208" s="34"/>
      <c r="AK208" s="34"/>
      <c r="AL208" s="34"/>
      <c r="AM208" s="34"/>
    </row>
    <row r="210" spans="1:41" x14ac:dyDescent="0.3">
      <c r="A210" s="22"/>
      <c r="C210" s="23"/>
      <c r="F210" s="32"/>
      <c r="H210" s="32"/>
      <c r="I210" s="32"/>
      <c r="J210" s="59"/>
      <c r="K210" s="59"/>
      <c r="L210" s="32"/>
      <c r="M210" s="32"/>
      <c r="N210" s="33"/>
      <c r="O210" s="33"/>
      <c r="P210" s="32"/>
      <c r="Q210" s="32"/>
      <c r="R210" s="32"/>
      <c r="T210" s="23"/>
      <c r="V210" s="32"/>
      <c r="Z210" s="32"/>
      <c r="AA210" s="59"/>
      <c r="AB210" s="32"/>
      <c r="AC210" s="32"/>
      <c r="AD210" s="33"/>
      <c r="AE210" s="33"/>
      <c r="AF210" s="32"/>
      <c r="AG210" s="32"/>
      <c r="AH210" s="44"/>
      <c r="AI210" s="44"/>
      <c r="AJ210" s="32"/>
      <c r="AK210" s="32"/>
      <c r="AL210" s="32"/>
      <c r="AM210" s="32"/>
      <c r="AN210" s="33"/>
      <c r="AO210" s="33"/>
    </row>
    <row r="211" spans="1:41" x14ac:dyDescent="0.3">
      <c r="F211" s="34"/>
      <c r="H211" s="34"/>
      <c r="I211" s="34"/>
      <c r="J211" s="198"/>
      <c r="K211" s="198"/>
      <c r="L211" s="34"/>
      <c r="M211" s="34"/>
      <c r="N211" s="34"/>
      <c r="O211" s="34"/>
      <c r="P211" s="34"/>
      <c r="Q211" s="34"/>
      <c r="R211" s="34"/>
      <c r="V211" s="34"/>
      <c r="Z211" s="34"/>
      <c r="AA211" s="198"/>
      <c r="AB211" s="34"/>
      <c r="AC211" s="34"/>
      <c r="AD211" s="34"/>
      <c r="AE211" s="34"/>
      <c r="AF211" s="34"/>
      <c r="AG211" s="34"/>
      <c r="AJ211" s="34"/>
      <c r="AK211" s="34"/>
      <c r="AL211" s="34"/>
      <c r="AM211" s="34"/>
    </row>
    <row r="212" spans="1:41" x14ac:dyDescent="0.3">
      <c r="R212" s="32"/>
      <c r="AH212" s="32"/>
      <c r="AI212" s="32"/>
    </row>
    <row r="213" spans="1:41" x14ac:dyDescent="0.3">
      <c r="F213" s="32"/>
      <c r="H213" s="32"/>
      <c r="I213" s="32"/>
      <c r="J213" s="48"/>
      <c r="K213" s="48"/>
      <c r="L213" s="32"/>
      <c r="M213" s="32"/>
      <c r="N213" s="32"/>
      <c r="O213" s="32"/>
      <c r="P213" s="32"/>
      <c r="Q213" s="32"/>
      <c r="R213" s="32"/>
      <c r="V213" s="32"/>
      <c r="Z213" s="32"/>
      <c r="AA213" s="48"/>
      <c r="AB213" s="32"/>
      <c r="AC213" s="32"/>
      <c r="AD213" s="32"/>
      <c r="AE213" s="32"/>
      <c r="AF213" s="32"/>
      <c r="AG213" s="32"/>
      <c r="AH213" s="32"/>
      <c r="AI213" s="32"/>
    </row>
    <row r="214" spans="1:41" x14ac:dyDescent="0.3">
      <c r="C214" s="23"/>
      <c r="F214" s="32"/>
      <c r="H214" s="32"/>
      <c r="I214" s="32"/>
      <c r="J214" s="48"/>
      <c r="K214" s="48"/>
      <c r="L214" s="32"/>
      <c r="M214" s="32"/>
      <c r="N214" s="32"/>
      <c r="O214" s="32"/>
      <c r="P214" s="32"/>
      <c r="Q214" s="32"/>
      <c r="R214" s="32"/>
      <c r="T214" s="23"/>
      <c r="V214" s="32"/>
      <c r="Z214" s="32"/>
      <c r="AA214" s="48"/>
      <c r="AB214" s="32"/>
      <c r="AC214" s="32"/>
      <c r="AD214" s="32"/>
      <c r="AE214" s="32"/>
      <c r="AF214" s="32"/>
      <c r="AG214" s="32"/>
      <c r="AH214" s="32"/>
      <c r="AI214" s="32"/>
    </row>
    <row r="215" spans="1:41" x14ac:dyDescent="0.3">
      <c r="A215" s="23"/>
    </row>
    <row r="217" spans="1:41" x14ac:dyDescent="0.3">
      <c r="J217" s="22"/>
      <c r="K217" s="22"/>
      <c r="AA217" s="22"/>
    </row>
    <row r="218" spans="1:41" x14ac:dyDescent="0.3">
      <c r="H218" s="23"/>
      <c r="I218" s="23"/>
      <c r="Z218" s="23"/>
    </row>
    <row r="219" spans="1:41" x14ac:dyDescent="0.3">
      <c r="J219" s="22"/>
      <c r="K219" s="22"/>
      <c r="AA219" s="22"/>
    </row>
    <row r="220" spans="1:41" x14ac:dyDescent="0.3">
      <c r="L220" s="23"/>
      <c r="M220" s="23"/>
      <c r="AB220" s="23"/>
      <c r="AC220" s="23"/>
    </row>
    <row r="221" spans="1:41" x14ac:dyDescent="0.3">
      <c r="A221" s="22"/>
      <c r="R221" s="23"/>
      <c r="AL221" s="23"/>
      <c r="AM221" s="23"/>
    </row>
    <row r="222" spans="1:41" x14ac:dyDescent="0.3">
      <c r="A222" s="22"/>
      <c r="R222" s="23"/>
      <c r="AL222" s="23"/>
      <c r="AM222" s="23"/>
    </row>
    <row r="223" spans="1:41" x14ac:dyDescent="0.3">
      <c r="A223" s="23"/>
      <c r="R223" s="23"/>
      <c r="AL223" s="23"/>
      <c r="AM223" s="23"/>
    </row>
    <row r="224" spans="1:41" x14ac:dyDescent="0.3">
      <c r="L224" s="23"/>
      <c r="M224" s="23"/>
      <c r="R224" s="22"/>
      <c r="AB224" s="23"/>
      <c r="AC224" s="23"/>
      <c r="AL224" s="22"/>
      <c r="AM224" s="22"/>
    </row>
    <row r="225" spans="1:4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1:41" x14ac:dyDescent="0.3">
      <c r="L226" s="30"/>
      <c r="M226" s="30"/>
      <c r="N226" s="30"/>
      <c r="O226" s="30"/>
      <c r="R226" s="30"/>
      <c r="AB226" s="30"/>
      <c r="AC226" s="30"/>
      <c r="AD226" s="30"/>
      <c r="AE226" s="30"/>
      <c r="AF226" s="30"/>
      <c r="AG226" s="30"/>
      <c r="AH226" s="30"/>
      <c r="AI226" s="30"/>
      <c r="AL226" s="30"/>
      <c r="AM226" s="30"/>
      <c r="AN226" s="30"/>
      <c r="AO226" s="30"/>
    </row>
    <row r="227" spans="1:41" x14ac:dyDescent="0.3">
      <c r="L227" s="30"/>
      <c r="M227" s="30"/>
      <c r="N227" s="30"/>
      <c r="O227" s="30"/>
      <c r="R227" s="30"/>
      <c r="AA227" s="30"/>
      <c r="AB227" s="30"/>
      <c r="AC227" s="30"/>
      <c r="AD227" s="30"/>
      <c r="AE227" s="30"/>
      <c r="AF227" s="30"/>
      <c r="AG227" s="30"/>
      <c r="AH227" s="30"/>
      <c r="AI227" s="30"/>
      <c r="AL227" s="30"/>
      <c r="AM227" s="30"/>
      <c r="AN227" s="30"/>
      <c r="AO227" s="30"/>
    </row>
    <row r="228" spans="1:41" x14ac:dyDescent="0.3">
      <c r="A228" s="30"/>
      <c r="C228" s="30"/>
      <c r="D228" s="30"/>
      <c r="E228" s="30"/>
      <c r="F228" s="30"/>
      <c r="J228" s="30"/>
      <c r="K228" s="30"/>
      <c r="L228" s="30"/>
      <c r="M228" s="30"/>
      <c r="N228" s="30"/>
      <c r="O228" s="30"/>
      <c r="P228" s="30"/>
      <c r="Q228" s="30"/>
      <c r="R228" s="30"/>
      <c r="T228" s="30"/>
      <c r="U228" s="30"/>
      <c r="V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x14ac:dyDescent="0.3">
      <c r="A229" s="30"/>
      <c r="C229" s="30"/>
      <c r="D229" s="30"/>
      <c r="E229" s="30"/>
      <c r="F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T229" s="30"/>
      <c r="U229" s="30"/>
      <c r="V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x14ac:dyDescent="0.3">
      <c r="C230" s="30"/>
      <c r="D230" s="30"/>
      <c r="E230" s="30"/>
      <c r="F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T230" s="30"/>
      <c r="U230" s="30"/>
      <c r="V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1:41" x14ac:dyDescent="0.3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x14ac:dyDescent="0.3">
      <c r="A233" s="22"/>
      <c r="C233" s="23"/>
      <c r="D233" s="23"/>
      <c r="E233" s="23"/>
      <c r="T233" s="23"/>
      <c r="U233" s="23"/>
    </row>
    <row r="234" spans="1:41" x14ac:dyDescent="0.3">
      <c r="A234" s="22"/>
      <c r="C234" s="23"/>
      <c r="T234" s="23"/>
    </row>
    <row r="236" spans="1:41" x14ac:dyDescent="0.3">
      <c r="A236" s="22"/>
      <c r="C236" s="23"/>
      <c r="F236" s="195"/>
      <c r="H236" s="195"/>
      <c r="I236" s="195"/>
      <c r="J236" s="119"/>
      <c r="K236" s="119"/>
      <c r="L236" s="32"/>
      <c r="M236" s="32"/>
      <c r="N236" s="33"/>
      <c r="O236" s="33"/>
      <c r="P236" s="22"/>
      <c r="Q236" s="22"/>
      <c r="R236" s="32"/>
      <c r="T236" s="23"/>
      <c r="V236" s="32"/>
      <c r="Z236" s="195"/>
      <c r="AA236" s="119"/>
      <c r="AB236" s="32"/>
      <c r="AC236" s="32"/>
      <c r="AD236" s="33"/>
      <c r="AE236" s="33"/>
      <c r="AF236" s="32"/>
      <c r="AG236" s="32"/>
      <c r="AH236" s="44"/>
      <c r="AI236" s="44"/>
      <c r="AJ236" s="22"/>
      <c r="AK236" s="22"/>
      <c r="AL236" s="32"/>
      <c r="AM236" s="32"/>
      <c r="AN236" s="33"/>
      <c r="AO236" s="33"/>
    </row>
    <row r="237" spans="1:41" x14ac:dyDescent="0.3">
      <c r="F237" s="34"/>
      <c r="H237" s="32"/>
      <c r="I237" s="32"/>
      <c r="J237" s="198"/>
      <c r="K237" s="198"/>
      <c r="L237" s="34"/>
      <c r="M237" s="34"/>
      <c r="N237" s="34"/>
      <c r="O237" s="34"/>
      <c r="P237" s="34"/>
      <c r="Q237" s="34"/>
      <c r="R237" s="34"/>
      <c r="V237" s="34"/>
      <c r="Z237" s="32"/>
      <c r="AA237" s="198"/>
      <c r="AB237" s="34"/>
      <c r="AC237" s="34"/>
      <c r="AD237" s="34"/>
      <c r="AE237" s="34"/>
      <c r="AF237" s="34"/>
      <c r="AG237" s="34"/>
      <c r="AJ237" s="34"/>
      <c r="AK237" s="34"/>
      <c r="AL237" s="34"/>
      <c r="AM237" s="34"/>
      <c r="AN237" s="33"/>
      <c r="AO237" s="33"/>
    </row>
    <row r="238" spans="1:41" x14ac:dyDescent="0.3">
      <c r="A238" s="22"/>
      <c r="C238" s="23"/>
      <c r="F238" s="195"/>
      <c r="H238" s="195"/>
      <c r="I238" s="195"/>
      <c r="J238" s="206"/>
      <c r="K238" s="206"/>
      <c r="L238" s="32"/>
      <c r="M238" s="32"/>
      <c r="N238" s="33"/>
      <c r="O238" s="33"/>
      <c r="P238" s="32"/>
      <c r="Q238" s="32"/>
      <c r="R238" s="32"/>
      <c r="S238" s="32"/>
      <c r="T238" s="23"/>
      <c r="V238" s="195"/>
      <c r="Z238" s="195"/>
      <c r="AA238" s="206"/>
      <c r="AB238" s="32"/>
      <c r="AC238" s="32"/>
      <c r="AD238" s="33"/>
      <c r="AE238" s="33"/>
      <c r="AF238" s="32"/>
      <c r="AG238" s="32"/>
      <c r="AH238" s="33"/>
      <c r="AI238" s="33"/>
      <c r="AJ238" s="32"/>
      <c r="AK238" s="32"/>
      <c r="AL238" s="32"/>
      <c r="AM238" s="32"/>
      <c r="AN238" s="33"/>
      <c r="AO238" s="33"/>
    </row>
    <row r="239" spans="1:41" x14ac:dyDescent="0.3">
      <c r="A239" s="22"/>
      <c r="C239" s="23"/>
      <c r="F239" s="195"/>
      <c r="H239" s="195"/>
      <c r="I239" s="195"/>
      <c r="J239" s="119"/>
      <c r="K239" s="119"/>
      <c r="L239" s="32"/>
      <c r="M239" s="32"/>
      <c r="N239" s="33"/>
      <c r="O239" s="33"/>
      <c r="P239" s="32"/>
      <c r="Q239" s="32"/>
      <c r="R239" s="32"/>
      <c r="T239" s="23"/>
      <c r="V239" s="195"/>
      <c r="Z239" s="32"/>
      <c r="AA239" s="119"/>
      <c r="AB239" s="32"/>
      <c r="AC239" s="32"/>
      <c r="AD239" s="33"/>
      <c r="AE239" s="33"/>
      <c r="AF239" s="32"/>
      <c r="AG239" s="32"/>
      <c r="AH239" s="44"/>
      <c r="AI239" s="44"/>
      <c r="AJ239" s="32"/>
      <c r="AK239" s="32"/>
      <c r="AL239" s="32"/>
      <c r="AM239" s="32"/>
      <c r="AN239" s="33"/>
      <c r="AO239" s="33"/>
    </row>
    <row r="240" spans="1:41" x14ac:dyDescent="0.3">
      <c r="A240" s="22"/>
      <c r="C240" s="23"/>
      <c r="F240" s="195"/>
      <c r="H240" s="195"/>
      <c r="I240" s="195"/>
      <c r="J240" s="119"/>
      <c r="K240" s="119"/>
      <c r="L240" s="32"/>
      <c r="M240" s="32"/>
      <c r="N240" s="33"/>
      <c r="O240" s="33"/>
      <c r="P240" s="32"/>
      <c r="Q240" s="32"/>
      <c r="R240" s="32"/>
      <c r="T240" s="23"/>
      <c r="V240" s="195"/>
      <c r="Z240" s="32"/>
      <c r="AA240" s="119"/>
      <c r="AB240" s="32"/>
      <c r="AC240" s="32"/>
      <c r="AD240" s="33"/>
      <c r="AE240" s="33"/>
      <c r="AF240" s="32"/>
      <c r="AG240" s="32"/>
      <c r="AH240" s="44"/>
      <c r="AI240" s="44"/>
      <c r="AJ240" s="32"/>
      <c r="AK240" s="32"/>
      <c r="AL240" s="32"/>
      <c r="AM240" s="32"/>
      <c r="AN240" s="33"/>
      <c r="AO240" s="33"/>
    </row>
    <row r="241" spans="1:41" x14ac:dyDescent="0.3">
      <c r="F241" s="34"/>
      <c r="H241" s="34"/>
      <c r="I241" s="34"/>
      <c r="J241" s="198"/>
      <c r="K241" s="198"/>
      <c r="L241" s="34"/>
      <c r="M241" s="34"/>
      <c r="N241" s="34"/>
      <c r="O241" s="34"/>
      <c r="P241" s="34"/>
      <c r="Q241" s="34"/>
      <c r="R241" s="34"/>
      <c r="V241" s="34"/>
      <c r="Z241" s="34"/>
      <c r="AA241" s="198"/>
      <c r="AB241" s="34"/>
      <c r="AC241" s="34"/>
      <c r="AD241" s="34"/>
      <c r="AE241" s="34"/>
      <c r="AF241" s="34"/>
      <c r="AG241" s="34"/>
      <c r="AJ241" s="34"/>
      <c r="AK241" s="34"/>
      <c r="AL241" s="34"/>
      <c r="AM241" s="34"/>
      <c r="AN241" s="33"/>
      <c r="AO241" s="33"/>
    </row>
    <row r="242" spans="1:41" x14ac:dyDescent="0.3">
      <c r="A242" s="22"/>
      <c r="C242" s="23"/>
      <c r="F242" s="32"/>
      <c r="H242" s="32"/>
      <c r="I242" s="32"/>
      <c r="J242" s="48"/>
      <c r="K242" s="48"/>
      <c r="L242" s="32"/>
      <c r="M242" s="32"/>
      <c r="N242" s="33"/>
      <c r="O242" s="33"/>
      <c r="P242" s="32"/>
      <c r="Q242" s="32"/>
      <c r="R242" s="32"/>
      <c r="T242" s="23"/>
      <c r="V242" s="32"/>
      <c r="Z242" s="32"/>
      <c r="AA242" s="48"/>
      <c r="AB242" s="32"/>
      <c r="AC242" s="32"/>
      <c r="AD242" s="33"/>
      <c r="AE242" s="33"/>
      <c r="AF242" s="32"/>
      <c r="AG242" s="32"/>
      <c r="AH242" s="44"/>
      <c r="AI242" s="44"/>
      <c r="AJ242" s="32"/>
      <c r="AK242" s="32"/>
      <c r="AL242" s="32"/>
      <c r="AM242" s="32"/>
      <c r="AN242" s="33"/>
      <c r="AO242" s="33"/>
    </row>
    <row r="243" spans="1:41" x14ac:dyDescent="0.3">
      <c r="F243" s="34"/>
      <c r="H243" s="34"/>
      <c r="I243" s="34"/>
      <c r="J243" s="198"/>
      <c r="K243" s="198"/>
      <c r="L243" s="34"/>
      <c r="M243" s="34"/>
      <c r="N243" s="34"/>
      <c r="O243" s="34"/>
      <c r="P243" s="34"/>
      <c r="Q243" s="34"/>
      <c r="R243" s="34"/>
      <c r="V243" s="34"/>
      <c r="Z243" s="34"/>
      <c r="AA243" s="198"/>
      <c r="AB243" s="34"/>
      <c r="AC243" s="34"/>
      <c r="AD243" s="34"/>
      <c r="AE243" s="34"/>
      <c r="AF243" s="34"/>
      <c r="AG243" s="34"/>
      <c r="AJ243" s="34"/>
      <c r="AK243" s="34"/>
      <c r="AL243" s="34"/>
      <c r="AM243" s="34"/>
      <c r="AN243" s="33"/>
      <c r="AO243" s="33"/>
    </row>
    <row r="244" spans="1:41" x14ac:dyDescent="0.3">
      <c r="A244" s="22"/>
      <c r="C244" s="23"/>
      <c r="F244" s="32"/>
      <c r="H244" s="32"/>
      <c r="I244" s="32"/>
      <c r="J244" s="48"/>
      <c r="K244" s="48"/>
      <c r="L244" s="32"/>
      <c r="M244" s="32"/>
      <c r="N244" s="33"/>
      <c r="O244" s="33"/>
      <c r="P244" s="32"/>
      <c r="Q244" s="32"/>
      <c r="R244" s="32"/>
      <c r="T244" s="23"/>
      <c r="V244" s="32"/>
      <c r="Z244" s="32"/>
      <c r="AA244" s="48"/>
      <c r="AB244" s="32"/>
      <c r="AC244" s="32"/>
      <c r="AD244" s="33"/>
      <c r="AE244" s="33"/>
      <c r="AF244" s="32"/>
      <c r="AG244" s="32"/>
      <c r="AH244" s="44"/>
      <c r="AI244" s="44"/>
      <c r="AJ244" s="32"/>
      <c r="AK244" s="32"/>
      <c r="AL244" s="32"/>
      <c r="AM244" s="32"/>
      <c r="AN244" s="33"/>
      <c r="AO244" s="33"/>
    </row>
    <row r="245" spans="1:41" x14ac:dyDescent="0.3">
      <c r="A245" s="22"/>
      <c r="C245" s="23"/>
      <c r="F245" s="32"/>
      <c r="H245" s="195"/>
      <c r="I245" s="195"/>
      <c r="J245" s="197"/>
      <c r="K245" s="197"/>
      <c r="L245" s="32"/>
      <c r="M245" s="32"/>
      <c r="N245" s="33"/>
      <c r="O245" s="33"/>
      <c r="P245" s="32"/>
      <c r="Q245" s="32"/>
      <c r="R245" s="32"/>
      <c r="T245" s="23"/>
      <c r="V245" s="32"/>
      <c r="Z245" s="32"/>
      <c r="AA245" s="200"/>
      <c r="AB245" s="32"/>
      <c r="AC245" s="32"/>
      <c r="AD245" s="33"/>
      <c r="AE245" s="33"/>
      <c r="AF245" s="32"/>
      <c r="AG245" s="32"/>
      <c r="AH245" s="44"/>
      <c r="AI245" s="44"/>
      <c r="AJ245" s="32"/>
      <c r="AK245" s="32"/>
      <c r="AL245" s="32"/>
      <c r="AM245" s="32"/>
      <c r="AN245" s="33"/>
      <c r="AO245" s="33"/>
    </row>
    <row r="246" spans="1:41" x14ac:dyDescent="0.3">
      <c r="F246" s="34"/>
      <c r="H246" s="34"/>
      <c r="I246" s="34"/>
      <c r="J246" s="198"/>
      <c r="K246" s="198"/>
      <c r="L246" s="34"/>
      <c r="M246" s="34"/>
      <c r="N246" s="34"/>
      <c r="O246" s="34"/>
      <c r="P246" s="34"/>
      <c r="Q246" s="34"/>
      <c r="R246" s="34"/>
      <c r="V246" s="34"/>
      <c r="Z246" s="34"/>
      <c r="AA246" s="198"/>
      <c r="AB246" s="34"/>
      <c r="AC246" s="34"/>
      <c r="AD246" s="34"/>
      <c r="AE246" s="34"/>
      <c r="AF246" s="34"/>
      <c r="AG246" s="34"/>
      <c r="AJ246" s="34"/>
      <c r="AK246" s="34"/>
      <c r="AL246" s="34"/>
      <c r="AM246" s="34"/>
      <c r="AN246" s="33"/>
      <c r="AO246" s="33"/>
    </row>
    <row r="248" spans="1:41" x14ac:dyDescent="0.3">
      <c r="A248" s="22"/>
      <c r="C248" s="23"/>
      <c r="F248" s="32"/>
      <c r="H248" s="32"/>
      <c r="I248" s="32"/>
      <c r="J248" s="198"/>
      <c r="K248" s="198"/>
      <c r="L248" s="32"/>
      <c r="M248" s="32"/>
      <c r="N248" s="33"/>
      <c r="O248" s="33"/>
      <c r="P248" s="32"/>
      <c r="Q248" s="32"/>
      <c r="R248" s="32"/>
      <c r="S248" s="32"/>
      <c r="T248" s="23"/>
      <c r="V248" s="32"/>
      <c r="Z248" s="32"/>
      <c r="AA248" s="198"/>
      <c r="AB248" s="32"/>
      <c r="AC248" s="32"/>
      <c r="AD248" s="33"/>
      <c r="AE248" s="33"/>
      <c r="AF248" s="32"/>
      <c r="AG248" s="32"/>
      <c r="AH248" s="33"/>
      <c r="AI248" s="33"/>
      <c r="AJ248" s="32"/>
      <c r="AK248" s="32"/>
      <c r="AL248" s="32"/>
      <c r="AM248" s="32"/>
      <c r="AN248" s="33"/>
      <c r="AO248" s="33"/>
    </row>
    <row r="249" spans="1:41" x14ac:dyDescent="0.3">
      <c r="F249" s="34"/>
      <c r="H249" s="34"/>
      <c r="I249" s="34"/>
      <c r="J249" s="198"/>
      <c r="K249" s="198"/>
      <c r="L249" s="34"/>
      <c r="M249" s="34"/>
      <c r="N249" s="34"/>
      <c r="O249" s="34"/>
      <c r="P249" s="34"/>
      <c r="Q249" s="34"/>
      <c r="R249" s="34"/>
      <c r="S249" s="32"/>
      <c r="V249" s="34"/>
      <c r="Z249" s="34"/>
      <c r="AA249" s="198"/>
      <c r="AB249" s="34"/>
      <c r="AC249" s="34"/>
      <c r="AD249" s="34"/>
      <c r="AE249" s="34"/>
      <c r="AF249" s="34"/>
      <c r="AG249" s="34"/>
      <c r="AJ249" s="34"/>
      <c r="AK249" s="34"/>
      <c r="AL249" s="34"/>
      <c r="AM249" s="34"/>
      <c r="AN249" s="33"/>
      <c r="AO249" s="33"/>
    </row>
    <row r="250" spans="1:41" x14ac:dyDescent="0.3">
      <c r="A250" s="22"/>
      <c r="C250" s="23"/>
      <c r="F250" s="195"/>
      <c r="H250" s="195"/>
      <c r="I250" s="195"/>
      <c r="J250" s="198"/>
      <c r="K250" s="198"/>
      <c r="L250" s="32"/>
      <c r="M250" s="32"/>
      <c r="N250" s="33"/>
      <c r="O250" s="33"/>
      <c r="P250" s="32"/>
      <c r="Q250" s="32"/>
      <c r="R250" s="32"/>
      <c r="S250" s="32"/>
      <c r="T250" s="23"/>
      <c r="V250" s="195"/>
      <c r="Z250" s="195"/>
      <c r="AA250" s="198"/>
      <c r="AB250" s="32"/>
      <c r="AC250" s="32"/>
      <c r="AD250" s="33"/>
      <c r="AE250" s="33"/>
      <c r="AF250" s="32"/>
      <c r="AG250" s="32"/>
      <c r="AJ250" s="32"/>
      <c r="AK250" s="32"/>
      <c r="AL250" s="32"/>
      <c r="AM250" s="32"/>
      <c r="AN250" s="33"/>
      <c r="AO250" s="33"/>
    </row>
    <row r="252" spans="1:41" x14ac:dyDescent="0.3">
      <c r="A252" s="22"/>
      <c r="C252" s="23"/>
      <c r="F252" s="195"/>
      <c r="H252" s="195"/>
      <c r="I252" s="195"/>
      <c r="J252" s="119"/>
      <c r="K252" s="119"/>
      <c r="L252" s="32"/>
      <c r="M252" s="32"/>
      <c r="N252" s="33"/>
      <c r="O252" s="33"/>
      <c r="P252" s="22"/>
      <c r="Q252" s="22"/>
      <c r="R252" s="32"/>
      <c r="T252" s="23"/>
      <c r="V252" s="32"/>
      <c r="Z252" s="195"/>
      <c r="AA252" s="119"/>
      <c r="AB252" s="32"/>
      <c r="AC252" s="32"/>
      <c r="AD252" s="33"/>
      <c r="AE252" s="33"/>
      <c r="AF252" s="32"/>
      <c r="AG252" s="32"/>
      <c r="AH252" s="44"/>
      <c r="AI252" s="44"/>
      <c r="AJ252" s="22"/>
      <c r="AK252" s="22"/>
      <c r="AL252" s="32"/>
      <c r="AM252" s="32"/>
      <c r="AN252" s="33"/>
      <c r="AO252" s="33"/>
    </row>
    <row r="253" spans="1:41" x14ac:dyDescent="0.3">
      <c r="F253" s="34"/>
      <c r="H253" s="32"/>
      <c r="I253" s="32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Z253" s="32"/>
      <c r="AA253" s="198"/>
      <c r="AB253" s="34"/>
      <c r="AC253" s="34"/>
      <c r="AD253" s="34"/>
      <c r="AE253" s="34"/>
      <c r="AF253" s="34"/>
      <c r="AG253" s="34"/>
      <c r="AJ253" s="34"/>
      <c r="AK253" s="34"/>
      <c r="AL253" s="34"/>
      <c r="AM253" s="34"/>
      <c r="AN253" s="33"/>
      <c r="AO253" s="33"/>
    </row>
    <row r="254" spans="1:41" x14ac:dyDescent="0.3">
      <c r="A254" s="22"/>
      <c r="C254" s="23"/>
      <c r="F254" s="195"/>
      <c r="H254" s="195"/>
      <c r="I254" s="195"/>
      <c r="J254" s="206"/>
      <c r="K254" s="206"/>
      <c r="L254" s="32"/>
      <c r="M254" s="32"/>
      <c r="N254" s="33"/>
      <c r="O254" s="33"/>
      <c r="P254" s="32"/>
      <c r="Q254" s="32"/>
      <c r="R254" s="32"/>
      <c r="S254" s="32"/>
      <c r="T254" s="23"/>
      <c r="V254" s="195"/>
      <c r="Z254" s="195"/>
      <c r="AA254" s="206"/>
      <c r="AB254" s="32"/>
      <c r="AC254" s="32"/>
      <c r="AD254" s="33"/>
      <c r="AE254" s="33"/>
      <c r="AF254" s="32"/>
      <c r="AG254" s="32"/>
      <c r="AH254" s="33"/>
      <c r="AI254" s="33"/>
      <c r="AJ254" s="32"/>
      <c r="AK254" s="32"/>
      <c r="AL254" s="32"/>
      <c r="AM254" s="32"/>
      <c r="AN254" s="33"/>
      <c r="AO254" s="33"/>
    </row>
    <row r="255" spans="1:41" x14ac:dyDescent="0.3">
      <c r="A255" s="22"/>
      <c r="C255" s="23"/>
      <c r="F255" s="195"/>
      <c r="H255" s="195"/>
      <c r="I255" s="195"/>
      <c r="J255" s="119"/>
      <c r="K255" s="119"/>
      <c r="L255" s="32"/>
      <c r="M255" s="32"/>
      <c r="N255" s="33"/>
      <c r="O255" s="33"/>
      <c r="P255" s="32"/>
      <c r="Q255" s="32"/>
      <c r="R255" s="32"/>
      <c r="T255" s="23"/>
      <c r="V255" s="195"/>
      <c r="Z255" s="32"/>
      <c r="AA255" s="119"/>
      <c r="AB255" s="32"/>
      <c r="AC255" s="32"/>
      <c r="AD255" s="33"/>
      <c r="AE255" s="33"/>
      <c r="AF255" s="32"/>
      <c r="AG255" s="32"/>
      <c r="AH255" s="44"/>
      <c r="AI255" s="44"/>
      <c r="AJ255" s="32"/>
      <c r="AK255" s="32"/>
      <c r="AL255" s="32"/>
      <c r="AM255" s="32"/>
      <c r="AN255" s="33"/>
      <c r="AO255" s="33"/>
    </row>
    <row r="256" spans="1:41" x14ac:dyDescent="0.3">
      <c r="A256" s="22"/>
      <c r="C256" s="23"/>
      <c r="F256" s="195"/>
      <c r="H256" s="195"/>
      <c r="I256" s="195"/>
      <c r="J256" s="119"/>
      <c r="K256" s="119"/>
      <c r="L256" s="32"/>
      <c r="M256" s="32"/>
      <c r="N256" s="33"/>
      <c r="O256" s="33"/>
      <c r="P256" s="32"/>
      <c r="Q256" s="32"/>
      <c r="R256" s="32"/>
      <c r="T256" s="23"/>
      <c r="V256" s="195"/>
      <c r="Z256" s="32"/>
      <c r="AA256" s="119"/>
      <c r="AB256" s="32"/>
      <c r="AC256" s="32"/>
      <c r="AD256" s="33"/>
      <c r="AE256" s="33"/>
      <c r="AF256" s="32"/>
      <c r="AG256" s="32"/>
      <c r="AH256" s="44"/>
      <c r="AI256" s="44"/>
      <c r="AJ256" s="32"/>
      <c r="AK256" s="32"/>
      <c r="AL256" s="32"/>
      <c r="AM256" s="32"/>
      <c r="AN256" s="33"/>
      <c r="AO256" s="33"/>
    </row>
    <row r="257" spans="1:41" x14ac:dyDescent="0.3">
      <c r="F257" s="34"/>
      <c r="H257" s="34"/>
      <c r="I257" s="34"/>
      <c r="J257" s="198"/>
      <c r="K257" s="198"/>
      <c r="L257" s="34"/>
      <c r="M257" s="34"/>
      <c r="N257" s="34"/>
      <c r="O257" s="34"/>
      <c r="P257" s="34"/>
      <c r="Q257" s="34"/>
      <c r="R257" s="34"/>
      <c r="V257" s="34"/>
      <c r="Z257" s="34"/>
      <c r="AA257" s="198"/>
      <c r="AB257" s="34"/>
      <c r="AC257" s="34"/>
      <c r="AD257" s="34"/>
      <c r="AE257" s="34"/>
      <c r="AF257" s="34"/>
      <c r="AG257" s="34"/>
      <c r="AJ257" s="34"/>
      <c r="AK257" s="34"/>
      <c r="AL257" s="34"/>
      <c r="AM257" s="34"/>
      <c r="AN257" s="33"/>
      <c r="AO257" s="33"/>
    </row>
    <row r="258" spans="1:41" x14ac:dyDescent="0.3">
      <c r="A258" s="22"/>
      <c r="C258" s="23"/>
      <c r="F258" s="32"/>
      <c r="H258" s="32"/>
      <c r="I258" s="32"/>
      <c r="J258" s="48"/>
      <c r="K258" s="48"/>
      <c r="L258" s="32"/>
      <c r="M258" s="32"/>
      <c r="N258" s="33"/>
      <c r="O258" s="33"/>
      <c r="P258" s="32"/>
      <c r="Q258" s="32"/>
      <c r="R258" s="32"/>
      <c r="T258" s="23"/>
      <c r="V258" s="32"/>
      <c r="Z258" s="32"/>
      <c r="AA258" s="48"/>
      <c r="AB258" s="32"/>
      <c r="AC258" s="32"/>
      <c r="AD258" s="33"/>
      <c r="AE258" s="33"/>
      <c r="AF258" s="32"/>
      <c r="AG258" s="32"/>
      <c r="AH258" s="44"/>
      <c r="AI258" s="44"/>
      <c r="AJ258" s="32"/>
      <c r="AK258" s="32"/>
      <c r="AL258" s="32"/>
      <c r="AM258" s="32"/>
      <c r="AN258" s="33"/>
      <c r="AO258" s="33"/>
    </row>
    <row r="259" spans="1:41" x14ac:dyDescent="0.3">
      <c r="F259" s="34"/>
      <c r="H259" s="34"/>
      <c r="I259" s="34"/>
      <c r="J259" s="198"/>
      <c r="K259" s="198"/>
      <c r="L259" s="34"/>
      <c r="M259" s="34"/>
      <c r="N259" s="34"/>
      <c r="O259" s="34"/>
      <c r="P259" s="34"/>
      <c r="Q259" s="34"/>
      <c r="R259" s="34"/>
      <c r="V259" s="34"/>
      <c r="Z259" s="34"/>
      <c r="AA259" s="198"/>
      <c r="AB259" s="34"/>
      <c r="AC259" s="34"/>
      <c r="AD259" s="34"/>
      <c r="AE259" s="34"/>
      <c r="AF259" s="34"/>
      <c r="AG259" s="34"/>
      <c r="AJ259" s="34"/>
      <c r="AK259" s="34"/>
      <c r="AL259" s="34"/>
      <c r="AM259" s="34"/>
      <c r="AN259" s="33"/>
      <c r="AO259" s="33"/>
    </row>
    <row r="260" spans="1:41" x14ac:dyDescent="0.3">
      <c r="A260" s="22"/>
      <c r="C260" s="23"/>
      <c r="F260" s="32"/>
      <c r="H260" s="32"/>
      <c r="I260" s="32"/>
      <c r="J260" s="48"/>
      <c r="K260" s="48"/>
      <c r="L260" s="32"/>
      <c r="M260" s="32"/>
      <c r="N260" s="33"/>
      <c r="O260" s="33"/>
      <c r="P260" s="32"/>
      <c r="Q260" s="32"/>
      <c r="R260" s="32"/>
      <c r="T260" s="23"/>
      <c r="V260" s="32"/>
      <c r="Z260" s="32"/>
      <c r="AA260" s="48"/>
      <c r="AB260" s="32"/>
      <c r="AC260" s="32"/>
      <c r="AD260" s="33"/>
      <c r="AE260" s="33"/>
      <c r="AF260" s="32"/>
      <c r="AG260" s="32"/>
      <c r="AH260" s="44"/>
      <c r="AI260" s="44"/>
      <c r="AJ260" s="32"/>
      <c r="AK260" s="32"/>
      <c r="AL260" s="32"/>
      <c r="AM260" s="32"/>
      <c r="AN260" s="33"/>
      <c r="AO260" s="33"/>
    </row>
    <row r="261" spans="1:41" x14ac:dyDescent="0.3">
      <c r="A261" s="22"/>
      <c r="C261" s="23"/>
      <c r="F261" s="32"/>
      <c r="H261" s="195"/>
      <c r="I261" s="195"/>
      <c r="J261" s="197"/>
      <c r="K261" s="197"/>
      <c r="L261" s="32"/>
      <c r="M261" s="32"/>
      <c r="N261" s="33"/>
      <c r="O261" s="33"/>
      <c r="P261" s="32"/>
      <c r="Q261" s="32"/>
      <c r="R261" s="32"/>
      <c r="T261" s="23"/>
      <c r="V261" s="32"/>
      <c r="Z261" s="32"/>
      <c r="AA261" s="200"/>
      <c r="AB261" s="32"/>
      <c r="AC261" s="32"/>
      <c r="AD261" s="33"/>
      <c r="AE261" s="33"/>
      <c r="AF261" s="32"/>
      <c r="AG261" s="32"/>
      <c r="AH261" s="44"/>
      <c r="AI261" s="44"/>
      <c r="AJ261" s="32"/>
      <c r="AK261" s="32"/>
      <c r="AL261" s="32"/>
      <c r="AM261" s="32"/>
      <c r="AN261" s="33"/>
      <c r="AO261" s="33"/>
    </row>
    <row r="262" spans="1:41" x14ac:dyDescent="0.3">
      <c r="F262" s="34"/>
      <c r="H262" s="34"/>
      <c r="I262" s="34"/>
      <c r="J262" s="198"/>
      <c r="K262" s="198"/>
      <c r="L262" s="34"/>
      <c r="M262" s="34"/>
      <c r="N262" s="34"/>
      <c r="O262" s="34"/>
      <c r="P262" s="34"/>
      <c r="Q262" s="34"/>
      <c r="R262" s="34"/>
      <c r="V262" s="34"/>
      <c r="Z262" s="34"/>
      <c r="AA262" s="198"/>
      <c r="AB262" s="34"/>
      <c r="AC262" s="34"/>
      <c r="AD262" s="34"/>
      <c r="AE262" s="34"/>
      <c r="AF262" s="34"/>
      <c r="AG262" s="34"/>
      <c r="AJ262" s="34"/>
      <c r="AK262" s="34"/>
      <c r="AL262" s="34"/>
      <c r="AM262" s="34"/>
      <c r="AN262" s="33"/>
      <c r="AO262" s="33"/>
    </row>
    <row r="264" spans="1:41" x14ac:dyDescent="0.3">
      <c r="A264" s="22"/>
      <c r="C264" s="23"/>
      <c r="F264" s="32"/>
      <c r="H264" s="32"/>
      <c r="I264" s="32"/>
      <c r="J264" s="198"/>
      <c r="K264" s="198"/>
      <c r="L264" s="32"/>
      <c r="M264" s="32"/>
      <c r="N264" s="33"/>
      <c r="O264" s="33"/>
      <c r="P264" s="32"/>
      <c r="Q264" s="32"/>
      <c r="R264" s="32"/>
      <c r="S264" s="32"/>
      <c r="T264" s="23"/>
      <c r="V264" s="32"/>
      <c r="Z264" s="32"/>
      <c r="AA264" s="198"/>
      <c r="AB264" s="32"/>
      <c r="AC264" s="32"/>
      <c r="AD264" s="33"/>
      <c r="AE264" s="33"/>
      <c r="AF264" s="32"/>
      <c r="AG264" s="32"/>
      <c r="AH264" s="33"/>
      <c r="AI264" s="33"/>
      <c r="AJ264" s="32"/>
      <c r="AK264" s="32"/>
      <c r="AL264" s="32"/>
      <c r="AM264" s="32"/>
      <c r="AN264" s="33"/>
      <c r="AO264" s="33"/>
    </row>
    <row r="265" spans="1:41" x14ac:dyDescent="0.3">
      <c r="F265" s="34"/>
      <c r="H265" s="34"/>
      <c r="I265" s="34"/>
      <c r="J265" s="198"/>
      <c r="K265" s="198"/>
      <c r="L265" s="34"/>
      <c r="M265" s="34"/>
      <c r="N265" s="34"/>
      <c r="O265" s="34"/>
      <c r="P265" s="34"/>
      <c r="Q265" s="34"/>
      <c r="R265" s="34"/>
      <c r="S265" s="32"/>
      <c r="V265" s="34"/>
      <c r="Z265" s="34"/>
      <c r="AA265" s="198"/>
      <c r="AB265" s="34"/>
      <c r="AC265" s="34"/>
      <c r="AD265" s="34"/>
      <c r="AE265" s="34"/>
      <c r="AF265" s="34"/>
      <c r="AG265" s="34"/>
      <c r="AJ265" s="34"/>
      <c r="AK265" s="34"/>
      <c r="AL265" s="34"/>
      <c r="AM265" s="34"/>
      <c r="AN265" s="33"/>
      <c r="AO265" s="33"/>
    </row>
    <row r="266" spans="1:41" x14ac:dyDescent="0.3">
      <c r="A266" s="22"/>
      <c r="C266" s="23"/>
      <c r="T266" s="23"/>
    </row>
    <row r="267" spans="1:41" x14ac:dyDescent="0.3">
      <c r="A267" s="22"/>
      <c r="C267" s="23"/>
      <c r="F267" s="32"/>
      <c r="H267" s="32"/>
      <c r="I267" s="32"/>
      <c r="L267" s="32"/>
      <c r="M267" s="32"/>
      <c r="N267" s="33"/>
      <c r="O267" s="33"/>
      <c r="P267" s="195"/>
      <c r="Q267" s="195"/>
      <c r="R267" s="32"/>
      <c r="T267" s="23"/>
      <c r="V267" s="32"/>
      <c r="Z267" s="32"/>
      <c r="AB267" s="32"/>
      <c r="AC267" s="32"/>
      <c r="AD267" s="33"/>
      <c r="AE267" s="33"/>
      <c r="AF267" s="32"/>
      <c r="AG267" s="32"/>
      <c r="AH267" s="33"/>
      <c r="AI267" s="33"/>
      <c r="AJ267" s="195"/>
      <c r="AK267" s="195"/>
      <c r="AL267" s="32"/>
      <c r="AM267" s="32"/>
      <c r="AN267" s="33"/>
      <c r="AO267" s="33"/>
    </row>
    <row r="268" spans="1:41" x14ac:dyDescent="0.3">
      <c r="F268" s="34"/>
      <c r="H268" s="34"/>
      <c r="I268" s="34"/>
      <c r="J268" s="198"/>
      <c r="K268" s="198"/>
      <c r="L268" s="34"/>
      <c r="M268" s="34"/>
      <c r="N268" s="34"/>
      <c r="O268" s="34"/>
      <c r="P268" s="34"/>
      <c r="Q268" s="34"/>
      <c r="R268" s="34"/>
      <c r="V268" s="34"/>
      <c r="Z268" s="34"/>
      <c r="AA268" s="198"/>
      <c r="AB268" s="34"/>
      <c r="AC268" s="34"/>
      <c r="AD268" s="34"/>
      <c r="AE268" s="34"/>
      <c r="AF268" s="34"/>
      <c r="AG268" s="34"/>
      <c r="AJ268" s="34"/>
      <c r="AK268" s="34"/>
      <c r="AL268" s="34"/>
      <c r="AM268" s="34"/>
    </row>
    <row r="270" spans="1:41" x14ac:dyDescent="0.3">
      <c r="C270" s="23"/>
      <c r="L270" s="32"/>
      <c r="M270" s="32"/>
      <c r="N270" s="32"/>
      <c r="O270" s="32"/>
      <c r="P270" s="32"/>
      <c r="Q270" s="32"/>
      <c r="R270" s="32"/>
      <c r="S270" s="32"/>
      <c r="T270" s="23"/>
      <c r="AB270" s="32"/>
      <c r="AC270" s="32"/>
      <c r="AD270" s="32"/>
      <c r="AE270" s="32"/>
      <c r="AJ270" s="32"/>
      <c r="AK270" s="32"/>
      <c r="AL270" s="32"/>
      <c r="AM270" s="32"/>
    </row>
    <row r="271" spans="1:41" x14ac:dyDescent="0.3">
      <c r="A271" s="23"/>
    </row>
    <row r="272" spans="1:41" x14ac:dyDescent="0.3">
      <c r="J272" s="22"/>
      <c r="K272" s="22"/>
      <c r="AA272" s="22"/>
    </row>
    <row r="273" spans="1:41" x14ac:dyDescent="0.3">
      <c r="H273" s="23"/>
      <c r="I273" s="23"/>
      <c r="Z273" s="23"/>
    </row>
    <row r="274" spans="1:41" x14ac:dyDescent="0.3">
      <c r="J274" s="22"/>
      <c r="K274" s="22"/>
      <c r="AA274" s="22"/>
    </row>
    <row r="275" spans="1:41" x14ac:dyDescent="0.3">
      <c r="L275" s="23"/>
      <c r="M275" s="23"/>
      <c r="AB275" s="23"/>
      <c r="AC275" s="23"/>
    </row>
    <row r="276" spans="1:41" x14ac:dyDescent="0.3">
      <c r="A276" s="22"/>
      <c r="R276" s="23"/>
      <c r="AL276" s="23"/>
      <c r="AM276" s="23"/>
    </row>
    <row r="277" spans="1:41" x14ac:dyDescent="0.3">
      <c r="A277" s="22"/>
      <c r="R277" s="23"/>
      <c r="AL277" s="23"/>
      <c r="AM277" s="23"/>
    </row>
    <row r="278" spans="1:41" x14ac:dyDescent="0.3">
      <c r="A278" s="23"/>
      <c r="R278" s="23"/>
      <c r="AL278" s="23"/>
      <c r="AM278" s="23"/>
    </row>
    <row r="279" spans="1:41" x14ac:dyDescent="0.3">
      <c r="L279" s="23"/>
      <c r="M279" s="23"/>
      <c r="R279" s="22"/>
      <c r="AB279" s="23"/>
      <c r="AC279" s="23"/>
      <c r="AL279" s="22"/>
      <c r="AM279" s="22"/>
    </row>
    <row r="280" spans="1:4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1:41" x14ac:dyDescent="0.3">
      <c r="L281" s="30"/>
      <c r="M281" s="30"/>
      <c r="N281" s="30"/>
      <c r="O281" s="30"/>
      <c r="R281" s="30"/>
      <c r="AB281" s="30"/>
      <c r="AC281" s="30"/>
      <c r="AD281" s="30"/>
      <c r="AE281" s="30"/>
      <c r="AF281" s="30"/>
      <c r="AG281" s="30"/>
      <c r="AH281" s="30"/>
      <c r="AI281" s="30"/>
      <c r="AL281" s="30"/>
      <c r="AM281" s="30"/>
      <c r="AN281" s="30"/>
      <c r="AO281" s="30"/>
    </row>
    <row r="282" spans="1:41" x14ac:dyDescent="0.3">
      <c r="L282" s="30"/>
      <c r="M282" s="30"/>
      <c r="N282" s="30"/>
      <c r="O282" s="30"/>
      <c r="R282" s="30"/>
      <c r="AA282" s="30"/>
      <c r="AB282" s="30"/>
      <c r="AC282" s="30"/>
      <c r="AD282" s="30"/>
      <c r="AE282" s="30"/>
      <c r="AF282" s="30"/>
      <c r="AG282" s="30"/>
      <c r="AH282" s="30"/>
      <c r="AI282" s="30"/>
      <c r="AL282" s="30"/>
      <c r="AM282" s="30"/>
      <c r="AN282" s="30"/>
      <c r="AO282" s="30"/>
    </row>
    <row r="283" spans="1:41" x14ac:dyDescent="0.3">
      <c r="A283" s="30"/>
      <c r="C283" s="30"/>
      <c r="D283" s="30"/>
      <c r="E283" s="30"/>
      <c r="F283" s="30"/>
      <c r="J283" s="30"/>
      <c r="K283" s="30"/>
      <c r="L283" s="30"/>
      <c r="M283" s="30"/>
      <c r="N283" s="30"/>
      <c r="O283" s="30"/>
      <c r="P283" s="30"/>
      <c r="Q283" s="30"/>
      <c r="R283" s="30"/>
      <c r="T283" s="30"/>
      <c r="U283" s="30"/>
      <c r="V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x14ac:dyDescent="0.3">
      <c r="A284" s="30"/>
      <c r="C284" s="30"/>
      <c r="D284" s="30"/>
      <c r="E284" s="30"/>
      <c r="F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T284" s="30"/>
      <c r="U284" s="30"/>
      <c r="V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x14ac:dyDescent="0.3">
      <c r="C285" s="30"/>
      <c r="D285" s="30"/>
      <c r="E285" s="30"/>
      <c r="F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T285" s="30"/>
      <c r="U285" s="30"/>
      <c r="V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1:41" x14ac:dyDescent="0.3"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x14ac:dyDescent="0.3">
      <c r="A288" s="22"/>
      <c r="C288" s="23"/>
      <c r="D288" s="23"/>
      <c r="E288" s="23"/>
      <c r="T288" s="23"/>
      <c r="U288" s="23"/>
    </row>
    <row r="289" spans="1:41" x14ac:dyDescent="0.3">
      <c r="D289" s="23"/>
      <c r="E289" s="23"/>
      <c r="U289" s="23"/>
    </row>
    <row r="291" spans="1:41" x14ac:dyDescent="0.3">
      <c r="A291" s="22"/>
      <c r="C291" s="23"/>
      <c r="T291" s="23"/>
    </row>
    <row r="292" spans="1:41" x14ac:dyDescent="0.3">
      <c r="A292" s="22"/>
      <c r="C292" s="23"/>
      <c r="F292" s="195"/>
      <c r="H292" s="195"/>
      <c r="I292" s="195"/>
      <c r="J292" s="203"/>
      <c r="K292" s="203"/>
      <c r="L292" s="32"/>
      <c r="M292" s="32"/>
      <c r="N292" s="33"/>
      <c r="O292" s="33"/>
      <c r="P292" s="32"/>
      <c r="Q292" s="32"/>
      <c r="R292" s="32"/>
      <c r="T292" s="23"/>
      <c r="V292" s="195"/>
      <c r="W292" s="32"/>
      <c r="X292" s="32"/>
      <c r="Y292" s="32"/>
      <c r="Z292" s="195"/>
      <c r="AA292" s="203"/>
      <c r="AB292" s="32"/>
      <c r="AC292" s="32"/>
      <c r="AD292" s="33"/>
      <c r="AE292" s="33"/>
      <c r="AF292" s="32"/>
      <c r="AG292" s="32"/>
      <c r="AH292" s="44"/>
      <c r="AI292" s="44"/>
      <c r="AJ292" s="32"/>
      <c r="AK292" s="32"/>
      <c r="AL292" s="32"/>
      <c r="AM292" s="32"/>
      <c r="AN292" s="33"/>
      <c r="AO292" s="33"/>
    </row>
    <row r="293" spans="1:41" x14ac:dyDescent="0.3">
      <c r="A293" s="22"/>
      <c r="C293" s="23"/>
      <c r="F293" s="32"/>
      <c r="H293" s="32"/>
      <c r="I293" s="32"/>
      <c r="J293" s="198"/>
      <c r="K293" s="198"/>
      <c r="L293" s="32"/>
      <c r="M293" s="32"/>
      <c r="N293" s="33"/>
      <c r="O293" s="33"/>
      <c r="P293" s="32"/>
      <c r="Q293" s="32"/>
      <c r="R293" s="32"/>
      <c r="T293" s="23"/>
      <c r="V293" s="195"/>
      <c r="W293" s="32"/>
      <c r="X293" s="32"/>
      <c r="Y293" s="32"/>
      <c r="Z293" s="195"/>
      <c r="AA293" s="198"/>
      <c r="AB293" s="32"/>
      <c r="AC293" s="32"/>
      <c r="AD293" s="33"/>
      <c r="AE293" s="33"/>
      <c r="AF293" s="32"/>
      <c r="AG293" s="32"/>
      <c r="AH293" s="44"/>
      <c r="AI293" s="44"/>
      <c r="AJ293" s="32"/>
      <c r="AK293" s="32"/>
      <c r="AL293" s="32"/>
      <c r="AM293" s="32"/>
      <c r="AN293" s="33"/>
      <c r="AO293" s="33"/>
    </row>
    <row r="294" spans="1:41" x14ac:dyDescent="0.3">
      <c r="A294" s="22"/>
      <c r="C294" s="23"/>
      <c r="F294" s="195"/>
      <c r="H294" s="195"/>
      <c r="I294" s="195"/>
      <c r="J294" s="203"/>
      <c r="K294" s="203"/>
      <c r="L294" s="32"/>
      <c r="M294" s="32"/>
      <c r="N294" s="33"/>
      <c r="O294" s="33"/>
      <c r="P294" s="32"/>
      <c r="Q294" s="32"/>
      <c r="R294" s="32"/>
      <c r="T294" s="23"/>
      <c r="V294" s="195"/>
      <c r="W294" s="32"/>
      <c r="X294" s="32"/>
      <c r="Y294" s="32"/>
      <c r="Z294" s="195"/>
      <c r="AA294" s="203"/>
      <c r="AB294" s="32"/>
      <c r="AC294" s="32"/>
      <c r="AD294" s="33"/>
      <c r="AE294" s="33"/>
      <c r="AF294" s="32"/>
      <c r="AG294" s="32"/>
      <c r="AH294" s="44"/>
      <c r="AI294" s="44"/>
      <c r="AJ294" s="32"/>
      <c r="AK294" s="32"/>
      <c r="AL294" s="32"/>
      <c r="AM294" s="32"/>
      <c r="AN294" s="33"/>
      <c r="AO294" s="33"/>
    </row>
    <row r="295" spans="1:41" x14ac:dyDescent="0.3">
      <c r="A295" s="22"/>
      <c r="C295" s="23"/>
      <c r="F295" s="195"/>
      <c r="H295" s="195"/>
      <c r="I295" s="195"/>
      <c r="J295" s="203"/>
      <c r="K295" s="203"/>
      <c r="L295" s="32"/>
      <c r="M295" s="32"/>
      <c r="N295" s="33"/>
      <c r="O295" s="33"/>
      <c r="P295" s="32"/>
      <c r="Q295" s="32"/>
      <c r="R295" s="32"/>
      <c r="T295" s="23"/>
      <c r="V295" s="195"/>
      <c r="W295" s="32"/>
      <c r="X295" s="32"/>
      <c r="Y295" s="32"/>
      <c r="Z295" s="195"/>
      <c r="AA295" s="203"/>
      <c r="AB295" s="32"/>
      <c r="AC295" s="32"/>
      <c r="AD295" s="33"/>
      <c r="AE295" s="33"/>
      <c r="AF295" s="32"/>
      <c r="AG295" s="32"/>
      <c r="AH295" s="44"/>
      <c r="AI295" s="44"/>
      <c r="AJ295" s="32"/>
      <c r="AK295" s="32"/>
      <c r="AL295" s="32"/>
      <c r="AM295" s="32"/>
      <c r="AN295" s="33"/>
      <c r="AO295" s="33"/>
    </row>
    <row r="296" spans="1:41" x14ac:dyDescent="0.3">
      <c r="A296" s="22"/>
      <c r="C296" s="23"/>
      <c r="F296" s="195"/>
      <c r="H296" s="195"/>
      <c r="I296" s="195"/>
      <c r="J296" s="203"/>
      <c r="K296" s="203"/>
      <c r="L296" s="32"/>
      <c r="M296" s="32"/>
      <c r="N296" s="33"/>
      <c r="O296" s="33"/>
      <c r="P296" s="32"/>
      <c r="Q296" s="32"/>
      <c r="R296" s="32"/>
      <c r="T296" s="23"/>
      <c r="V296" s="195"/>
      <c r="W296" s="32"/>
      <c r="X296" s="32"/>
      <c r="Y296" s="32"/>
      <c r="Z296" s="195"/>
      <c r="AA296" s="203"/>
      <c r="AB296" s="32"/>
      <c r="AC296" s="32"/>
      <c r="AD296" s="33"/>
      <c r="AE296" s="33"/>
      <c r="AF296" s="32"/>
      <c r="AG296" s="32"/>
      <c r="AH296" s="44"/>
      <c r="AI296" s="44"/>
      <c r="AJ296" s="32"/>
      <c r="AK296" s="32"/>
      <c r="AL296" s="32"/>
      <c r="AM296" s="32"/>
      <c r="AN296" s="33"/>
      <c r="AO296" s="33"/>
    </row>
    <row r="297" spans="1:41" x14ac:dyDescent="0.3">
      <c r="A297" s="22"/>
      <c r="C297" s="23"/>
      <c r="F297" s="32"/>
      <c r="H297" s="32"/>
      <c r="I297" s="32"/>
      <c r="J297" s="203"/>
      <c r="K297" s="203"/>
      <c r="L297" s="32"/>
      <c r="M297" s="32"/>
      <c r="N297" s="33"/>
      <c r="O297" s="33"/>
      <c r="P297" s="32"/>
      <c r="Q297" s="32"/>
      <c r="R297" s="32"/>
      <c r="T297" s="23"/>
      <c r="V297" s="195"/>
      <c r="W297" s="32"/>
      <c r="X297" s="32"/>
      <c r="Y297" s="32"/>
      <c r="Z297" s="195"/>
      <c r="AA297" s="203"/>
      <c r="AB297" s="32"/>
      <c r="AC297" s="32"/>
      <c r="AD297" s="33"/>
      <c r="AE297" s="33"/>
      <c r="AF297" s="32"/>
      <c r="AG297" s="32"/>
      <c r="AH297" s="44"/>
      <c r="AI297" s="44"/>
      <c r="AJ297" s="32"/>
      <c r="AK297" s="32"/>
      <c r="AL297" s="32"/>
      <c r="AM297" s="32"/>
      <c r="AN297" s="33"/>
      <c r="AO297" s="33"/>
    </row>
    <row r="298" spans="1:41" x14ac:dyDescent="0.3">
      <c r="A298" s="22"/>
      <c r="C298" s="23"/>
      <c r="F298" s="32"/>
      <c r="H298" s="32"/>
      <c r="I298" s="32"/>
      <c r="J298" s="203"/>
      <c r="K298" s="203"/>
      <c r="L298" s="32"/>
      <c r="M298" s="32"/>
      <c r="N298" s="33"/>
      <c r="O298" s="33"/>
      <c r="P298" s="32"/>
      <c r="Q298" s="32"/>
      <c r="R298" s="32"/>
      <c r="T298" s="23"/>
      <c r="V298" s="195"/>
      <c r="W298" s="32"/>
      <c r="X298" s="32"/>
      <c r="Y298" s="32"/>
      <c r="Z298" s="195"/>
      <c r="AA298" s="203"/>
      <c r="AB298" s="32"/>
      <c r="AC298" s="32"/>
      <c r="AD298" s="33"/>
      <c r="AE298" s="33"/>
      <c r="AF298" s="32"/>
      <c r="AG298" s="32"/>
      <c r="AH298" s="44"/>
      <c r="AI298" s="44"/>
      <c r="AJ298" s="32"/>
      <c r="AK298" s="32"/>
      <c r="AL298" s="32"/>
      <c r="AM298" s="32"/>
      <c r="AN298" s="33"/>
      <c r="AO298" s="33"/>
    </row>
    <row r="299" spans="1:41" x14ac:dyDescent="0.3">
      <c r="F299" s="60"/>
      <c r="H299" s="209"/>
      <c r="I299" s="209"/>
      <c r="J299" s="203"/>
      <c r="K299" s="203"/>
      <c r="L299" s="60"/>
      <c r="M299" s="60"/>
      <c r="N299" s="34"/>
      <c r="O299" s="34"/>
      <c r="P299" s="60"/>
      <c r="Q299" s="60"/>
      <c r="R299" s="60"/>
      <c r="V299" s="60"/>
      <c r="W299" s="32"/>
      <c r="X299" s="32"/>
      <c r="Y299" s="32"/>
      <c r="Z299" s="60"/>
      <c r="AA299" s="203"/>
      <c r="AB299" s="60"/>
      <c r="AC299" s="60"/>
      <c r="AD299" s="61"/>
      <c r="AE299" s="61"/>
      <c r="AF299" s="60"/>
      <c r="AG299" s="60"/>
      <c r="AH299" s="44"/>
      <c r="AI299" s="44"/>
      <c r="AJ299" s="60"/>
      <c r="AK299" s="60"/>
      <c r="AL299" s="60"/>
      <c r="AM299" s="60"/>
      <c r="AN299" s="33"/>
      <c r="AO299" s="33"/>
    </row>
    <row r="300" spans="1:41" x14ac:dyDescent="0.3">
      <c r="A300" s="22"/>
      <c r="C300" s="23"/>
      <c r="F300" s="32"/>
      <c r="H300" s="32"/>
      <c r="I300" s="32"/>
      <c r="J300" s="203"/>
      <c r="K300" s="203"/>
      <c r="L300" s="32"/>
      <c r="M300" s="32"/>
      <c r="N300" s="44"/>
      <c r="O300" s="44"/>
      <c r="P300" s="32"/>
      <c r="Q300" s="32"/>
      <c r="R300" s="32"/>
      <c r="T300" s="30"/>
      <c r="V300" s="32"/>
      <c r="W300" s="32"/>
      <c r="X300" s="32"/>
      <c r="Y300" s="32"/>
      <c r="Z300" s="32"/>
      <c r="AA300" s="203"/>
      <c r="AB300" s="32"/>
      <c r="AC300" s="32"/>
      <c r="AD300" s="44"/>
      <c r="AE300" s="44"/>
      <c r="AF300" s="32"/>
      <c r="AG300" s="32"/>
      <c r="AH300" s="44"/>
      <c r="AI300" s="44"/>
      <c r="AJ300" s="32"/>
      <c r="AK300" s="32"/>
      <c r="AL300" s="32"/>
      <c r="AM300" s="32"/>
      <c r="AN300" s="33"/>
      <c r="AO300" s="33"/>
    </row>
    <row r="301" spans="1:41" x14ac:dyDescent="0.3">
      <c r="F301" s="29"/>
      <c r="H301" s="29"/>
      <c r="I301" s="29"/>
      <c r="L301" s="29"/>
      <c r="M301" s="29"/>
      <c r="N301" s="61"/>
      <c r="O301" s="61"/>
      <c r="P301" s="60"/>
      <c r="Q301" s="60"/>
      <c r="R301" s="60"/>
      <c r="V301" s="60"/>
      <c r="Z301" s="60"/>
      <c r="AA301" s="198"/>
      <c r="AB301" s="60"/>
      <c r="AC301" s="60"/>
      <c r="AD301" s="60"/>
      <c r="AE301" s="60"/>
      <c r="AF301" s="60"/>
      <c r="AG301" s="60"/>
      <c r="AJ301" s="60"/>
      <c r="AK301" s="60"/>
      <c r="AL301" s="60"/>
      <c r="AM301" s="60"/>
      <c r="AN301" s="61"/>
      <c r="AO301" s="61"/>
    </row>
    <row r="302" spans="1:41" x14ac:dyDescent="0.3">
      <c r="AJ302" s="22"/>
      <c r="AK302" s="22"/>
    </row>
    <row r="306" spans="1:41" x14ac:dyDescent="0.3">
      <c r="N306" s="32"/>
      <c r="O306" s="32"/>
      <c r="P306" s="32"/>
      <c r="Q306" s="32"/>
      <c r="R306" s="32"/>
      <c r="V306" s="32"/>
      <c r="Z306" s="32"/>
      <c r="AA306" s="48"/>
      <c r="AB306" s="32"/>
      <c r="AC306" s="32"/>
      <c r="AD306" s="33"/>
      <c r="AE306" s="33"/>
      <c r="AF306" s="32"/>
      <c r="AG306" s="32"/>
      <c r="AH306" s="44"/>
      <c r="AI306" s="44"/>
      <c r="AJ306" s="32"/>
      <c r="AK306" s="32"/>
      <c r="AL306" s="32"/>
      <c r="AM306" s="32"/>
      <c r="AN306" s="33"/>
      <c r="AO306" s="33"/>
    </row>
    <row r="307" spans="1:41" x14ac:dyDescent="0.3">
      <c r="A307" s="22"/>
      <c r="C307" s="23"/>
      <c r="D307" s="23"/>
      <c r="E307" s="23"/>
      <c r="J307" s="62"/>
      <c r="K307" s="62"/>
      <c r="T307" s="23"/>
      <c r="U307" s="23"/>
      <c r="AA307" s="62"/>
      <c r="AF307" s="32"/>
      <c r="AG307" s="32"/>
      <c r="AJ307" s="32"/>
      <c r="AK307" s="32"/>
      <c r="AL307" s="32"/>
      <c r="AM307" s="32"/>
      <c r="AN307" s="33"/>
      <c r="AO307" s="33"/>
    </row>
    <row r="308" spans="1:41" x14ac:dyDescent="0.3">
      <c r="D308" s="23"/>
      <c r="E308" s="23"/>
      <c r="F308" s="32"/>
      <c r="H308" s="32"/>
      <c r="I308" s="32"/>
      <c r="J308" s="203"/>
      <c r="K308" s="203"/>
      <c r="L308" s="32"/>
      <c r="M308" s="32"/>
      <c r="N308" s="33"/>
      <c r="O308" s="33"/>
      <c r="P308" s="32"/>
      <c r="Q308" s="32"/>
      <c r="R308" s="32"/>
      <c r="U308" s="23"/>
      <c r="V308" s="32"/>
      <c r="Z308" s="32"/>
      <c r="AA308" s="203"/>
      <c r="AB308" s="32"/>
      <c r="AC308" s="32"/>
      <c r="AD308" s="33"/>
      <c r="AE308" s="33"/>
      <c r="AF308" s="32"/>
      <c r="AG308" s="32"/>
      <c r="AH308" s="44"/>
      <c r="AI308" s="44"/>
      <c r="AJ308" s="32"/>
      <c r="AK308" s="32"/>
      <c r="AL308" s="32"/>
      <c r="AM308" s="32"/>
      <c r="AN308" s="33"/>
      <c r="AO308" s="33"/>
    </row>
    <row r="309" spans="1:41" x14ac:dyDescent="0.3">
      <c r="F309" s="32"/>
      <c r="H309" s="32"/>
      <c r="I309" s="32"/>
      <c r="J309" s="198"/>
      <c r="K309" s="198"/>
      <c r="L309" s="32"/>
      <c r="M309" s="32"/>
      <c r="N309" s="32"/>
      <c r="O309" s="32"/>
      <c r="P309" s="32"/>
      <c r="Q309" s="32"/>
      <c r="R309" s="32"/>
      <c r="V309" s="32"/>
      <c r="Z309" s="32"/>
      <c r="AA309" s="198"/>
      <c r="AB309" s="32"/>
      <c r="AC309" s="32"/>
      <c r="AD309" s="32"/>
      <c r="AE309" s="32"/>
      <c r="AF309" s="32"/>
      <c r="AG309" s="32"/>
      <c r="AH309" s="44"/>
      <c r="AI309" s="44"/>
      <c r="AJ309" s="195"/>
      <c r="AK309" s="195"/>
      <c r="AL309" s="32"/>
      <c r="AM309" s="32"/>
      <c r="AN309" s="33"/>
      <c r="AO309" s="33"/>
    </row>
    <row r="310" spans="1:41" x14ac:dyDescent="0.3">
      <c r="A310" s="22"/>
      <c r="C310" s="23"/>
      <c r="F310" s="195"/>
      <c r="H310" s="195"/>
      <c r="I310" s="195"/>
      <c r="J310" s="200"/>
      <c r="K310" s="200"/>
      <c r="L310" s="32"/>
      <c r="M310" s="32"/>
      <c r="N310" s="33"/>
      <c r="O310" s="33"/>
      <c r="P310" s="32"/>
      <c r="Q310" s="32"/>
      <c r="R310" s="32"/>
      <c r="T310" s="23"/>
      <c r="V310" s="195"/>
      <c r="Z310" s="195"/>
      <c r="AA310" s="200"/>
      <c r="AB310" s="32"/>
      <c r="AC310" s="32"/>
      <c r="AD310" s="33"/>
      <c r="AE310" s="33"/>
      <c r="AF310" s="32"/>
      <c r="AG310" s="32"/>
      <c r="AH310" s="44"/>
      <c r="AI310" s="44"/>
      <c r="AJ310" s="32"/>
      <c r="AK310" s="32"/>
      <c r="AL310" s="32"/>
      <c r="AM310" s="32"/>
      <c r="AN310" s="33"/>
      <c r="AO310" s="33"/>
    </row>
    <row r="311" spans="1:41" x14ac:dyDescent="0.3">
      <c r="F311" s="29"/>
      <c r="H311" s="29"/>
      <c r="I311" s="29"/>
      <c r="L311" s="29"/>
      <c r="M311" s="29"/>
      <c r="N311" s="29"/>
      <c r="O311" s="29"/>
      <c r="P311" s="29"/>
      <c r="Q311" s="29"/>
      <c r="R311" s="29"/>
      <c r="V311" s="29"/>
      <c r="Z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1:41" x14ac:dyDescent="0.3">
      <c r="A312" s="22"/>
      <c r="C312" s="30"/>
      <c r="F312" s="195"/>
      <c r="H312" s="195"/>
      <c r="I312" s="195"/>
      <c r="J312" s="119"/>
      <c r="K312" s="119"/>
      <c r="L312" s="195"/>
      <c r="M312" s="195"/>
      <c r="N312" s="33"/>
      <c r="O312" s="33"/>
      <c r="P312" s="195"/>
      <c r="Q312" s="195"/>
      <c r="R312" s="195"/>
      <c r="T312" s="30"/>
      <c r="V312" s="32"/>
      <c r="Z312" s="32"/>
      <c r="AA312" s="48"/>
      <c r="AB312" s="32"/>
      <c r="AC312" s="32"/>
      <c r="AD312" s="33"/>
      <c r="AE312" s="33"/>
      <c r="AF312" s="22"/>
      <c r="AG312" s="22"/>
      <c r="AH312" s="44"/>
      <c r="AI312" s="44"/>
      <c r="AJ312" s="32"/>
      <c r="AK312" s="32"/>
      <c r="AL312" s="32"/>
      <c r="AM312" s="32"/>
      <c r="AN312" s="33"/>
      <c r="AO312" s="33"/>
    </row>
    <row r="313" spans="1:41" x14ac:dyDescent="0.3">
      <c r="F313" s="60"/>
      <c r="H313" s="60"/>
      <c r="I313" s="60"/>
      <c r="J313" s="198"/>
      <c r="K313" s="198"/>
      <c r="L313" s="60"/>
      <c r="M313" s="60"/>
      <c r="N313" s="60"/>
      <c r="O313" s="60"/>
      <c r="P313" s="60"/>
      <c r="Q313" s="60"/>
      <c r="R313" s="60"/>
      <c r="V313" s="29"/>
      <c r="Z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1:41" x14ac:dyDescent="0.3">
      <c r="F314" s="195"/>
      <c r="H314" s="195"/>
      <c r="I314" s="195"/>
      <c r="J314" s="206"/>
      <c r="K314" s="206"/>
      <c r="L314" s="32"/>
      <c r="M314" s="32"/>
      <c r="N314" s="33"/>
      <c r="O314" s="33"/>
      <c r="P314" s="32"/>
      <c r="Q314" s="32"/>
      <c r="R314" s="32"/>
    </row>
    <row r="315" spans="1:41" x14ac:dyDescent="0.3">
      <c r="A315" s="23"/>
      <c r="F315" s="195"/>
      <c r="H315" s="195"/>
      <c r="I315" s="195"/>
      <c r="J315" s="119"/>
      <c r="K315" s="119"/>
      <c r="L315" s="32"/>
      <c r="M315" s="32"/>
      <c r="N315" s="33"/>
      <c r="O315" s="33"/>
      <c r="P315" s="32"/>
      <c r="Q315" s="32"/>
      <c r="R315" s="32"/>
    </row>
    <row r="316" spans="1:41" x14ac:dyDescent="0.3">
      <c r="F316" s="195"/>
      <c r="H316" s="195"/>
      <c r="I316" s="195"/>
      <c r="J316" s="119"/>
      <c r="K316" s="119"/>
      <c r="L316" s="32"/>
      <c r="M316" s="32"/>
      <c r="N316" s="33"/>
      <c r="O316" s="33"/>
      <c r="P316" s="32"/>
      <c r="Q316" s="32"/>
      <c r="R316" s="32"/>
    </row>
    <row r="317" spans="1:41" x14ac:dyDescent="0.3">
      <c r="A317" s="23"/>
    </row>
    <row r="319" spans="1:41" x14ac:dyDescent="0.3">
      <c r="J319" s="22"/>
      <c r="K319" s="22"/>
      <c r="AA319" s="22"/>
    </row>
    <row r="320" spans="1:41" x14ac:dyDescent="0.3">
      <c r="H320" s="23"/>
      <c r="I320" s="23"/>
      <c r="Z320" s="23"/>
    </row>
    <row r="321" spans="1:41" x14ac:dyDescent="0.3">
      <c r="J321" s="22"/>
      <c r="K321" s="22"/>
      <c r="AA321" s="22"/>
    </row>
    <row r="322" spans="1:41" x14ac:dyDescent="0.3">
      <c r="L322" s="23"/>
      <c r="M322" s="23"/>
      <c r="AB322" s="23"/>
      <c r="AC322" s="23"/>
    </row>
    <row r="323" spans="1:41" x14ac:dyDescent="0.3">
      <c r="A323" s="22"/>
      <c r="R323" s="23"/>
      <c r="AL323" s="23"/>
      <c r="AM323" s="23"/>
    </row>
    <row r="324" spans="1:41" x14ac:dyDescent="0.3">
      <c r="A324" s="22"/>
      <c r="R324" s="23"/>
      <c r="AL324" s="23"/>
      <c r="AM324" s="23"/>
    </row>
    <row r="325" spans="1:41" x14ac:dyDescent="0.3">
      <c r="A325" s="23"/>
      <c r="R325" s="23"/>
      <c r="AL325" s="23"/>
      <c r="AM325" s="23"/>
    </row>
    <row r="326" spans="1:41" x14ac:dyDescent="0.3">
      <c r="L326" s="23"/>
      <c r="M326" s="23"/>
      <c r="R326" s="22"/>
      <c r="AB326" s="23"/>
      <c r="AC326" s="23"/>
      <c r="AL326" s="22"/>
      <c r="AM326" s="22"/>
    </row>
    <row r="327" spans="1:4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1:41" x14ac:dyDescent="0.3">
      <c r="L328" s="30"/>
      <c r="M328" s="30"/>
      <c r="N328" s="30"/>
      <c r="O328" s="30"/>
      <c r="R328" s="30"/>
      <c r="AB328" s="30"/>
      <c r="AC328" s="30"/>
      <c r="AD328" s="30"/>
      <c r="AE328" s="30"/>
      <c r="AF328" s="30"/>
      <c r="AG328" s="30"/>
      <c r="AH328" s="30"/>
      <c r="AI328" s="30"/>
      <c r="AL328" s="30"/>
      <c r="AM328" s="30"/>
      <c r="AN328" s="30"/>
      <c r="AO328" s="30"/>
    </row>
    <row r="329" spans="1:41" x14ac:dyDescent="0.3">
      <c r="L329" s="30"/>
      <c r="M329" s="30"/>
      <c r="N329" s="30"/>
      <c r="O329" s="30"/>
      <c r="R329" s="30"/>
      <c r="AA329" s="30"/>
      <c r="AB329" s="30"/>
      <c r="AC329" s="30"/>
      <c r="AD329" s="30"/>
      <c r="AE329" s="30"/>
      <c r="AF329" s="30"/>
      <c r="AG329" s="30"/>
      <c r="AH329" s="30"/>
      <c r="AI329" s="30"/>
      <c r="AL329" s="30"/>
      <c r="AM329" s="30"/>
      <c r="AN329" s="30"/>
      <c r="AO329" s="30"/>
    </row>
    <row r="330" spans="1:41" x14ac:dyDescent="0.3">
      <c r="A330" s="30"/>
      <c r="C330" s="30"/>
      <c r="D330" s="30"/>
      <c r="E330" s="30"/>
      <c r="F330" s="30"/>
      <c r="J330" s="30"/>
      <c r="K330" s="30"/>
      <c r="L330" s="30"/>
      <c r="M330" s="30"/>
      <c r="N330" s="30"/>
      <c r="O330" s="30"/>
      <c r="P330" s="30"/>
      <c r="Q330" s="30"/>
      <c r="R330" s="30"/>
      <c r="T330" s="30"/>
      <c r="U330" s="30"/>
      <c r="V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x14ac:dyDescent="0.3">
      <c r="A331" s="30"/>
      <c r="C331" s="30"/>
      <c r="D331" s="30"/>
      <c r="E331" s="30"/>
      <c r="F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T331" s="30"/>
      <c r="U331" s="30"/>
      <c r="V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x14ac:dyDescent="0.3">
      <c r="C332" s="30"/>
      <c r="D332" s="30"/>
      <c r="E332" s="30"/>
      <c r="F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T332" s="30"/>
      <c r="U332" s="30"/>
      <c r="V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1:41" x14ac:dyDescent="0.3"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x14ac:dyDescent="0.3">
      <c r="A335" s="22"/>
      <c r="C335" s="23"/>
      <c r="D335" s="23"/>
      <c r="E335" s="23"/>
      <c r="T335" s="23"/>
      <c r="U335" s="23"/>
    </row>
    <row r="337" spans="1:41" x14ac:dyDescent="0.3">
      <c r="A337" s="22"/>
      <c r="C337" s="23"/>
      <c r="T337" s="23"/>
    </row>
    <row r="338" spans="1:41" x14ac:dyDescent="0.3">
      <c r="A338" s="22"/>
      <c r="C338" s="23"/>
      <c r="F338" s="195"/>
      <c r="H338" s="195"/>
      <c r="I338" s="195"/>
      <c r="J338" s="198"/>
      <c r="K338" s="198"/>
      <c r="L338" s="32"/>
      <c r="M338" s="32"/>
      <c r="N338" s="33"/>
      <c r="O338" s="33"/>
      <c r="P338" s="32"/>
      <c r="Q338" s="32"/>
      <c r="R338" s="32"/>
      <c r="T338" s="23"/>
      <c r="V338" s="195"/>
      <c r="Z338" s="195"/>
      <c r="AA338" s="198"/>
      <c r="AB338" s="32"/>
      <c r="AC338" s="32"/>
      <c r="AD338" s="33"/>
      <c r="AE338" s="33"/>
      <c r="AF338" s="32"/>
      <c r="AG338" s="32"/>
      <c r="AH338" s="44"/>
      <c r="AI338" s="44"/>
      <c r="AJ338" s="32"/>
      <c r="AK338" s="32"/>
      <c r="AL338" s="32"/>
      <c r="AM338" s="32"/>
      <c r="AN338" s="33"/>
      <c r="AO338" s="33"/>
    </row>
    <row r="339" spans="1:41" x14ac:dyDescent="0.3">
      <c r="A339" s="22"/>
      <c r="C339" s="23"/>
      <c r="T339" s="23"/>
    </row>
    <row r="340" spans="1:41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32"/>
      <c r="Z340" s="32"/>
      <c r="AA340" s="203"/>
      <c r="AB340" s="32"/>
      <c r="AC340" s="32"/>
      <c r="AD340" s="33"/>
      <c r="AE340" s="33"/>
      <c r="AF340" s="32"/>
      <c r="AG340" s="32"/>
      <c r="AH340" s="44"/>
      <c r="AI340" s="44"/>
      <c r="AJ340" s="32"/>
      <c r="AK340" s="32"/>
      <c r="AL340" s="32"/>
      <c r="AM340" s="32"/>
      <c r="AN340" s="33"/>
      <c r="AO340" s="33"/>
    </row>
    <row r="341" spans="1:41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32"/>
      <c r="Z341" s="32"/>
      <c r="AA341" s="203"/>
      <c r="AB341" s="32"/>
      <c r="AC341" s="32"/>
      <c r="AD341" s="33"/>
      <c r="AE341" s="33"/>
      <c r="AF341" s="32"/>
      <c r="AG341" s="32"/>
      <c r="AH341" s="44"/>
      <c r="AI341" s="44"/>
      <c r="AJ341" s="32"/>
      <c r="AK341" s="32"/>
      <c r="AL341" s="32"/>
      <c r="AM341" s="32"/>
      <c r="AN341" s="33"/>
      <c r="AO341" s="33"/>
    </row>
    <row r="342" spans="1:41" x14ac:dyDescent="0.3">
      <c r="A342" s="22"/>
      <c r="C342" s="23"/>
      <c r="F342" s="195"/>
      <c r="H342" s="195"/>
      <c r="I342" s="195"/>
      <c r="J342" s="203"/>
      <c r="K342" s="203"/>
      <c r="L342" s="32"/>
      <c r="M342" s="32"/>
      <c r="N342" s="33"/>
      <c r="O342" s="33"/>
      <c r="P342" s="32"/>
      <c r="Q342" s="32"/>
      <c r="R342" s="32"/>
      <c r="T342" s="23"/>
      <c r="V342" s="32"/>
      <c r="Z342" s="32"/>
      <c r="AA342" s="203"/>
      <c r="AB342" s="32"/>
      <c r="AC342" s="32"/>
      <c r="AD342" s="33"/>
      <c r="AE342" s="33"/>
      <c r="AF342" s="32"/>
      <c r="AG342" s="32"/>
      <c r="AH342" s="44"/>
      <c r="AI342" s="44"/>
      <c r="AJ342" s="32"/>
      <c r="AK342" s="32"/>
      <c r="AL342" s="32"/>
      <c r="AM342" s="32"/>
      <c r="AN342" s="33"/>
      <c r="AO342" s="33"/>
    </row>
    <row r="343" spans="1:41" x14ac:dyDescent="0.3">
      <c r="A343" s="22"/>
      <c r="C343" s="23"/>
      <c r="F343" s="195"/>
      <c r="H343" s="195"/>
      <c r="I343" s="195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32"/>
      <c r="Z343" s="32"/>
      <c r="AA343" s="203"/>
      <c r="AB343" s="32"/>
      <c r="AC343" s="32"/>
      <c r="AD343" s="33"/>
      <c r="AE343" s="33"/>
      <c r="AF343" s="32"/>
      <c r="AG343" s="32"/>
      <c r="AH343" s="44"/>
      <c r="AI343" s="44"/>
      <c r="AJ343" s="32"/>
      <c r="AK343" s="32"/>
      <c r="AL343" s="32"/>
      <c r="AM343" s="32"/>
      <c r="AN343" s="33"/>
      <c r="AO343" s="33"/>
    </row>
    <row r="344" spans="1:41" x14ac:dyDescent="0.3">
      <c r="A344" s="22"/>
      <c r="C344" s="23"/>
      <c r="J344" s="62"/>
      <c r="K344" s="62"/>
      <c r="T344" s="23"/>
      <c r="AA344" s="62"/>
    </row>
    <row r="345" spans="1:41" x14ac:dyDescent="0.3">
      <c r="A345" s="22"/>
      <c r="C345" s="23"/>
      <c r="F345" s="195"/>
      <c r="H345" s="195"/>
      <c r="I345" s="195"/>
      <c r="J345" s="203"/>
      <c r="K345" s="203"/>
      <c r="L345" s="32"/>
      <c r="M345" s="32"/>
      <c r="N345" s="33"/>
      <c r="O345" s="33"/>
      <c r="P345" s="32"/>
      <c r="Q345" s="32"/>
      <c r="R345" s="32"/>
      <c r="T345" s="23"/>
      <c r="V345" s="32"/>
      <c r="Z345" s="32"/>
      <c r="AA345" s="203"/>
      <c r="AB345" s="32"/>
      <c r="AC345" s="32"/>
      <c r="AD345" s="33"/>
      <c r="AE345" s="33"/>
      <c r="AF345" s="32"/>
      <c r="AG345" s="32"/>
      <c r="AH345" s="44"/>
      <c r="AI345" s="44"/>
      <c r="AJ345" s="32"/>
      <c r="AK345" s="32"/>
      <c r="AL345" s="32"/>
      <c r="AM345" s="32"/>
      <c r="AN345" s="33"/>
      <c r="AO345" s="33"/>
    </row>
    <row r="346" spans="1:41" x14ac:dyDescent="0.3">
      <c r="A346" s="22"/>
      <c r="C346" s="23"/>
      <c r="F346" s="195"/>
      <c r="H346" s="195"/>
      <c r="I346" s="195"/>
      <c r="J346" s="203"/>
      <c r="K346" s="203"/>
      <c r="L346" s="32"/>
      <c r="M346" s="32"/>
      <c r="N346" s="33"/>
      <c r="O346" s="33"/>
      <c r="P346" s="32"/>
      <c r="Q346" s="32"/>
      <c r="R346" s="32"/>
      <c r="T346" s="23"/>
      <c r="V346" s="32"/>
      <c r="Z346" s="32"/>
      <c r="AA346" s="203"/>
      <c r="AB346" s="32"/>
      <c r="AC346" s="32"/>
      <c r="AD346" s="33"/>
      <c r="AE346" s="33"/>
      <c r="AF346" s="32"/>
      <c r="AG346" s="32"/>
      <c r="AH346" s="44"/>
      <c r="AI346" s="44"/>
      <c r="AJ346" s="32"/>
      <c r="AK346" s="32"/>
      <c r="AL346" s="32"/>
      <c r="AM346" s="32"/>
      <c r="AN346" s="33"/>
      <c r="AO346" s="33"/>
    </row>
    <row r="347" spans="1:41" x14ac:dyDescent="0.3">
      <c r="A347" s="22"/>
      <c r="C347" s="23"/>
      <c r="F347" s="195"/>
      <c r="H347" s="195"/>
      <c r="I347" s="195"/>
      <c r="J347" s="203"/>
      <c r="K347" s="203"/>
      <c r="L347" s="32"/>
      <c r="M347" s="32"/>
      <c r="N347" s="33"/>
      <c r="O347" s="33"/>
      <c r="P347" s="32"/>
      <c r="Q347" s="32"/>
      <c r="R347" s="32"/>
      <c r="T347" s="23"/>
      <c r="V347" s="32"/>
      <c r="Z347" s="32"/>
      <c r="AA347" s="203"/>
      <c r="AB347" s="32"/>
      <c r="AC347" s="32"/>
      <c r="AD347" s="33"/>
      <c r="AE347" s="33"/>
      <c r="AF347" s="32"/>
      <c r="AG347" s="32"/>
      <c r="AH347" s="44"/>
      <c r="AI347" s="44"/>
      <c r="AJ347" s="32"/>
      <c r="AK347" s="32"/>
      <c r="AL347" s="32"/>
      <c r="AM347" s="32"/>
      <c r="AN347" s="33"/>
      <c r="AO347" s="33"/>
    </row>
    <row r="348" spans="1:41" x14ac:dyDescent="0.3">
      <c r="A348" s="22"/>
      <c r="C348" s="23"/>
      <c r="J348" s="62"/>
      <c r="K348" s="62"/>
      <c r="T348" s="23"/>
      <c r="AA348" s="62"/>
    </row>
    <row r="349" spans="1:41" x14ac:dyDescent="0.3">
      <c r="A349" s="22"/>
      <c r="C349" s="23"/>
      <c r="F349" s="195"/>
      <c r="H349" s="195"/>
      <c r="I349" s="195"/>
      <c r="J349" s="203"/>
      <c r="K349" s="203"/>
      <c r="L349" s="32"/>
      <c r="M349" s="32"/>
      <c r="N349" s="33"/>
      <c r="O349" s="33"/>
      <c r="P349" s="32"/>
      <c r="Q349" s="32"/>
      <c r="R349" s="32"/>
      <c r="T349" s="23"/>
      <c r="V349" s="32"/>
      <c r="Z349" s="32"/>
      <c r="AA349" s="203"/>
      <c r="AB349" s="32"/>
      <c r="AC349" s="32"/>
      <c r="AD349" s="33"/>
      <c r="AE349" s="33"/>
      <c r="AF349" s="32"/>
      <c r="AG349" s="32"/>
      <c r="AH349" s="44"/>
      <c r="AI349" s="44"/>
      <c r="AJ349" s="32"/>
      <c r="AK349" s="32"/>
      <c r="AL349" s="32"/>
      <c r="AM349" s="32"/>
      <c r="AN349" s="33"/>
      <c r="AO349" s="33"/>
    </row>
    <row r="350" spans="1:41" x14ac:dyDescent="0.3">
      <c r="A350" s="22"/>
      <c r="C350" s="23"/>
      <c r="F350" s="195"/>
      <c r="H350" s="195"/>
      <c r="I350" s="195"/>
      <c r="J350" s="203"/>
      <c r="K350" s="203"/>
      <c r="L350" s="32"/>
      <c r="M350" s="32"/>
      <c r="N350" s="33"/>
      <c r="O350" s="33"/>
      <c r="P350" s="32"/>
      <c r="Q350" s="32"/>
      <c r="R350" s="32"/>
      <c r="T350" s="23"/>
      <c r="V350" s="32"/>
      <c r="Z350" s="32"/>
      <c r="AA350" s="203"/>
      <c r="AB350" s="32"/>
      <c r="AC350" s="32"/>
      <c r="AD350" s="33"/>
      <c r="AE350" s="33"/>
      <c r="AF350" s="32"/>
      <c r="AG350" s="32"/>
      <c r="AH350" s="44"/>
      <c r="AI350" s="44"/>
      <c r="AJ350" s="32"/>
      <c r="AK350" s="32"/>
      <c r="AL350" s="32"/>
      <c r="AM350" s="32"/>
      <c r="AN350" s="33"/>
      <c r="AO350" s="33"/>
    </row>
    <row r="351" spans="1:41" x14ac:dyDescent="0.3">
      <c r="A351" s="22"/>
      <c r="C351" s="23"/>
      <c r="J351" s="62"/>
      <c r="K351" s="62"/>
      <c r="T351" s="23"/>
      <c r="AA351" s="62"/>
    </row>
    <row r="352" spans="1:41" x14ac:dyDescent="0.3">
      <c r="A352" s="22"/>
      <c r="C352" s="23"/>
      <c r="F352" s="195"/>
      <c r="H352" s="195"/>
      <c r="I352" s="195"/>
      <c r="J352" s="203"/>
      <c r="K352" s="203"/>
      <c r="L352" s="32"/>
      <c r="M352" s="32"/>
      <c r="N352" s="33"/>
      <c r="O352" s="33"/>
      <c r="P352" s="32"/>
      <c r="Q352" s="32"/>
      <c r="R352" s="32"/>
      <c r="T352" s="23"/>
      <c r="V352" s="32"/>
      <c r="Z352" s="32"/>
      <c r="AA352" s="203"/>
      <c r="AB352" s="32"/>
      <c r="AC352" s="32"/>
      <c r="AD352" s="33"/>
      <c r="AE352" s="33"/>
      <c r="AF352" s="32"/>
      <c r="AG352" s="32"/>
      <c r="AH352" s="44"/>
      <c r="AI352" s="44"/>
      <c r="AJ352" s="32"/>
      <c r="AK352" s="32"/>
      <c r="AL352" s="32"/>
      <c r="AM352" s="32"/>
      <c r="AN352" s="33"/>
      <c r="AO352" s="33"/>
    </row>
    <row r="353" spans="1:41" x14ac:dyDescent="0.3">
      <c r="A353" s="22"/>
      <c r="C353" s="23"/>
      <c r="F353" s="195"/>
      <c r="H353" s="195"/>
      <c r="I353" s="195"/>
      <c r="J353" s="203"/>
      <c r="K353" s="203"/>
      <c r="L353" s="32"/>
      <c r="M353" s="32"/>
      <c r="N353" s="33"/>
      <c r="O353" s="33"/>
      <c r="P353" s="32"/>
      <c r="Q353" s="32"/>
      <c r="R353" s="32"/>
      <c r="T353" s="23"/>
      <c r="V353" s="32"/>
      <c r="Z353" s="32"/>
      <c r="AA353" s="203"/>
      <c r="AB353" s="32"/>
      <c r="AC353" s="32"/>
      <c r="AD353" s="33"/>
      <c r="AE353" s="33"/>
      <c r="AF353" s="32"/>
      <c r="AG353" s="32"/>
      <c r="AH353" s="44"/>
      <c r="AI353" s="44"/>
      <c r="AJ353" s="32"/>
      <c r="AK353" s="32"/>
      <c r="AL353" s="32"/>
      <c r="AM353" s="32"/>
      <c r="AN353" s="33"/>
      <c r="AO353" s="33"/>
    </row>
    <row r="354" spans="1:41" x14ac:dyDescent="0.3">
      <c r="A354" s="22"/>
      <c r="C354" s="23"/>
      <c r="F354" s="195"/>
      <c r="H354" s="195"/>
      <c r="I354" s="195"/>
      <c r="J354" s="203"/>
      <c r="K354" s="203"/>
      <c r="L354" s="32"/>
      <c r="M354" s="32"/>
      <c r="N354" s="33"/>
      <c r="O354" s="33"/>
      <c r="P354" s="32"/>
      <c r="Q354" s="32"/>
      <c r="R354" s="32"/>
      <c r="T354" s="23"/>
      <c r="V354" s="32"/>
      <c r="Z354" s="32"/>
      <c r="AA354" s="203"/>
      <c r="AB354" s="32"/>
      <c r="AC354" s="32"/>
      <c r="AD354" s="33"/>
      <c r="AE354" s="33"/>
      <c r="AF354" s="32"/>
      <c r="AG354" s="32"/>
      <c r="AH354" s="44"/>
      <c r="AI354" s="44"/>
      <c r="AJ354" s="32"/>
      <c r="AK354" s="32"/>
      <c r="AL354" s="32"/>
      <c r="AM354" s="32"/>
      <c r="AN354" s="33"/>
      <c r="AO354" s="33"/>
    </row>
    <row r="355" spans="1:41" x14ac:dyDescent="0.3">
      <c r="F355" s="34"/>
      <c r="H355" s="34"/>
      <c r="I355" s="34"/>
      <c r="J355" s="203"/>
      <c r="K355" s="203"/>
      <c r="L355" s="34"/>
      <c r="M355" s="34"/>
      <c r="N355" s="34"/>
      <c r="O355" s="34"/>
      <c r="P355" s="34"/>
      <c r="Q355" s="34"/>
      <c r="R355" s="34"/>
      <c r="V355" s="34"/>
      <c r="Z355" s="34"/>
      <c r="AA355" s="203"/>
      <c r="AB355" s="34"/>
      <c r="AC355" s="34"/>
      <c r="AD355" s="34"/>
      <c r="AE355" s="34"/>
      <c r="AF355" s="34"/>
      <c r="AG355" s="34"/>
      <c r="AJ355" s="34"/>
      <c r="AK355" s="34"/>
      <c r="AL355" s="34"/>
      <c r="AM355" s="34"/>
    </row>
    <row r="356" spans="1:41" x14ac:dyDescent="0.3">
      <c r="A356" s="22"/>
      <c r="C356" s="30"/>
      <c r="F356" s="32"/>
      <c r="H356" s="32"/>
      <c r="I356" s="32"/>
      <c r="J356" s="62"/>
      <c r="K356" s="62"/>
      <c r="L356" s="32"/>
      <c r="M356" s="32"/>
      <c r="N356" s="44"/>
      <c r="O356" s="44"/>
      <c r="P356" s="32"/>
      <c r="Q356" s="32"/>
      <c r="R356" s="32"/>
      <c r="T356" s="30"/>
      <c r="V356" s="32"/>
      <c r="Z356" s="32"/>
      <c r="AA356" s="62"/>
      <c r="AB356" s="32"/>
      <c r="AC356" s="32"/>
      <c r="AD356" s="32"/>
      <c r="AE356" s="32"/>
      <c r="AF356" s="32"/>
      <c r="AG356" s="32"/>
      <c r="AH356" s="44"/>
      <c r="AI356" s="44"/>
      <c r="AJ356" s="32"/>
      <c r="AK356" s="32"/>
      <c r="AL356" s="32"/>
      <c r="AM356" s="32"/>
      <c r="AN356" s="33"/>
      <c r="AO356" s="33"/>
    </row>
    <row r="357" spans="1:41" x14ac:dyDescent="0.3">
      <c r="F357" s="34"/>
      <c r="H357" s="34"/>
      <c r="I357" s="34"/>
      <c r="J357" s="203"/>
      <c r="K357" s="203"/>
      <c r="L357" s="34"/>
      <c r="M357" s="34"/>
      <c r="N357" s="34"/>
      <c r="O357" s="34"/>
      <c r="P357" s="34"/>
      <c r="Q357" s="34"/>
      <c r="R357" s="34"/>
      <c r="V357" s="34"/>
      <c r="Z357" s="34"/>
      <c r="AA357" s="203"/>
      <c r="AB357" s="34"/>
      <c r="AC357" s="34"/>
      <c r="AD357" s="34"/>
      <c r="AE357" s="34"/>
      <c r="AF357" s="34"/>
      <c r="AG357" s="34"/>
      <c r="AJ357" s="34"/>
      <c r="AK357" s="34"/>
      <c r="AL357" s="34"/>
      <c r="AM357" s="34"/>
    </row>
    <row r="358" spans="1:41" x14ac:dyDescent="0.3">
      <c r="A358" s="22"/>
      <c r="C358" s="23"/>
      <c r="J358" s="62"/>
      <c r="K358" s="62"/>
      <c r="T358" s="23"/>
      <c r="AA358" s="62"/>
    </row>
    <row r="359" spans="1:41" x14ac:dyDescent="0.3">
      <c r="A359" s="22"/>
      <c r="C359" s="23"/>
      <c r="J359" s="62"/>
      <c r="K359" s="62"/>
      <c r="T359" s="23"/>
      <c r="AA359" s="62"/>
    </row>
    <row r="360" spans="1:41" x14ac:dyDescent="0.3">
      <c r="A360" s="22"/>
      <c r="C360" s="23"/>
      <c r="F360" s="195"/>
      <c r="H360" s="195"/>
      <c r="I360" s="195"/>
      <c r="J360" s="203"/>
      <c r="K360" s="203"/>
      <c r="L360" s="32"/>
      <c r="M360" s="32"/>
      <c r="N360" s="33"/>
      <c r="O360" s="33"/>
      <c r="P360" s="32"/>
      <c r="Q360" s="32"/>
      <c r="R360" s="32"/>
      <c r="T360" s="23"/>
      <c r="V360" s="32"/>
      <c r="Z360" s="32"/>
      <c r="AA360" s="203"/>
      <c r="AB360" s="32"/>
      <c r="AC360" s="32"/>
      <c r="AD360" s="33"/>
      <c r="AE360" s="33"/>
      <c r="AF360" s="32"/>
      <c r="AG360" s="32"/>
      <c r="AH360" s="44"/>
      <c r="AI360" s="44"/>
      <c r="AJ360" s="32"/>
      <c r="AK360" s="32"/>
      <c r="AL360" s="32"/>
      <c r="AM360" s="32"/>
      <c r="AN360" s="33"/>
      <c r="AO360" s="33"/>
    </row>
    <row r="361" spans="1:41" x14ac:dyDescent="0.3">
      <c r="A361" s="22"/>
      <c r="C361" s="23"/>
      <c r="F361" s="195"/>
      <c r="H361" s="195"/>
      <c r="I361" s="195"/>
      <c r="J361" s="203"/>
      <c r="K361" s="203"/>
      <c r="L361" s="32"/>
      <c r="M361" s="32"/>
      <c r="N361" s="33"/>
      <c r="O361" s="33"/>
      <c r="P361" s="32"/>
      <c r="Q361" s="32"/>
      <c r="R361" s="32"/>
      <c r="T361" s="23"/>
      <c r="V361" s="32"/>
      <c r="Z361" s="32"/>
      <c r="AA361" s="203"/>
      <c r="AB361" s="32"/>
      <c r="AC361" s="32"/>
      <c r="AD361" s="33"/>
      <c r="AE361" s="33"/>
      <c r="AF361" s="32"/>
      <c r="AG361" s="32"/>
      <c r="AH361" s="44"/>
      <c r="AI361" s="44"/>
      <c r="AJ361" s="32"/>
      <c r="AK361" s="32"/>
      <c r="AL361" s="32"/>
      <c r="AM361" s="32"/>
      <c r="AN361" s="33"/>
      <c r="AO361" s="33"/>
    </row>
    <row r="362" spans="1:41" x14ac:dyDescent="0.3">
      <c r="A362" s="22"/>
      <c r="C362" s="23"/>
      <c r="F362" s="195"/>
      <c r="H362" s="195"/>
      <c r="I362" s="195"/>
      <c r="J362" s="203"/>
      <c r="K362" s="203"/>
      <c r="L362" s="32"/>
      <c r="M362" s="32"/>
      <c r="N362" s="33"/>
      <c r="O362" s="33"/>
      <c r="P362" s="32"/>
      <c r="Q362" s="32"/>
      <c r="R362" s="32"/>
      <c r="T362" s="23"/>
      <c r="V362" s="32"/>
      <c r="Z362" s="32"/>
      <c r="AA362" s="203"/>
      <c r="AB362" s="32"/>
      <c r="AC362" s="32"/>
      <c r="AD362" s="33"/>
      <c r="AE362" s="33"/>
      <c r="AF362" s="32"/>
      <c r="AG362" s="32"/>
      <c r="AH362" s="44"/>
      <c r="AI362" s="44"/>
      <c r="AJ362" s="32"/>
      <c r="AK362" s="32"/>
      <c r="AL362" s="32"/>
      <c r="AM362" s="32"/>
      <c r="AN362" s="33"/>
      <c r="AO362" s="33"/>
    </row>
    <row r="363" spans="1:41" x14ac:dyDescent="0.3">
      <c r="A363" s="22"/>
      <c r="C363" s="23"/>
      <c r="F363" s="195"/>
      <c r="H363" s="195"/>
      <c r="I363" s="195"/>
      <c r="J363" s="203"/>
      <c r="K363" s="203"/>
      <c r="L363" s="32"/>
      <c r="M363" s="32"/>
      <c r="N363" s="33"/>
      <c r="O363" s="33"/>
      <c r="P363" s="32"/>
      <c r="Q363" s="32"/>
      <c r="R363" s="32"/>
      <c r="T363" s="23"/>
      <c r="V363" s="32"/>
      <c r="Z363" s="32"/>
      <c r="AA363" s="203"/>
      <c r="AB363" s="32"/>
      <c r="AC363" s="32"/>
      <c r="AD363" s="33"/>
      <c r="AE363" s="33"/>
      <c r="AF363" s="32"/>
      <c r="AG363" s="32"/>
      <c r="AH363" s="44"/>
      <c r="AI363" s="44"/>
      <c r="AJ363" s="32"/>
      <c r="AK363" s="32"/>
      <c r="AL363" s="32"/>
      <c r="AM363" s="32"/>
      <c r="AN363" s="33"/>
      <c r="AO363" s="33"/>
    </row>
    <row r="364" spans="1:41" x14ac:dyDescent="0.3">
      <c r="A364" s="22"/>
      <c r="C364" s="23"/>
      <c r="F364" s="195"/>
      <c r="H364" s="195"/>
      <c r="I364" s="195"/>
      <c r="J364" s="203"/>
      <c r="K364" s="203"/>
      <c r="L364" s="32"/>
      <c r="M364" s="32"/>
      <c r="N364" s="33"/>
      <c r="O364" s="33"/>
      <c r="P364" s="32"/>
      <c r="Q364" s="32"/>
      <c r="R364" s="32"/>
      <c r="T364" s="23"/>
      <c r="V364" s="32"/>
      <c r="Z364" s="32"/>
      <c r="AA364" s="203"/>
      <c r="AB364" s="32"/>
      <c r="AC364" s="32"/>
      <c r="AD364" s="33"/>
      <c r="AE364" s="33"/>
      <c r="AF364" s="32"/>
      <c r="AG364" s="32"/>
      <c r="AH364" s="44"/>
      <c r="AI364" s="44"/>
      <c r="AJ364" s="32"/>
      <c r="AK364" s="32"/>
      <c r="AL364" s="32"/>
      <c r="AM364" s="32"/>
      <c r="AN364" s="33"/>
      <c r="AO364" s="33"/>
    </row>
    <row r="365" spans="1:41" x14ac:dyDescent="0.3">
      <c r="A365" s="22"/>
      <c r="C365" s="23"/>
      <c r="F365" s="195"/>
      <c r="H365" s="195"/>
      <c r="I365" s="195"/>
      <c r="J365" s="203"/>
      <c r="K365" s="203"/>
      <c r="L365" s="32"/>
      <c r="M365" s="32"/>
      <c r="N365" s="33"/>
      <c r="O365" s="33"/>
      <c r="P365" s="32"/>
      <c r="Q365" s="32"/>
      <c r="R365" s="32"/>
      <c r="T365" s="23"/>
      <c r="V365" s="32"/>
      <c r="Z365" s="32"/>
      <c r="AA365" s="203"/>
      <c r="AB365" s="32"/>
      <c r="AC365" s="32"/>
      <c r="AD365" s="33"/>
      <c r="AE365" s="33"/>
      <c r="AF365" s="32"/>
      <c r="AG365" s="32"/>
      <c r="AH365" s="44"/>
      <c r="AI365" s="44"/>
      <c r="AJ365" s="32"/>
      <c r="AK365" s="32"/>
      <c r="AL365" s="32"/>
      <c r="AM365" s="32"/>
      <c r="AN365" s="33"/>
      <c r="AO365" s="33"/>
    </row>
    <row r="366" spans="1:41" x14ac:dyDescent="0.3">
      <c r="A366" s="22"/>
      <c r="C366" s="23"/>
      <c r="F366" s="195"/>
      <c r="H366" s="195"/>
      <c r="I366" s="195"/>
      <c r="J366" s="203"/>
      <c r="K366" s="203"/>
      <c r="L366" s="32"/>
      <c r="M366" s="32"/>
      <c r="N366" s="33"/>
      <c r="O366" s="33"/>
      <c r="P366" s="32"/>
      <c r="Q366" s="32"/>
      <c r="R366" s="32"/>
      <c r="T366" s="23"/>
      <c r="V366" s="32"/>
      <c r="Z366" s="32"/>
      <c r="AA366" s="203"/>
      <c r="AB366" s="32"/>
      <c r="AC366" s="32"/>
      <c r="AD366" s="33"/>
      <c r="AE366" s="33"/>
      <c r="AF366" s="32"/>
      <c r="AG366" s="32"/>
      <c r="AH366" s="44"/>
      <c r="AI366" s="44"/>
      <c r="AJ366" s="32"/>
      <c r="AK366" s="32"/>
      <c r="AL366" s="32"/>
      <c r="AM366" s="32"/>
      <c r="AN366" s="33"/>
      <c r="AO366" s="33"/>
    </row>
    <row r="367" spans="1:41" x14ac:dyDescent="0.3">
      <c r="A367" s="22"/>
      <c r="C367" s="23"/>
      <c r="J367" s="62"/>
      <c r="K367" s="62"/>
      <c r="T367" s="23"/>
      <c r="AA367" s="62"/>
    </row>
    <row r="368" spans="1:41" x14ac:dyDescent="0.3">
      <c r="A368" s="22"/>
      <c r="C368" s="23"/>
      <c r="F368" s="195"/>
      <c r="H368" s="195"/>
      <c r="I368" s="195"/>
      <c r="J368" s="203"/>
      <c r="K368" s="203"/>
      <c r="L368" s="32"/>
      <c r="M368" s="32"/>
      <c r="N368" s="33"/>
      <c r="O368" s="33"/>
      <c r="P368" s="32"/>
      <c r="Q368" s="32"/>
      <c r="R368" s="32"/>
      <c r="T368" s="23"/>
      <c r="V368" s="32"/>
      <c r="Z368" s="32"/>
      <c r="AA368" s="203"/>
      <c r="AB368" s="32"/>
      <c r="AC368" s="32"/>
      <c r="AD368" s="33"/>
      <c r="AE368" s="33"/>
      <c r="AF368" s="32"/>
      <c r="AG368" s="32"/>
      <c r="AH368" s="44"/>
      <c r="AI368" s="44"/>
      <c r="AJ368" s="32"/>
      <c r="AK368" s="32"/>
      <c r="AL368" s="32"/>
      <c r="AM368" s="32"/>
      <c r="AN368" s="33"/>
      <c r="AO368" s="33"/>
    </row>
    <row r="369" spans="1:41" x14ac:dyDescent="0.3">
      <c r="A369" s="22"/>
      <c r="C369" s="23"/>
      <c r="F369" s="195"/>
      <c r="H369" s="195"/>
      <c r="I369" s="195"/>
      <c r="J369" s="203"/>
      <c r="K369" s="203"/>
      <c r="L369" s="32"/>
      <c r="M369" s="32"/>
      <c r="N369" s="33"/>
      <c r="O369" s="33"/>
      <c r="P369" s="32"/>
      <c r="Q369" s="32"/>
      <c r="R369" s="32"/>
      <c r="T369" s="23"/>
      <c r="V369" s="32"/>
      <c r="Z369" s="32"/>
      <c r="AA369" s="203"/>
      <c r="AB369" s="32"/>
      <c r="AC369" s="32"/>
      <c r="AD369" s="33"/>
      <c r="AE369" s="33"/>
      <c r="AF369" s="32"/>
      <c r="AG369" s="32"/>
      <c r="AH369" s="44"/>
      <c r="AI369" s="44"/>
      <c r="AJ369" s="32"/>
      <c r="AK369" s="32"/>
      <c r="AL369" s="32"/>
      <c r="AM369" s="32"/>
      <c r="AN369" s="33"/>
      <c r="AO369" s="33"/>
    </row>
    <row r="370" spans="1:41" x14ac:dyDescent="0.3">
      <c r="A370" s="22"/>
      <c r="C370" s="23"/>
      <c r="F370" s="195"/>
      <c r="H370" s="195"/>
      <c r="I370" s="195"/>
      <c r="J370" s="203"/>
      <c r="K370" s="203"/>
      <c r="L370" s="32"/>
      <c r="M370" s="32"/>
      <c r="N370" s="33"/>
      <c r="O370" s="33"/>
      <c r="P370" s="32"/>
      <c r="Q370" s="32"/>
      <c r="R370" s="32"/>
      <c r="T370" s="23"/>
      <c r="V370" s="32"/>
      <c r="Z370" s="32"/>
      <c r="AA370" s="203"/>
      <c r="AB370" s="32"/>
      <c r="AC370" s="32"/>
      <c r="AD370" s="33"/>
      <c r="AE370" s="33"/>
      <c r="AF370" s="32"/>
      <c r="AG370" s="32"/>
      <c r="AH370" s="44"/>
      <c r="AI370" s="44"/>
      <c r="AJ370" s="32"/>
      <c r="AK370" s="32"/>
      <c r="AL370" s="32"/>
      <c r="AM370" s="32"/>
      <c r="AN370" s="33"/>
      <c r="AO370" s="33"/>
    </row>
    <row r="371" spans="1:41" x14ac:dyDescent="0.3">
      <c r="A371" s="22"/>
      <c r="C371" s="23"/>
      <c r="F371" s="195"/>
      <c r="H371" s="195"/>
      <c r="I371" s="195"/>
      <c r="J371" s="203"/>
      <c r="K371" s="203"/>
      <c r="L371" s="32"/>
      <c r="M371" s="32"/>
      <c r="N371" s="33"/>
      <c r="O371" s="33"/>
      <c r="P371" s="32"/>
      <c r="Q371" s="32"/>
      <c r="R371" s="32"/>
      <c r="T371" s="23"/>
      <c r="V371" s="32"/>
      <c r="Z371" s="32"/>
      <c r="AA371" s="203"/>
      <c r="AB371" s="32"/>
      <c r="AC371" s="32"/>
      <c r="AD371" s="33"/>
      <c r="AE371" s="33"/>
      <c r="AF371" s="32"/>
      <c r="AG371" s="32"/>
      <c r="AH371" s="44"/>
      <c r="AI371" s="44"/>
      <c r="AJ371" s="32"/>
      <c r="AK371" s="32"/>
      <c r="AL371" s="32"/>
      <c r="AM371" s="32"/>
      <c r="AN371" s="33"/>
      <c r="AO371" s="33"/>
    </row>
    <row r="372" spans="1:41" x14ac:dyDescent="0.3">
      <c r="A372" s="22"/>
      <c r="C372" s="23"/>
      <c r="J372" s="62"/>
      <c r="K372" s="62"/>
      <c r="T372" s="23"/>
      <c r="AA372" s="62"/>
    </row>
    <row r="373" spans="1:41" x14ac:dyDescent="0.3">
      <c r="A373" s="22"/>
      <c r="C373" s="23"/>
      <c r="F373" s="195"/>
      <c r="H373" s="195"/>
      <c r="I373" s="195"/>
      <c r="J373" s="203"/>
      <c r="K373" s="203"/>
      <c r="L373" s="32"/>
      <c r="M373" s="32"/>
      <c r="N373" s="33"/>
      <c r="O373" s="33"/>
      <c r="P373" s="32"/>
      <c r="Q373" s="32"/>
      <c r="R373" s="32"/>
      <c r="T373" s="23"/>
      <c r="V373" s="32"/>
      <c r="Z373" s="32"/>
      <c r="AA373" s="203"/>
      <c r="AB373" s="32"/>
      <c r="AC373" s="32"/>
      <c r="AD373" s="33"/>
      <c r="AE373" s="33"/>
      <c r="AF373" s="32"/>
      <c r="AG373" s="32"/>
      <c r="AH373" s="44"/>
      <c r="AI373" s="44"/>
      <c r="AJ373" s="32"/>
      <c r="AK373" s="32"/>
      <c r="AL373" s="32"/>
      <c r="AM373" s="32"/>
      <c r="AN373" s="33"/>
      <c r="AO373" s="33"/>
    </row>
    <row r="374" spans="1:41" x14ac:dyDescent="0.3">
      <c r="A374" s="22"/>
      <c r="C374" s="23"/>
      <c r="F374" s="195"/>
      <c r="H374" s="195"/>
      <c r="I374" s="195"/>
      <c r="J374" s="203"/>
      <c r="K374" s="203"/>
      <c r="L374" s="32"/>
      <c r="M374" s="32"/>
      <c r="N374" s="33"/>
      <c r="O374" s="33"/>
      <c r="P374" s="32"/>
      <c r="Q374" s="32"/>
      <c r="R374" s="32"/>
      <c r="T374" s="23"/>
      <c r="V374" s="32"/>
      <c r="Z374" s="32"/>
      <c r="AA374" s="203"/>
      <c r="AB374" s="32"/>
      <c r="AC374" s="32"/>
      <c r="AD374" s="33"/>
      <c r="AE374" s="33"/>
      <c r="AF374" s="32"/>
      <c r="AG374" s="32"/>
      <c r="AH374" s="44"/>
      <c r="AI374" s="44"/>
      <c r="AJ374" s="32"/>
      <c r="AK374" s="32"/>
      <c r="AL374" s="32"/>
      <c r="AM374" s="32"/>
      <c r="AN374" s="33"/>
      <c r="AO374" s="33"/>
    </row>
    <row r="375" spans="1:41" x14ac:dyDescent="0.3">
      <c r="A375" s="22"/>
      <c r="C375" s="23"/>
      <c r="F375" s="195"/>
      <c r="H375" s="195"/>
      <c r="I375" s="195"/>
      <c r="J375" s="203"/>
      <c r="K375" s="203"/>
      <c r="L375" s="32"/>
      <c r="M375" s="32"/>
      <c r="N375" s="33"/>
      <c r="O375" s="33"/>
      <c r="P375" s="32"/>
      <c r="Q375" s="32"/>
      <c r="R375" s="32"/>
      <c r="T375" s="23"/>
      <c r="V375" s="32"/>
      <c r="Z375" s="32"/>
      <c r="AA375" s="203"/>
      <c r="AB375" s="32"/>
      <c r="AC375" s="32"/>
      <c r="AD375" s="33"/>
      <c r="AE375" s="33"/>
      <c r="AF375" s="32"/>
      <c r="AG375" s="32"/>
      <c r="AH375" s="44"/>
      <c r="AI375" s="44"/>
      <c r="AJ375" s="32"/>
      <c r="AK375" s="32"/>
      <c r="AL375" s="32"/>
      <c r="AM375" s="32"/>
      <c r="AN375" s="33"/>
      <c r="AO375" s="33"/>
    </row>
    <row r="376" spans="1:41" x14ac:dyDescent="0.3">
      <c r="A376" s="22"/>
      <c r="C376" s="23"/>
      <c r="F376" s="195"/>
      <c r="H376" s="195"/>
      <c r="I376" s="195"/>
      <c r="J376" s="203"/>
      <c r="K376" s="203"/>
      <c r="L376" s="32"/>
      <c r="M376" s="32"/>
      <c r="N376" s="33"/>
      <c r="O376" s="33"/>
      <c r="P376" s="32"/>
      <c r="Q376" s="32"/>
      <c r="R376" s="32"/>
      <c r="T376" s="23"/>
      <c r="V376" s="32"/>
      <c r="Z376" s="32"/>
      <c r="AA376" s="203"/>
      <c r="AB376" s="32"/>
      <c r="AC376" s="32"/>
      <c r="AD376" s="33"/>
      <c r="AE376" s="33"/>
      <c r="AF376" s="32"/>
      <c r="AG376" s="32"/>
      <c r="AH376" s="44"/>
      <c r="AI376" s="44"/>
      <c r="AJ376" s="32"/>
      <c r="AK376" s="32"/>
      <c r="AL376" s="32"/>
      <c r="AM376" s="32"/>
      <c r="AN376" s="33"/>
      <c r="AO376" s="33"/>
    </row>
    <row r="377" spans="1:41" x14ac:dyDescent="0.3">
      <c r="A377" s="22"/>
      <c r="C377" s="23"/>
      <c r="F377" s="195"/>
      <c r="H377" s="195"/>
      <c r="I377" s="195"/>
      <c r="J377" s="203"/>
      <c r="K377" s="203"/>
      <c r="L377" s="32"/>
      <c r="M377" s="32"/>
      <c r="N377" s="33"/>
      <c r="O377" s="33"/>
      <c r="P377" s="32"/>
      <c r="Q377" s="32"/>
      <c r="R377" s="32"/>
      <c r="T377" s="23"/>
      <c r="V377" s="32"/>
      <c r="Z377" s="32"/>
      <c r="AA377" s="203"/>
      <c r="AB377" s="32"/>
      <c r="AC377" s="32"/>
      <c r="AD377" s="33"/>
      <c r="AE377" s="33"/>
      <c r="AF377" s="32"/>
      <c r="AG377" s="32"/>
      <c r="AH377" s="44"/>
      <c r="AI377" s="44"/>
      <c r="AJ377" s="32"/>
      <c r="AK377" s="32"/>
      <c r="AL377" s="32"/>
      <c r="AM377" s="32"/>
      <c r="AN377" s="33"/>
      <c r="AO377" s="33"/>
    </row>
    <row r="378" spans="1:41" x14ac:dyDescent="0.3">
      <c r="F378" s="34"/>
      <c r="H378" s="34"/>
      <c r="I378" s="34"/>
      <c r="J378" s="198"/>
      <c r="K378" s="198"/>
      <c r="L378" s="34"/>
      <c r="M378" s="34"/>
      <c r="N378" s="34"/>
      <c r="O378" s="34"/>
      <c r="P378" s="34"/>
      <c r="Q378" s="34"/>
      <c r="R378" s="34"/>
      <c r="V378" s="34"/>
      <c r="Z378" s="34"/>
      <c r="AA378" s="203"/>
      <c r="AB378" s="34"/>
      <c r="AC378" s="34"/>
      <c r="AD378" s="34"/>
      <c r="AE378" s="34"/>
      <c r="AF378" s="34"/>
      <c r="AG378" s="34"/>
      <c r="AJ378" s="34"/>
      <c r="AK378" s="34"/>
      <c r="AL378" s="34"/>
      <c r="AM378" s="34"/>
    </row>
    <row r="379" spans="1:41" x14ac:dyDescent="0.3">
      <c r="A379" s="22"/>
      <c r="C379" s="23"/>
      <c r="F379" s="32"/>
      <c r="H379" s="32"/>
      <c r="I379" s="32"/>
      <c r="L379" s="32"/>
      <c r="M379" s="32"/>
      <c r="N379" s="44"/>
      <c r="O379" s="44"/>
      <c r="P379" s="32"/>
      <c r="Q379" s="32"/>
      <c r="R379" s="32"/>
      <c r="T379" s="23"/>
      <c r="V379" s="32"/>
      <c r="Z379" s="32"/>
      <c r="AB379" s="32"/>
      <c r="AC379" s="32"/>
      <c r="AD379" s="33"/>
      <c r="AE379" s="33"/>
      <c r="AF379" s="32"/>
      <c r="AG379" s="32"/>
      <c r="AH379" s="44"/>
      <c r="AI379" s="44"/>
      <c r="AJ379" s="32"/>
      <c r="AK379" s="32"/>
      <c r="AL379" s="32"/>
      <c r="AM379" s="32"/>
      <c r="AN379" s="33"/>
      <c r="AO379" s="33"/>
    </row>
    <row r="380" spans="1:41" x14ac:dyDescent="0.3">
      <c r="F380" s="34"/>
      <c r="H380" s="34"/>
      <c r="I380" s="34"/>
      <c r="J380" s="198"/>
      <c r="K380" s="198"/>
      <c r="L380" s="34"/>
      <c r="M380" s="34"/>
      <c r="N380" s="34"/>
      <c r="O380" s="34"/>
      <c r="P380" s="34"/>
      <c r="Q380" s="34"/>
      <c r="R380" s="34"/>
      <c r="V380" s="34"/>
      <c r="Z380" s="34"/>
      <c r="AA380" s="198"/>
      <c r="AB380" s="34"/>
      <c r="AC380" s="34"/>
      <c r="AD380" s="34"/>
      <c r="AE380" s="34"/>
      <c r="AF380" s="34"/>
      <c r="AG380" s="34"/>
      <c r="AJ380" s="34"/>
      <c r="AK380" s="34"/>
      <c r="AL380" s="34"/>
      <c r="AM380" s="34"/>
    </row>
    <row r="381" spans="1:41" x14ac:dyDescent="0.3">
      <c r="A381" s="22"/>
      <c r="C381" s="23"/>
      <c r="T381" s="23"/>
    </row>
    <row r="382" spans="1:41" x14ac:dyDescent="0.3">
      <c r="A382" s="22"/>
      <c r="C382" s="23"/>
      <c r="F382" s="195"/>
      <c r="H382" s="195"/>
      <c r="I382" s="195"/>
      <c r="J382" s="119"/>
      <c r="K382" s="119"/>
      <c r="L382" s="32"/>
      <c r="M382" s="32"/>
      <c r="N382" s="33"/>
      <c r="O382" s="33"/>
      <c r="P382" s="32"/>
      <c r="Q382" s="32"/>
      <c r="R382" s="32"/>
      <c r="T382" s="23"/>
      <c r="V382" s="32"/>
      <c r="Z382" s="32"/>
      <c r="AA382" s="119"/>
      <c r="AB382" s="32"/>
      <c r="AC382" s="32"/>
      <c r="AD382" s="33"/>
      <c r="AE382" s="33"/>
      <c r="AF382" s="32"/>
      <c r="AG382" s="32"/>
      <c r="AH382" s="44"/>
      <c r="AI382" s="44"/>
      <c r="AJ382" s="32"/>
      <c r="AK382" s="32"/>
      <c r="AL382" s="32"/>
      <c r="AM382" s="32"/>
      <c r="AN382" s="33"/>
      <c r="AO382" s="33"/>
    </row>
    <row r="383" spans="1:41" x14ac:dyDescent="0.3">
      <c r="A383" s="22"/>
      <c r="C383" s="23"/>
      <c r="F383" s="195"/>
      <c r="H383" s="195"/>
      <c r="I383" s="195"/>
      <c r="J383" s="119"/>
      <c r="K383" s="119"/>
      <c r="L383" s="32"/>
      <c r="M383" s="32"/>
      <c r="N383" s="33"/>
      <c r="O383" s="33"/>
      <c r="P383" s="32"/>
      <c r="Q383" s="32"/>
      <c r="R383" s="32"/>
      <c r="T383" s="23"/>
      <c r="V383" s="32"/>
      <c r="Z383" s="32"/>
      <c r="AA383" s="119"/>
      <c r="AB383" s="32"/>
      <c r="AC383" s="32"/>
      <c r="AD383" s="33"/>
      <c r="AE383" s="33"/>
      <c r="AF383" s="32"/>
      <c r="AG383" s="32"/>
      <c r="AH383" s="44"/>
      <c r="AI383" s="44"/>
      <c r="AJ383" s="32"/>
      <c r="AK383" s="32"/>
      <c r="AL383" s="32"/>
      <c r="AM383" s="32"/>
      <c r="AN383" s="33"/>
      <c r="AO383" s="33"/>
    </row>
    <row r="384" spans="1:41" x14ac:dyDescent="0.3">
      <c r="F384" s="34"/>
      <c r="H384" s="32"/>
      <c r="I384" s="32"/>
      <c r="J384" s="198"/>
      <c r="K384" s="198"/>
      <c r="L384" s="34"/>
      <c r="M384" s="34"/>
      <c r="N384" s="34"/>
      <c r="O384" s="34"/>
      <c r="P384" s="34"/>
      <c r="Q384" s="34"/>
      <c r="R384" s="34"/>
      <c r="V384" s="34"/>
      <c r="Z384" s="32"/>
      <c r="AA384" s="198"/>
      <c r="AB384" s="34"/>
      <c r="AC384" s="34"/>
      <c r="AD384" s="34"/>
      <c r="AE384" s="34"/>
      <c r="AF384" s="34"/>
      <c r="AG384" s="34"/>
      <c r="AJ384" s="34"/>
      <c r="AK384" s="34"/>
      <c r="AL384" s="34"/>
      <c r="AM384" s="34"/>
    </row>
    <row r="385" spans="1:41" x14ac:dyDescent="0.3">
      <c r="F385" s="32"/>
      <c r="H385" s="32"/>
      <c r="I385" s="32"/>
      <c r="J385" s="198"/>
      <c r="K385" s="198"/>
      <c r="L385" s="32"/>
      <c r="M385" s="32"/>
      <c r="N385" s="32"/>
      <c r="O385" s="32"/>
      <c r="P385" s="32"/>
      <c r="Q385" s="32"/>
      <c r="R385" s="32"/>
      <c r="V385" s="32"/>
      <c r="Z385" s="32"/>
      <c r="AA385" s="198"/>
      <c r="AB385" s="32"/>
      <c r="AC385" s="32"/>
      <c r="AD385" s="32"/>
      <c r="AE385" s="32"/>
      <c r="AF385" s="32"/>
      <c r="AG385" s="32"/>
      <c r="AJ385" s="32"/>
      <c r="AK385" s="32"/>
      <c r="AL385" s="32"/>
      <c r="AM385" s="32"/>
    </row>
    <row r="386" spans="1:41" x14ac:dyDescent="0.3">
      <c r="A386" s="22"/>
      <c r="C386" s="23"/>
      <c r="F386" s="32"/>
      <c r="H386" s="32"/>
      <c r="I386" s="32"/>
      <c r="L386" s="32"/>
      <c r="M386" s="32"/>
      <c r="N386" s="33"/>
      <c r="O386" s="33"/>
      <c r="P386" s="32"/>
      <c r="Q386" s="32"/>
      <c r="R386" s="32"/>
      <c r="T386" s="23"/>
      <c r="V386" s="32"/>
      <c r="Z386" s="32"/>
      <c r="AB386" s="32"/>
      <c r="AC386" s="32"/>
      <c r="AD386" s="33"/>
      <c r="AE386" s="33"/>
      <c r="AF386" s="32"/>
      <c r="AG386" s="32"/>
      <c r="AH386" s="44"/>
      <c r="AI386" s="44"/>
      <c r="AJ386" s="195"/>
      <c r="AK386" s="195"/>
      <c r="AL386" s="32"/>
      <c r="AM386" s="32"/>
      <c r="AN386" s="33"/>
      <c r="AO386" s="33"/>
    </row>
    <row r="387" spans="1:41" x14ac:dyDescent="0.3">
      <c r="F387" s="34"/>
      <c r="H387" s="34"/>
      <c r="I387" s="34"/>
      <c r="J387" s="198"/>
      <c r="K387" s="198"/>
      <c r="L387" s="34"/>
      <c r="M387" s="34"/>
      <c r="N387" s="34"/>
      <c r="O387" s="34"/>
      <c r="P387" s="34"/>
      <c r="Q387" s="34"/>
      <c r="R387" s="34"/>
      <c r="V387" s="34"/>
      <c r="Z387" s="34"/>
      <c r="AA387" s="198"/>
      <c r="AB387" s="34"/>
      <c r="AC387" s="34"/>
      <c r="AD387" s="34"/>
      <c r="AE387" s="34"/>
      <c r="AF387" s="34"/>
      <c r="AG387" s="34"/>
      <c r="AJ387" s="34"/>
      <c r="AK387" s="34"/>
      <c r="AL387" s="34"/>
      <c r="AM387" s="34"/>
    </row>
    <row r="389" spans="1:41" x14ac:dyDescent="0.3">
      <c r="A389" s="23"/>
      <c r="T389" s="23"/>
    </row>
    <row r="390" spans="1:41" x14ac:dyDescent="0.3">
      <c r="A390" s="23"/>
      <c r="T390" s="23"/>
    </row>
    <row r="391" spans="1:41" x14ac:dyDescent="0.3">
      <c r="A391" s="23"/>
      <c r="T391" s="23"/>
    </row>
    <row r="392" spans="1:41" x14ac:dyDescent="0.3">
      <c r="A392" s="23"/>
      <c r="T392" s="23"/>
    </row>
    <row r="393" spans="1:41" x14ac:dyDescent="0.3">
      <c r="A393" s="23"/>
      <c r="T393" s="23"/>
    </row>
    <row r="394" spans="1:41" x14ac:dyDescent="0.3">
      <c r="A394" s="23"/>
      <c r="T394" s="23"/>
    </row>
    <row r="395" spans="1:41" x14ac:dyDescent="0.3">
      <c r="A395" s="23"/>
      <c r="T395" s="23"/>
    </row>
    <row r="396" spans="1:41" x14ac:dyDescent="0.3">
      <c r="A396" s="23"/>
      <c r="T396" s="23"/>
    </row>
    <row r="397" spans="1:41" x14ac:dyDescent="0.3">
      <c r="A397" s="23"/>
      <c r="T397" s="23"/>
    </row>
    <row r="399" spans="1:41" x14ac:dyDescent="0.3">
      <c r="A399" s="23"/>
    </row>
    <row r="400" spans="1:41" x14ac:dyDescent="0.3">
      <c r="J400" s="22"/>
      <c r="K400" s="22"/>
      <c r="AA400" s="22"/>
    </row>
    <row r="401" spans="1:41" x14ac:dyDescent="0.3">
      <c r="H401" s="23"/>
      <c r="I401" s="23"/>
      <c r="Z401" s="23"/>
    </row>
    <row r="402" spans="1:41" x14ac:dyDescent="0.3">
      <c r="J402" s="22"/>
      <c r="K402" s="22"/>
      <c r="AA402" s="22"/>
    </row>
    <row r="403" spans="1:41" x14ac:dyDescent="0.3">
      <c r="L403" s="23"/>
      <c r="M403" s="23"/>
      <c r="AB403" s="23"/>
      <c r="AC403" s="23"/>
    </row>
    <row r="404" spans="1:41" x14ac:dyDescent="0.3">
      <c r="A404" s="22"/>
      <c r="R404" s="23"/>
      <c r="AL404" s="23"/>
      <c r="AM404" s="23"/>
    </row>
    <row r="405" spans="1:41" x14ac:dyDescent="0.3">
      <c r="A405" s="22"/>
      <c r="R405" s="23"/>
      <c r="AL405" s="23"/>
      <c r="AM405" s="23"/>
    </row>
    <row r="406" spans="1:41" x14ac:dyDescent="0.3">
      <c r="A406" s="23"/>
      <c r="R406" s="23"/>
      <c r="AL406" s="23"/>
      <c r="AM406" s="23"/>
    </row>
    <row r="407" spans="1:41" x14ac:dyDescent="0.3">
      <c r="L407" s="23"/>
      <c r="M407" s="23"/>
      <c r="R407" s="22"/>
      <c r="AB407" s="23"/>
      <c r="AC407" s="23"/>
      <c r="AL407" s="22"/>
      <c r="AM407" s="22"/>
    </row>
    <row r="408" spans="1:4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1:41" x14ac:dyDescent="0.3">
      <c r="L409" s="30"/>
      <c r="M409" s="30"/>
      <c r="N409" s="30"/>
      <c r="O409" s="30"/>
      <c r="R409" s="30"/>
      <c r="AB409" s="30"/>
      <c r="AC409" s="30"/>
      <c r="AD409" s="30"/>
      <c r="AE409" s="30"/>
      <c r="AF409" s="30"/>
      <c r="AG409" s="30"/>
      <c r="AH409" s="30"/>
      <c r="AI409" s="30"/>
      <c r="AL409" s="30"/>
      <c r="AM409" s="30"/>
      <c r="AN409" s="30"/>
      <c r="AO409" s="30"/>
    </row>
    <row r="410" spans="1:41" x14ac:dyDescent="0.3">
      <c r="L410" s="30"/>
      <c r="M410" s="30"/>
      <c r="N410" s="30"/>
      <c r="O410" s="30"/>
      <c r="R410" s="30"/>
      <c r="AA410" s="30"/>
      <c r="AB410" s="30"/>
      <c r="AC410" s="30"/>
      <c r="AD410" s="30"/>
      <c r="AE410" s="30"/>
      <c r="AF410" s="30"/>
      <c r="AG410" s="30"/>
      <c r="AH410" s="30"/>
      <c r="AI410" s="30"/>
      <c r="AL410" s="30"/>
      <c r="AM410" s="30"/>
      <c r="AN410" s="30"/>
      <c r="AO410" s="30"/>
    </row>
    <row r="411" spans="1:41" x14ac:dyDescent="0.3">
      <c r="A411" s="30"/>
      <c r="C411" s="30"/>
      <c r="D411" s="30"/>
      <c r="E411" s="30"/>
      <c r="F411" s="30"/>
      <c r="J411" s="30"/>
      <c r="K411" s="30"/>
      <c r="L411" s="30"/>
      <c r="M411" s="30"/>
      <c r="N411" s="30"/>
      <c r="O411" s="30"/>
      <c r="P411" s="30"/>
      <c r="Q411" s="30"/>
      <c r="R411" s="30"/>
      <c r="T411" s="30"/>
      <c r="U411" s="30"/>
      <c r="V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x14ac:dyDescent="0.3">
      <c r="A412" s="30"/>
      <c r="C412" s="30"/>
      <c r="D412" s="30"/>
      <c r="E412" s="30"/>
      <c r="F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T412" s="30"/>
      <c r="U412" s="30"/>
      <c r="V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x14ac:dyDescent="0.3">
      <c r="C413" s="30"/>
      <c r="D413" s="30"/>
      <c r="E413" s="30"/>
      <c r="F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T413" s="30"/>
      <c r="U413" s="30"/>
      <c r="V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1:41" x14ac:dyDescent="0.3"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x14ac:dyDescent="0.3">
      <c r="A416" s="22"/>
      <c r="C416" s="23"/>
      <c r="D416" s="23"/>
      <c r="E416" s="23"/>
      <c r="T416" s="23"/>
      <c r="U416" s="23"/>
    </row>
    <row r="417" spans="1:41" x14ac:dyDescent="0.3">
      <c r="A417" s="22"/>
      <c r="D417" s="23"/>
      <c r="E417" s="23"/>
      <c r="U417" s="23"/>
    </row>
    <row r="419" spans="1:41" x14ac:dyDescent="0.3">
      <c r="A419" s="22"/>
      <c r="C419" s="23"/>
      <c r="F419" s="32"/>
      <c r="J419" s="59"/>
      <c r="K419" s="59"/>
      <c r="L419" s="32"/>
      <c r="M419" s="32"/>
      <c r="R419" s="32"/>
      <c r="T419" s="23"/>
      <c r="V419" s="32"/>
      <c r="AA419" s="59"/>
      <c r="AB419" s="32"/>
      <c r="AC419" s="32"/>
      <c r="AH419" s="32"/>
      <c r="AI419" s="32"/>
      <c r="AL419" s="32"/>
      <c r="AM419" s="32"/>
    </row>
    <row r="420" spans="1:41" x14ac:dyDescent="0.3">
      <c r="A420" s="22"/>
      <c r="C420" s="23"/>
      <c r="F420" s="32"/>
      <c r="R420" s="32"/>
      <c r="T420" s="23"/>
      <c r="V420" s="32"/>
      <c r="AH420" s="32"/>
      <c r="AI420" s="32"/>
      <c r="AL420" s="32"/>
      <c r="AM420" s="32"/>
    </row>
    <row r="421" spans="1:41" x14ac:dyDescent="0.3">
      <c r="AJ421" s="32"/>
      <c r="AK421" s="32"/>
      <c r="AL421" s="32"/>
      <c r="AM421" s="32"/>
      <c r="AN421" s="33"/>
      <c r="AO421" s="33"/>
    </row>
    <row r="422" spans="1:41" x14ac:dyDescent="0.3">
      <c r="A422" s="22"/>
      <c r="C422" s="23"/>
      <c r="F422" s="195"/>
      <c r="H422" s="195"/>
      <c r="I422" s="195"/>
      <c r="J422" s="206"/>
      <c r="K422" s="206"/>
      <c r="L422" s="32"/>
      <c r="M422" s="32"/>
      <c r="N422" s="33"/>
      <c r="O422" s="33"/>
      <c r="P422" s="32"/>
      <c r="Q422" s="32"/>
      <c r="R422" s="32"/>
      <c r="T422" s="23"/>
      <c r="V422" s="32"/>
      <c r="Z422" s="32"/>
      <c r="AA422" s="206"/>
      <c r="AB422" s="32"/>
      <c r="AC422" s="32"/>
      <c r="AD422" s="33"/>
      <c r="AE422" s="33"/>
      <c r="AF422" s="32"/>
      <c r="AG422" s="32"/>
      <c r="AH422" s="44"/>
      <c r="AI422" s="44"/>
      <c r="AJ422" s="32"/>
      <c r="AK422" s="32"/>
      <c r="AL422" s="32"/>
      <c r="AM422" s="32"/>
      <c r="AN422" s="33"/>
      <c r="AO422" s="33"/>
    </row>
    <row r="423" spans="1:41" x14ac:dyDescent="0.3">
      <c r="F423" s="32"/>
      <c r="H423" s="32"/>
      <c r="I423" s="32"/>
      <c r="J423" s="48"/>
      <c r="K423" s="48"/>
      <c r="L423" s="32"/>
      <c r="M423" s="32"/>
      <c r="P423" s="32"/>
      <c r="Q423" s="32"/>
      <c r="R423" s="32"/>
      <c r="V423" s="32"/>
      <c r="Z423" s="32"/>
      <c r="AA423" s="48"/>
      <c r="AB423" s="32"/>
      <c r="AC423" s="32"/>
      <c r="AJ423" s="32"/>
      <c r="AK423" s="32"/>
      <c r="AL423" s="32"/>
      <c r="AM423" s="32"/>
      <c r="AN423" s="33"/>
      <c r="AO423" s="33"/>
    </row>
    <row r="424" spans="1:41" x14ac:dyDescent="0.3">
      <c r="F424" s="32"/>
      <c r="R424" s="32"/>
      <c r="V424" s="32"/>
      <c r="AL424" s="32"/>
      <c r="AM424" s="32"/>
      <c r="AN424" s="33"/>
      <c r="AO424" s="33"/>
    </row>
    <row r="425" spans="1:41" x14ac:dyDescent="0.3">
      <c r="A425" s="22"/>
      <c r="C425" s="23"/>
      <c r="F425" s="32"/>
      <c r="J425" s="59"/>
      <c r="K425" s="59"/>
      <c r="L425" s="32"/>
      <c r="M425" s="32"/>
      <c r="N425" s="33"/>
      <c r="O425" s="33"/>
      <c r="R425" s="32"/>
      <c r="T425" s="23"/>
      <c r="V425" s="32"/>
      <c r="AA425" s="59"/>
      <c r="AB425" s="32"/>
      <c r="AC425" s="32"/>
      <c r="AD425" s="33"/>
      <c r="AE425" s="33"/>
      <c r="AL425" s="32"/>
      <c r="AM425" s="32"/>
      <c r="AN425" s="33"/>
      <c r="AO425" s="33"/>
    </row>
    <row r="426" spans="1:41" x14ac:dyDescent="0.3">
      <c r="A426" s="22"/>
      <c r="C426" s="23"/>
      <c r="F426" s="32"/>
      <c r="H426" s="32"/>
      <c r="I426" s="32"/>
      <c r="J426" s="59"/>
      <c r="K426" s="59"/>
      <c r="L426" s="32"/>
      <c r="M426" s="32"/>
      <c r="N426" s="33"/>
      <c r="O426" s="33"/>
      <c r="P426" s="32"/>
      <c r="Q426" s="32"/>
      <c r="R426" s="32"/>
      <c r="T426" s="23"/>
      <c r="V426" s="32"/>
      <c r="Z426" s="32"/>
      <c r="AA426" s="59"/>
      <c r="AB426" s="32"/>
      <c r="AC426" s="32"/>
      <c r="AD426" s="33"/>
      <c r="AE426" s="33"/>
      <c r="AJ426" s="32"/>
      <c r="AK426" s="32"/>
      <c r="AL426" s="32"/>
      <c r="AM426" s="32"/>
      <c r="AN426" s="33"/>
      <c r="AO426" s="33"/>
    </row>
    <row r="427" spans="1:41" x14ac:dyDescent="0.3">
      <c r="A427" s="22"/>
      <c r="C427" s="23"/>
      <c r="T427" s="23"/>
      <c r="AN427" s="33"/>
      <c r="AO427" s="33"/>
    </row>
    <row r="428" spans="1:41" x14ac:dyDescent="0.3">
      <c r="A428" s="22"/>
      <c r="C428" s="23"/>
      <c r="T428" s="23"/>
      <c r="AN428" s="33"/>
      <c r="AO428" s="33"/>
    </row>
    <row r="429" spans="1:41" x14ac:dyDescent="0.3">
      <c r="AN429" s="33"/>
      <c r="AO429" s="33"/>
    </row>
    <row r="430" spans="1:41" x14ac:dyDescent="0.3">
      <c r="A430" s="22"/>
      <c r="C430" s="23"/>
      <c r="F430" s="195"/>
      <c r="H430" s="195"/>
      <c r="I430" s="195"/>
      <c r="J430" s="206"/>
      <c r="K430" s="206"/>
      <c r="L430" s="32"/>
      <c r="M430" s="32"/>
      <c r="N430" s="33"/>
      <c r="O430" s="33"/>
      <c r="P430" s="32"/>
      <c r="Q430" s="32"/>
      <c r="R430" s="32"/>
      <c r="T430" s="23"/>
      <c r="V430" s="32"/>
      <c r="Z430" s="32"/>
      <c r="AA430" s="206"/>
      <c r="AB430" s="32"/>
      <c r="AC430" s="32"/>
      <c r="AD430" s="33"/>
      <c r="AE430" s="33"/>
      <c r="AF430" s="32"/>
      <c r="AG430" s="32"/>
      <c r="AH430" s="44"/>
      <c r="AI430" s="44"/>
      <c r="AJ430" s="32"/>
      <c r="AK430" s="32"/>
      <c r="AL430" s="32"/>
      <c r="AM430" s="32"/>
      <c r="AN430" s="33"/>
      <c r="AO430" s="33"/>
    </row>
    <row r="431" spans="1:41" x14ac:dyDescent="0.3">
      <c r="F431" s="34"/>
      <c r="H431" s="34"/>
      <c r="I431" s="34"/>
      <c r="J431" s="198"/>
      <c r="K431" s="198"/>
      <c r="L431" s="34"/>
      <c r="M431" s="34"/>
      <c r="N431" s="34"/>
      <c r="O431" s="34"/>
      <c r="P431" s="34"/>
      <c r="Q431" s="34"/>
      <c r="R431" s="34"/>
      <c r="V431" s="34"/>
      <c r="Z431" s="34"/>
      <c r="AA431" s="198"/>
      <c r="AB431" s="34"/>
      <c r="AC431" s="34"/>
      <c r="AD431" s="34"/>
      <c r="AE431" s="34"/>
      <c r="AF431" s="34"/>
      <c r="AG431" s="34"/>
      <c r="AJ431" s="34"/>
      <c r="AK431" s="34"/>
      <c r="AL431" s="34"/>
      <c r="AM431" s="34"/>
      <c r="AN431" s="33"/>
      <c r="AO431" s="33"/>
    </row>
    <row r="432" spans="1:41" x14ac:dyDescent="0.3">
      <c r="H432" s="32"/>
      <c r="I432" s="32"/>
      <c r="Z432" s="32"/>
      <c r="AN432" s="33"/>
      <c r="AO432" s="33"/>
    </row>
    <row r="433" spans="1:41" x14ac:dyDescent="0.3">
      <c r="A433" s="22"/>
      <c r="C433" s="23"/>
      <c r="F433" s="32"/>
      <c r="H433" s="32"/>
      <c r="I433" s="32"/>
      <c r="L433" s="32"/>
      <c r="M433" s="32"/>
      <c r="N433" s="33"/>
      <c r="O433" s="33"/>
      <c r="P433" s="195"/>
      <c r="Q433" s="195"/>
      <c r="R433" s="32"/>
      <c r="T433" s="23"/>
      <c r="V433" s="32"/>
      <c r="Z433" s="32"/>
      <c r="AB433" s="32"/>
      <c r="AC433" s="32"/>
      <c r="AD433" s="33"/>
      <c r="AE433" s="33"/>
      <c r="AF433" s="32"/>
      <c r="AG433" s="32"/>
      <c r="AH433" s="44"/>
      <c r="AI433" s="44"/>
      <c r="AJ433" s="195"/>
      <c r="AK433" s="195"/>
      <c r="AL433" s="32"/>
      <c r="AM433" s="32"/>
      <c r="AN433" s="33"/>
      <c r="AO433" s="33"/>
    </row>
    <row r="434" spans="1:41" x14ac:dyDescent="0.3">
      <c r="F434" s="34"/>
      <c r="H434" s="34"/>
      <c r="I434" s="34"/>
      <c r="J434" s="198"/>
      <c r="K434" s="198"/>
      <c r="L434" s="34"/>
      <c r="M434" s="34"/>
      <c r="N434" s="34"/>
      <c r="O434" s="34"/>
      <c r="P434" s="34"/>
      <c r="Q434" s="34"/>
      <c r="R434" s="34"/>
      <c r="V434" s="34"/>
      <c r="Z434" s="34"/>
      <c r="AA434" s="198"/>
      <c r="AB434" s="34"/>
      <c r="AC434" s="34"/>
      <c r="AD434" s="34"/>
      <c r="AE434" s="34"/>
      <c r="AF434" s="34"/>
      <c r="AG434" s="34"/>
      <c r="AJ434" s="34"/>
      <c r="AK434" s="34"/>
      <c r="AL434" s="34"/>
      <c r="AM434" s="34"/>
      <c r="AN434" s="33"/>
      <c r="AO434" s="33"/>
    </row>
    <row r="436" spans="1:41" x14ac:dyDescent="0.3">
      <c r="F436" s="32"/>
      <c r="H436" s="32"/>
      <c r="I436" s="32"/>
      <c r="J436" s="48"/>
      <c r="K436" s="48"/>
      <c r="L436" s="32"/>
      <c r="M436" s="32"/>
      <c r="N436" s="32"/>
      <c r="O436" s="32"/>
      <c r="P436" s="32"/>
      <c r="Q436" s="32"/>
      <c r="R436" s="32"/>
      <c r="V436" s="32"/>
      <c r="Z436" s="32"/>
      <c r="AA436" s="48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</row>
    <row r="437" spans="1:41" x14ac:dyDescent="0.3">
      <c r="A437" s="23"/>
    </row>
    <row r="438" spans="1:41" x14ac:dyDescent="0.3">
      <c r="J438" s="22"/>
      <c r="K438" s="22"/>
      <c r="AA438" s="22"/>
    </row>
    <row r="439" spans="1:41" x14ac:dyDescent="0.3">
      <c r="H439" s="23"/>
      <c r="I439" s="23"/>
      <c r="Z439" s="23"/>
    </row>
    <row r="440" spans="1:41" x14ac:dyDescent="0.3">
      <c r="J440" s="22"/>
      <c r="K440" s="22"/>
      <c r="AA440" s="22"/>
    </row>
    <row r="441" spans="1:41" x14ac:dyDescent="0.3">
      <c r="L441" s="23"/>
      <c r="M441" s="23"/>
      <c r="AB441" s="23"/>
      <c r="AC441" s="23"/>
    </row>
    <row r="442" spans="1:41" x14ac:dyDescent="0.3">
      <c r="A442" s="22"/>
      <c r="R442" s="23"/>
      <c r="AL442" s="23"/>
      <c r="AM442" s="23"/>
    </row>
    <row r="443" spans="1:41" x14ac:dyDescent="0.3">
      <c r="A443" s="22"/>
      <c r="R443" s="23"/>
      <c r="AL443" s="23"/>
      <c r="AM443" s="23"/>
    </row>
    <row r="444" spans="1:41" x14ac:dyDescent="0.3">
      <c r="A444" s="23"/>
      <c r="R444" s="23"/>
      <c r="AL444" s="23"/>
      <c r="AM444" s="23"/>
    </row>
    <row r="445" spans="1:41" x14ac:dyDescent="0.3">
      <c r="L445" s="23"/>
      <c r="M445" s="23"/>
      <c r="R445" s="22"/>
      <c r="AB445" s="23"/>
      <c r="AC445" s="23"/>
      <c r="AL445" s="22"/>
      <c r="AM445" s="22"/>
    </row>
    <row r="446" spans="1:4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1:41" x14ac:dyDescent="0.3">
      <c r="L447" s="30"/>
      <c r="M447" s="30"/>
      <c r="N447" s="30"/>
      <c r="O447" s="30"/>
      <c r="R447" s="30"/>
      <c r="AB447" s="30"/>
      <c r="AC447" s="30"/>
      <c r="AD447" s="30"/>
      <c r="AE447" s="30"/>
      <c r="AF447" s="30"/>
      <c r="AG447" s="30"/>
      <c r="AH447" s="30"/>
      <c r="AI447" s="30"/>
      <c r="AL447" s="30"/>
      <c r="AM447" s="30"/>
      <c r="AN447" s="30"/>
      <c r="AO447" s="30"/>
    </row>
    <row r="448" spans="1:41" x14ac:dyDescent="0.3">
      <c r="L448" s="30"/>
      <c r="M448" s="30"/>
      <c r="N448" s="30"/>
      <c r="O448" s="30"/>
      <c r="R448" s="30"/>
      <c r="AA448" s="30"/>
      <c r="AB448" s="30"/>
      <c r="AC448" s="30"/>
      <c r="AD448" s="30"/>
      <c r="AE448" s="30"/>
      <c r="AF448" s="30"/>
      <c r="AG448" s="30"/>
      <c r="AH448" s="30"/>
      <c r="AI448" s="30"/>
      <c r="AL448" s="30"/>
      <c r="AM448" s="30"/>
      <c r="AN448" s="30"/>
      <c r="AO448" s="30"/>
    </row>
    <row r="449" spans="1:41" x14ac:dyDescent="0.3">
      <c r="A449" s="30"/>
      <c r="C449" s="30"/>
      <c r="D449" s="30"/>
      <c r="E449" s="30"/>
      <c r="F449" s="30"/>
      <c r="J449" s="30"/>
      <c r="K449" s="30"/>
      <c r="L449" s="30"/>
      <c r="M449" s="30"/>
      <c r="N449" s="30"/>
      <c r="O449" s="30"/>
      <c r="P449" s="30"/>
      <c r="Q449" s="30"/>
      <c r="R449" s="30"/>
      <c r="T449" s="30"/>
      <c r="U449" s="30"/>
      <c r="V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x14ac:dyDescent="0.3">
      <c r="A450" s="30"/>
      <c r="C450" s="30"/>
      <c r="D450" s="30"/>
      <c r="E450" s="30"/>
      <c r="F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T450" s="30"/>
      <c r="U450" s="30"/>
      <c r="V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x14ac:dyDescent="0.3">
      <c r="C451" s="30"/>
      <c r="D451" s="30"/>
      <c r="E451" s="30"/>
      <c r="F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T451" s="30"/>
      <c r="U451" s="30"/>
      <c r="V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1:41" x14ac:dyDescent="0.3"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x14ac:dyDescent="0.3">
      <c r="A454" s="22"/>
      <c r="C454" s="23"/>
      <c r="D454" s="23"/>
      <c r="E454" s="23"/>
      <c r="T454" s="23"/>
      <c r="U454" s="23"/>
      <c r="V454" s="32"/>
      <c r="W454" s="32"/>
      <c r="X454" s="32"/>
      <c r="Y454" s="32"/>
      <c r="Z454" s="32"/>
      <c r="AA454" s="206"/>
    </row>
    <row r="456" spans="1:41" x14ac:dyDescent="0.3">
      <c r="A456" s="22"/>
      <c r="C456" s="23"/>
      <c r="T456" s="23"/>
      <c r="V456" s="32"/>
      <c r="W456" s="32"/>
      <c r="X456" s="32"/>
      <c r="Y456" s="32"/>
      <c r="Z456" s="32"/>
      <c r="AA456" s="206"/>
    </row>
    <row r="457" spans="1:41" x14ac:dyDescent="0.3">
      <c r="A457" s="22"/>
      <c r="C457" s="23"/>
      <c r="F457" s="195"/>
      <c r="H457" s="195"/>
      <c r="I457" s="195"/>
      <c r="J457" s="203"/>
      <c r="K457" s="203"/>
      <c r="L457" s="32"/>
      <c r="M457" s="32"/>
      <c r="N457" s="33"/>
      <c r="O457" s="33"/>
      <c r="P457" s="32"/>
      <c r="Q457" s="32"/>
      <c r="R457" s="32"/>
      <c r="T457" s="23"/>
      <c r="V457" s="32"/>
      <c r="W457" s="32"/>
      <c r="X457" s="32"/>
      <c r="Y457" s="32"/>
      <c r="Z457" s="32"/>
      <c r="AA457" s="203"/>
      <c r="AB457" s="32"/>
      <c r="AC457" s="32"/>
      <c r="AD457" s="33"/>
      <c r="AE457" s="33"/>
      <c r="AF457" s="32"/>
      <c r="AG457" s="32"/>
      <c r="AH457" s="44"/>
      <c r="AI457" s="44"/>
      <c r="AJ457" s="32"/>
      <c r="AK457" s="32"/>
      <c r="AL457" s="32"/>
      <c r="AM457" s="32"/>
      <c r="AN457" s="33"/>
      <c r="AO457" s="33"/>
    </row>
    <row r="458" spans="1:41" x14ac:dyDescent="0.3">
      <c r="A458" s="22"/>
      <c r="C458" s="23"/>
      <c r="F458" s="195"/>
      <c r="H458" s="195"/>
      <c r="I458" s="195"/>
      <c r="J458" s="203"/>
      <c r="K458" s="203"/>
      <c r="L458" s="32"/>
      <c r="M458" s="32"/>
      <c r="N458" s="33"/>
      <c r="O458" s="33"/>
      <c r="P458" s="32"/>
      <c r="Q458" s="32"/>
      <c r="R458" s="32"/>
      <c r="T458" s="23"/>
      <c r="V458" s="32"/>
      <c r="W458" s="32"/>
      <c r="X458" s="32"/>
      <c r="Y458" s="32"/>
      <c r="Z458" s="32"/>
      <c r="AA458" s="203"/>
      <c r="AB458" s="32"/>
      <c r="AC458" s="32"/>
      <c r="AD458" s="33"/>
      <c r="AE458" s="33"/>
      <c r="AF458" s="32"/>
      <c r="AG458" s="32"/>
      <c r="AH458" s="44"/>
      <c r="AI458" s="44"/>
      <c r="AJ458" s="32"/>
      <c r="AK458" s="32"/>
      <c r="AL458" s="32"/>
      <c r="AM458" s="32"/>
      <c r="AN458" s="33"/>
      <c r="AO458" s="33"/>
    </row>
    <row r="459" spans="1:41" x14ac:dyDescent="0.3">
      <c r="A459" s="22"/>
      <c r="C459" s="23"/>
      <c r="F459" s="195"/>
      <c r="H459" s="195"/>
      <c r="I459" s="195"/>
      <c r="J459" s="203"/>
      <c r="K459" s="203"/>
      <c r="L459" s="32"/>
      <c r="M459" s="32"/>
      <c r="N459" s="33"/>
      <c r="O459" s="33"/>
      <c r="P459" s="32"/>
      <c r="Q459" s="32"/>
      <c r="R459" s="32"/>
      <c r="T459" s="23"/>
      <c r="V459" s="32"/>
      <c r="W459" s="32"/>
      <c r="X459" s="32"/>
      <c r="Y459" s="32"/>
      <c r="Z459" s="32"/>
      <c r="AA459" s="203"/>
      <c r="AB459" s="32"/>
      <c r="AC459" s="32"/>
      <c r="AD459" s="33"/>
      <c r="AE459" s="33"/>
      <c r="AF459" s="32"/>
      <c r="AG459" s="32"/>
      <c r="AH459" s="44"/>
      <c r="AI459" s="44"/>
      <c r="AJ459" s="32"/>
      <c r="AK459" s="32"/>
      <c r="AL459" s="32"/>
      <c r="AM459" s="32"/>
      <c r="AN459" s="33"/>
      <c r="AO459" s="33"/>
    </row>
    <row r="460" spans="1:41" x14ac:dyDescent="0.3">
      <c r="A460" s="22"/>
      <c r="C460" s="23"/>
      <c r="F460" s="195"/>
      <c r="H460" s="195"/>
      <c r="I460" s="195"/>
      <c r="J460" s="203"/>
      <c r="K460" s="203"/>
      <c r="L460" s="32"/>
      <c r="M460" s="32"/>
      <c r="N460" s="33"/>
      <c r="O460" s="33"/>
      <c r="P460" s="32"/>
      <c r="Q460" s="32"/>
      <c r="R460" s="32"/>
      <c r="T460" s="23"/>
      <c r="V460" s="32"/>
      <c r="W460" s="32"/>
      <c r="X460" s="32"/>
      <c r="Y460" s="32"/>
      <c r="Z460" s="32"/>
      <c r="AA460" s="203"/>
      <c r="AB460" s="32"/>
      <c r="AC460" s="32"/>
      <c r="AD460" s="33"/>
      <c r="AE460" s="33"/>
      <c r="AF460" s="32"/>
      <c r="AG460" s="32"/>
      <c r="AH460" s="44"/>
      <c r="AI460" s="44"/>
      <c r="AJ460" s="32"/>
      <c r="AK460" s="32"/>
      <c r="AL460" s="32"/>
      <c r="AM460" s="32"/>
      <c r="AN460" s="33"/>
      <c r="AO460" s="33"/>
    </row>
    <row r="461" spans="1:41" x14ac:dyDescent="0.3">
      <c r="J461" s="62"/>
      <c r="K461" s="62"/>
      <c r="V461" s="32"/>
      <c r="W461" s="32"/>
      <c r="X461" s="32"/>
      <c r="Y461" s="32"/>
      <c r="Z461" s="32"/>
      <c r="AA461" s="203"/>
    </row>
    <row r="462" spans="1:41" x14ac:dyDescent="0.3">
      <c r="A462" s="22"/>
      <c r="C462" s="23"/>
      <c r="F462" s="195"/>
      <c r="H462" s="195"/>
      <c r="I462" s="195"/>
      <c r="J462" s="203"/>
      <c r="K462" s="203"/>
      <c r="L462" s="32"/>
      <c r="M462" s="32"/>
      <c r="N462" s="33"/>
      <c r="O462" s="33"/>
      <c r="P462" s="32"/>
      <c r="Q462" s="32"/>
      <c r="R462" s="32"/>
      <c r="T462" s="23"/>
      <c r="V462" s="32"/>
      <c r="W462" s="32"/>
      <c r="X462" s="32"/>
      <c r="Y462" s="32"/>
      <c r="Z462" s="32"/>
      <c r="AA462" s="203"/>
      <c r="AB462" s="32"/>
      <c r="AC462" s="32"/>
      <c r="AD462" s="33"/>
      <c r="AE462" s="33"/>
      <c r="AF462" s="32"/>
      <c r="AG462" s="32"/>
      <c r="AH462" s="44"/>
      <c r="AI462" s="44"/>
      <c r="AJ462" s="32"/>
      <c r="AK462" s="32"/>
      <c r="AL462" s="32"/>
      <c r="AM462" s="32"/>
      <c r="AN462" s="44"/>
      <c r="AO462" s="44"/>
    </row>
    <row r="463" spans="1:41" x14ac:dyDescent="0.3">
      <c r="A463" s="22"/>
      <c r="C463" s="23"/>
      <c r="J463" s="62"/>
      <c r="K463" s="62"/>
      <c r="T463" s="23"/>
      <c r="V463" s="32"/>
      <c r="W463" s="32"/>
      <c r="X463" s="32"/>
      <c r="Y463" s="32"/>
      <c r="Z463" s="32"/>
      <c r="AA463" s="203"/>
    </row>
    <row r="464" spans="1:41" x14ac:dyDescent="0.3">
      <c r="A464" s="22"/>
      <c r="C464" s="23"/>
      <c r="F464" s="195"/>
      <c r="H464" s="195"/>
      <c r="I464" s="195"/>
      <c r="J464" s="203"/>
      <c r="K464" s="203"/>
      <c r="L464" s="32"/>
      <c r="M464" s="32"/>
      <c r="N464" s="33"/>
      <c r="O464" s="33"/>
      <c r="P464" s="32"/>
      <c r="Q464" s="32"/>
      <c r="R464" s="32"/>
      <c r="T464" s="23"/>
      <c r="V464" s="32"/>
      <c r="W464" s="32"/>
      <c r="X464" s="32"/>
      <c r="Y464" s="32"/>
      <c r="Z464" s="32"/>
      <c r="AA464" s="203"/>
      <c r="AB464" s="32"/>
      <c r="AC464" s="32"/>
      <c r="AD464" s="33"/>
      <c r="AE464" s="33"/>
      <c r="AF464" s="32"/>
      <c r="AG464" s="32"/>
      <c r="AH464" s="44"/>
      <c r="AI464" s="44"/>
      <c r="AJ464" s="32"/>
      <c r="AK464" s="32"/>
      <c r="AL464" s="32"/>
      <c r="AM464" s="32"/>
      <c r="AN464" s="44"/>
      <c r="AO464" s="44"/>
    </row>
    <row r="465" spans="1:41" x14ac:dyDescent="0.3">
      <c r="J465" s="62"/>
      <c r="K465" s="62"/>
      <c r="AA465" s="62"/>
    </row>
    <row r="466" spans="1:41" x14ac:dyDescent="0.3">
      <c r="A466" s="22"/>
      <c r="C466" s="23"/>
      <c r="J466" s="62"/>
      <c r="K466" s="62"/>
      <c r="T466" s="23"/>
      <c r="V466" s="32"/>
      <c r="W466" s="32"/>
      <c r="X466" s="32"/>
      <c r="Y466" s="32"/>
      <c r="Z466" s="32"/>
      <c r="AA466" s="203"/>
    </row>
    <row r="467" spans="1:41" x14ac:dyDescent="0.3">
      <c r="A467" s="22"/>
      <c r="C467" s="23"/>
      <c r="F467" s="195"/>
      <c r="H467" s="195"/>
      <c r="I467" s="195"/>
      <c r="J467" s="203"/>
      <c r="K467" s="203"/>
      <c r="L467" s="32"/>
      <c r="M467" s="32"/>
      <c r="N467" s="33"/>
      <c r="O467" s="33"/>
      <c r="P467" s="32"/>
      <c r="Q467" s="32"/>
      <c r="R467" s="32"/>
      <c r="T467" s="23"/>
      <c r="V467" s="32"/>
      <c r="W467" s="32"/>
      <c r="X467" s="32"/>
      <c r="Y467" s="32"/>
      <c r="Z467" s="32"/>
      <c r="AA467" s="203"/>
      <c r="AB467" s="32"/>
      <c r="AC467" s="32"/>
      <c r="AD467" s="33"/>
      <c r="AE467" s="33"/>
      <c r="AF467" s="32"/>
      <c r="AG467" s="32"/>
      <c r="AH467" s="44"/>
      <c r="AI467" s="44"/>
      <c r="AJ467" s="32"/>
      <c r="AK467" s="32"/>
      <c r="AL467" s="32"/>
      <c r="AM467" s="32"/>
      <c r="AN467" s="44"/>
      <c r="AO467" s="44"/>
    </row>
    <row r="468" spans="1:41" x14ac:dyDescent="0.3">
      <c r="A468" s="22"/>
      <c r="C468" s="23"/>
      <c r="F468" s="195"/>
      <c r="H468" s="195"/>
      <c r="I468" s="195"/>
      <c r="J468" s="203"/>
      <c r="K468" s="203"/>
      <c r="L468" s="32"/>
      <c r="M468" s="32"/>
      <c r="N468" s="33"/>
      <c r="O468" s="33"/>
      <c r="P468" s="32"/>
      <c r="Q468" s="32"/>
      <c r="R468" s="32"/>
      <c r="T468" s="23"/>
      <c r="V468" s="32"/>
      <c r="W468" s="32"/>
      <c r="X468" s="32"/>
      <c r="Y468" s="32"/>
      <c r="Z468" s="32"/>
      <c r="AA468" s="203"/>
      <c r="AB468" s="32"/>
      <c r="AC468" s="32"/>
      <c r="AD468" s="33"/>
      <c r="AE468" s="33"/>
      <c r="AF468" s="32"/>
      <c r="AG468" s="32"/>
      <c r="AH468" s="44"/>
      <c r="AI468" s="44"/>
      <c r="AJ468" s="32"/>
      <c r="AK468" s="32"/>
      <c r="AL468" s="32"/>
      <c r="AM468" s="32"/>
      <c r="AN468" s="44"/>
      <c r="AO468" s="44"/>
    </row>
    <row r="469" spans="1:41" x14ac:dyDescent="0.3">
      <c r="F469" s="34"/>
      <c r="H469" s="34"/>
      <c r="I469" s="34"/>
      <c r="J469" s="203"/>
      <c r="K469" s="203"/>
      <c r="L469" s="34"/>
      <c r="M469" s="34"/>
      <c r="N469" s="34"/>
      <c r="O469" s="34"/>
      <c r="P469" s="34"/>
      <c r="Q469" s="34"/>
      <c r="R469" s="34"/>
      <c r="V469" s="34"/>
      <c r="Z469" s="34"/>
      <c r="AA469" s="198"/>
      <c r="AB469" s="34"/>
      <c r="AC469" s="34"/>
      <c r="AD469" s="34"/>
      <c r="AE469" s="34"/>
      <c r="AF469" s="34"/>
      <c r="AG469" s="34"/>
      <c r="AJ469" s="34"/>
      <c r="AK469" s="34"/>
      <c r="AL469" s="34"/>
      <c r="AM469" s="34"/>
    </row>
    <row r="470" spans="1:41" x14ac:dyDescent="0.3">
      <c r="A470" s="22"/>
      <c r="C470" s="23"/>
      <c r="F470" s="32"/>
      <c r="H470" s="32"/>
      <c r="I470" s="32"/>
      <c r="L470" s="32"/>
      <c r="M470" s="32"/>
      <c r="N470" s="33"/>
      <c r="O470" s="33"/>
      <c r="P470" s="195"/>
      <c r="Q470" s="195"/>
      <c r="R470" s="32"/>
      <c r="T470" s="23"/>
      <c r="V470" s="32"/>
      <c r="W470" s="32"/>
      <c r="X470" s="32"/>
      <c r="Y470" s="32"/>
      <c r="Z470" s="32"/>
      <c r="AA470" s="206"/>
      <c r="AB470" s="32"/>
      <c r="AC470" s="32"/>
      <c r="AD470" s="33"/>
      <c r="AE470" s="33"/>
      <c r="AF470" s="32"/>
      <c r="AG470" s="32"/>
      <c r="AH470" s="44"/>
      <c r="AI470" s="44"/>
      <c r="AJ470" s="195"/>
      <c r="AK470" s="195"/>
      <c r="AL470" s="32"/>
      <c r="AM470" s="32"/>
      <c r="AN470" s="44"/>
      <c r="AO470" s="44"/>
    </row>
    <row r="471" spans="1:41" x14ac:dyDescent="0.3">
      <c r="F471" s="34"/>
      <c r="H471" s="34"/>
      <c r="I471" s="34"/>
      <c r="J471" s="198"/>
      <c r="K471" s="198"/>
      <c r="L471" s="34"/>
      <c r="M471" s="34"/>
      <c r="N471" s="34"/>
      <c r="O471" s="34"/>
      <c r="P471" s="34"/>
      <c r="Q471" s="34"/>
      <c r="R471" s="34"/>
      <c r="V471" s="34"/>
      <c r="Z471" s="34"/>
      <c r="AA471" s="198"/>
      <c r="AB471" s="34"/>
      <c r="AC471" s="34"/>
      <c r="AD471" s="34"/>
      <c r="AE471" s="34"/>
      <c r="AF471" s="34"/>
      <c r="AG471" s="34"/>
      <c r="AJ471" s="34"/>
      <c r="AK471" s="34"/>
      <c r="AL471" s="34"/>
      <c r="AM471" s="34"/>
    </row>
    <row r="473" spans="1:41" x14ac:dyDescent="0.3">
      <c r="C473" s="22"/>
      <c r="T473" s="22"/>
    </row>
    <row r="474" spans="1:41" x14ac:dyDescent="0.3">
      <c r="A474" s="23"/>
    </row>
    <row r="475" spans="1:41" x14ac:dyDescent="0.3">
      <c r="J475" s="22"/>
      <c r="K475" s="22"/>
      <c r="AA475" s="22"/>
    </row>
    <row r="476" spans="1:41" x14ac:dyDescent="0.3">
      <c r="H476" s="23"/>
      <c r="I476" s="23"/>
      <c r="Z476" s="23"/>
    </row>
    <row r="477" spans="1:41" x14ac:dyDescent="0.3">
      <c r="J477" s="22"/>
      <c r="K477" s="22"/>
      <c r="AA477" s="22"/>
    </row>
    <row r="478" spans="1:41" x14ac:dyDescent="0.3">
      <c r="L478" s="23"/>
      <c r="M478" s="23"/>
      <c r="AB478" s="23"/>
      <c r="AC478" s="23"/>
    </row>
    <row r="479" spans="1:41" x14ac:dyDescent="0.3">
      <c r="A479" s="22"/>
      <c r="R479" s="23"/>
      <c r="AL479" s="23"/>
      <c r="AM479" s="23"/>
    </row>
    <row r="480" spans="1:41" x14ac:dyDescent="0.3">
      <c r="A480" s="22"/>
      <c r="R480" s="23"/>
      <c r="AL480" s="23"/>
      <c r="AM480" s="23"/>
    </row>
    <row r="481" spans="1:41" x14ac:dyDescent="0.3">
      <c r="A481" s="23"/>
      <c r="R481" s="23"/>
      <c r="AL481" s="23"/>
      <c r="AM481" s="23"/>
    </row>
    <row r="482" spans="1:41" x14ac:dyDescent="0.3">
      <c r="L482" s="23"/>
      <c r="M482" s="23"/>
      <c r="R482" s="22"/>
      <c r="AB482" s="23"/>
      <c r="AC482" s="23"/>
      <c r="AL482" s="22"/>
      <c r="AM482" s="22"/>
    </row>
    <row r="483" spans="1:4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1:41" x14ac:dyDescent="0.3">
      <c r="L484" s="30"/>
      <c r="M484" s="30"/>
      <c r="N484" s="30"/>
      <c r="O484" s="30"/>
      <c r="R484" s="30"/>
      <c r="AB484" s="30"/>
      <c r="AC484" s="30"/>
      <c r="AD484" s="30"/>
      <c r="AE484" s="30"/>
      <c r="AF484" s="30"/>
      <c r="AG484" s="30"/>
      <c r="AH484" s="30"/>
      <c r="AI484" s="30"/>
      <c r="AL484" s="30"/>
      <c r="AM484" s="30"/>
      <c r="AN484" s="30"/>
      <c r="AO484" s="30"/>
    </row>
    <row r="485" spans="1:41" x14ac:dyDescent="0.3">
      <c r="L485" s="30"/>
      <c r="M485" s="30"/>
      <c r="N485" s="30"/>
      <c r="O485" s="30"/>
      <c r="R485" s="30"/>
      <c r="AA485" s="30"/>
      <c r="AB485" s="30"/>
      <c r="AC485" s="30"/>
      <c r="AD485" s="30"/>
      <c r="AE485" s="30"/>
      <c r="AF485" s="30"/>
      <c r="AG485" s="30"/>
      <c r="AH485" s="30"/>
      <c r="AI485" s="30"/>
      <c r="AL485" s="30"/>
      <c r="AM485" s="30"/>
      <c r="AN485" s="30"/>
      <c r="AO485" s="30"/>
    </row>
    <row r="486" spans="1:41" x14ac:dyDescent="0.3">
      <c r="A486" s="30"/>
      <c r="C486" s="30"/>
      <c r="D486" s="30"/>
      <c r="E486" s="30"/>
      <c r="F486" s="30"/>
      <c r="J486" s="30"/>
      <c r="K486" s="30"/>
      <c r="L486" s="30"/>
      <c r="M486" s="30"/>
      <c r="N486" s="30"/>
      <c r="O486" s="30"/>
      <c r="P486" s="30"/>
      <c r="Q486" s="30"/>
      <c r="R486" s="30"/>
      <c r="T486" s="30"/>
      <c r="U486" s="30"/>
      <c r="V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</row>
    <row r="487" spans="1:41" x14ac:dyDescent="0.3">
      <c r="A487" s="30"/>
      <c r="C487" s="30"/>
      <c r="D487" s="30"/>
      <c r="E487" s="30"/>
      <c r="F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T487" s="30"/>
      <c r="U487" s="30"/>
      <c r="V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</row>
    <row r="488" spans="1:41" x14ac:dyDescent="0.3">
      <c r="C488" s="30"/>
      <c r="D488" s="30"/>
      <c r="E488" s="30"/>
      <c r="F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T488" s="30"/>
      <c r="U488" s="30"/>
      <c r="V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</row>
    <row r="489" spans="1:4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1:41" x14ac:dyDescent="0.3"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</row>
    <row r="491" spans="1:41" x14ac:dyDescent="0.3">
      <c r="A491" s="22"/>
      <c r="C491" s="23"/>
      <c r="D491" s="23"/>
      <c r="E491" s="23"/>
      <c r="T491" s="23"/>
      <c r="U491" s="23"/>
    </row>
    <row r="493" spans="1:41" x14ac:dyDescent="0.3">
      <c r="A493" s="22"/>
      <c r="C493" s="23"/>
      <c r="T493" s="23"/>
    </row>
    <row r="494" spans="1:41" x14ac:dyDescent="0.3">
      <c r="A494" s="22"/>
      <c r="C494" s="23"/>
      <c r="T494" s="23"/>
    </row>
    <row r="495" spans="1:41" x14ac:dyDescent="0.3">
      <c r="A495" s="22"/>
      <c r="C495" s="23"/>
      <c r="F495" s="195"/>
      <c r="H495" s="195"/>
      <c r="I495" s="195"/>
      <c r="J495" s="203"/>
      <c r="K495" s="203"/>
      <c r="L495" s="32"/>
      <c r="M495" s="32"/>
      <c r="N495" s="33"/>
      <c r="O495" s="33"/>
      <c r="P495" s="32"/>
      <c r="Q495" s="32"/>
      <c r="R495" s="32"/>
      <c r="T495" s="23"/>
      <c r="V495" s="32"/>
      <c r="W495" s="32"/>
      <c r="X495" s="32"/>
      <c r="Y495" s="32"/>
      <c r="Z495" s="32"/>
      <c r="AA495" s="203"/>
      <c r="AB495" s="32"/>
      <c r="AC495" s="32"/>
      <c r="AD495" s="33"/>
      <c r="AE495" s="33"/>
      <c r="AF495" s="32"/>
      <c r="AG495" s="32"/>
      <c r="AH495" s="44"/>
      <c r="AI495" s="44"/>
      <c r="AJ495" s="32"/>
      <c r="AK495" s="32"/>
      <c r="AL495" s="32"/>
      <c r="AM495" s="32"/>
      <c r="AN495" s="44"/>
      <c r="AO495" s="44"/>
    </row>
    <row r="496" spans="1:41" x14ac:dyDescent="0.3">
      <c r="A496" s="22"/>
      <c r="C496" s="23"/>
      <c r="F496" s="32"/>
      <c r="H496" s="32"/>
      <c r="I496" s="32"/>
      <c r="J496" s="62"/>
      <c r="K496" s="62"/>
      <c r="L496" s="32"/>
      <c r="M496" s="32"/>
      <c r="N496" s="33"/>
      <c r="O496" s="33"/>
      <c r="P496" s="32"/>
      <c r="Q496" s="32"/>
      <c r="R496" s="32"/>
      <c r="T496" s="23"/>
      <c r="V496" s="32"/>
      <c r="W496" s="32"/>
      <c r="X496" s="32"/>
      <c r="Y496" s="32"/>
      <c r="Z496" s="32"/>
      <c r="AA496" s="62"/>
      <c r="AB496" s="32"/>
      <c r="AC496" s="32"/>
      <c r="AD496" s="33"/>
      <c r="AE496" s="33"/>
      <c r="AF496" s="32"/>
      <c r="AG496" s="32"/>
      <c r="AH496" s="44"/>
      <c r="AI496" s="44"/>
      <c r="AJ496" s="32"/>
      <c r="AK496" s="32"/>
      <c r="AL496" s="32"/>
      <c r="AM496" s="32"/>
      <c r="AN496" s="44"/>
      <c r="AO496" s="44"/>
    </row>
    <row r="497" spans="1:41" x14ac:dyDescent="0.3">
      <c r="A497" s="22"/>
      <c r="C497" s="23"/>
      <c r="F497" s="32"/>
      <c r="H497" s="32"/>
      <c r="I497" s="32"/>
      <c r="J497" s="62"/>
      <c r="K497" s="62"/>
      <c r="L497" s="32"/>
      <c r="M497" s="32"/>
      <c r="N497" s="33"/>
      <c r="O497" s="33"/>
      <c r="P497" s="32"/>
      <c r="Q497" s="32"/>
      <c r="R497" s="32"/>
      <c r="T497" s="23"/>
      <c r="V497" s="32"/>
      <c r="W497" s="32"/>
      <c r="X497" s="32"/>
      <c r="Y497" s="32"/>
      <c r="Z497" s="32"/>
      <c r="AA497" s="62"/>
      <c r="AB497" s="32"/>
      <c r="AC497" s="32"/>
      <c r="AD497" s="33"/>
      <c r="AE497" s="33"/>
      <c r="AF497" s="32"/>
      <c r="AG497" s="32"/>
      <c r="AH497" s="44"/>
      <c r="AI497" s="44"/>
      <c r="AJ497" s="32"/>
      <c r="AK497" s="32"/>
      <c r="AL497" s="32"/>
      <c r="AM497" s="32"/>
      <c r="AN497" s="44"/>
      <c r="AO497" s="44"/>
    </row>
    <row r="498" spans="1:41" x14ac:dyDescent="0.3">
      <c r="A498" s="22"/>
      <c r="C498" s="23"/>
      <c r="F498" s="32"/>
      <c r="H498" s="32"/>
      <c r="I498" s="32"/>
      <c r="J498" s="62"/>
      <c r="K498" s="62"/>
      <c r="T498" s="23"/>
      <c r="V498" s="32"/>
      <c r="AA498" s="62"/>
    </row>
    <row r="499" spans="1:41" x14ac:dyDescent="0.3">
      <c r="A499" s="22"/>
      <c r="C499" s="23"/>
      <c r="F499" s="195"/>
      <c r="H499" s="195"/>
      <c r="I499" s="195"/>
      <c r="J499" s="203"/>
      <c r="K499" s="203"/>
      <c r="L499" s="32"/>
      <c r="M499" s="32"/>
      <c r="N499" s="33"/>
      <c r="O499" s="33"/>
      <c r="P499" s="32"/>
      <c r="Q499" s="32"/>
      <c r="R499" s="32"/>
      <c r="T499" s="23"/>
      <c r="V499" s="32"/>
      <c r="W499" s="32"/>
      <c r="X499" s="32"/>
      <c r="Y499" s="32"/>
      <c r="Z499" s="32"/>
      <c r="AA499" s="203"/>
      <c r="AB499" s="32"/>
      <c r="AC499" s="32"/>
      <c r="AD499" s="33"/>
      <c r="AE499" s="33"/>
      <c r="AF499" s="32"/>
      <c r="AG499" s="32"/>
      <c r="AH499" s="44"/>
      <c r="AI499" s="44"/>
      <c r="AJ499" s="32"/>
      <c r="AK499" s="32"/>
      <c r="AL499" s="32"/>
      <c r="AM499" s="32"/>
      <c r="AN499" s="44"/>
      <c r="AO499" s="44"/>
    </row>
    <row r="500" spans="1:41" x14ac:dyDescent="0.3">
      <c r="A500" s="22"/>
      <c r="C500" s="23"/>
      <c r="F500" s="32"/>
      <c r="H500" s="32"/>
      <c r="I500" s="32"/>
      <c r="J500" s="62"/>
      <c r="K500" s="62"/>
      <c r="T500" s="23"/>
      <c r="V500" s="32"/>
      <c r="W500" s="32"/>
      <c r="X500" s="32"/>
      <c r="Y500" s="32"/>
      <c r="Z500" s="32"/>
      <c r="AA500" s="62"/>
      <c r="AD500" s="33"/>
      <c r="AE500" s="33"/>
      <c r="AF500" s="32"/>
      <c r="AG500" s="32"/>
      <c r="AH500" s="44"/>
      <c r="AI500" s="44"/>
      <c r="AJ500" s="32"/>
      <c r="AK500" s="32"/>
      <c r="AL500" s="32"/>
      <c r="AM500" s="32"/>
      <c r="AN500" s="44"/>
      <c r="AO500" s="44"/>
    </row>
    <row r="501" spans="1:41" x14ac:dyDescent="0.3">
      <c r="A501" s="22"/>
      <c r="C501" s="23"/>
      <c r="F501" s="195"/>
      <c r="H501" s="195"/>
      <c r="I501" s="195"/>
      <c r="J501" s="203"/>
      <c r="K501" s="203"/>
      <c r="L501" s="32"/>
      <c r="M501" s="32"/>
      <c r="N501" s="33"/>
      <c r="O501" s="33"/>
      <c r="P501" s="32"/>
      <c r="Q501" s="32"/>
      <c r="R501" s="32"/>
      <c r="T501" s="23"/>
      <c r="V501" s="32"/>
      <c r="W501" s="32"/>
      <c r="X501" s="32"/>
      <c r="Y501" s="32"/>
      <c r="Z501" s="32"/>
      <c r="AA501" s="203"/>
      <c r="AB501" s="32"/>
      <c r="AC501" s="32"/>
      <c r="AD501" s="33"/>
      <c r="AE501" s="33"/>
      <c r="AF501" s="32"/>
      <c r="AG501" s="32"/>
      <c r="AH501" s="44"/>
      <c r="AI501" s="44"/>
      <c r="AJ501" s="32"/>
      <c r="AK501" s="32"/>
      <c r="AL501" s="32"/>
      <c r="AM501" s="32"/>
      <c r="AN501" s="44"/>
      <c r="AO501" s="44"/>
    </row>
    <row r="502" spans="1:41" x14ac:dyDescent="0.3">
      <c r="A502" s="22"/>
      <c r="C502" s="23"/>
      <c r="F502" s="32"/>
      <c r="H502" s="32"/>
      <c r="I502" s="32"/>
      <c r="J502" s="62"/>
      <c r="K502" s="62"/>
      <c r="L502" s="32"/>
      <c r="M502" s="32"/>
      <c r="N502" s="33"/>
      <c r="O502" s="33"/>
      <c r="P502" s="32"/>
      <c r="Q502" s="32"/>
      <c r="R502" s="32"/>
      <c r="T502" s="23"/>
      <c r="V502" s="32"/>
      <c r="W502" s="32"/>
      <c r="X502" s="32"/>
      <c r="Y502" s="32"/>
      <c r="Z502" s="32"/>
      <c r="AA502" s="62"/>
      <c r="AB502" s="32"/>
      <c r="AC502" s="32"/>
      <c r="AD502" s="33"/>
      <c r="AE502" s="33"/>
      <c r="AF502" s="32"/>
      <c r="AG502" s="32"/>
      <c r="AH502" s="44"/>
      <c r="AI502" s="44"/>
      <c r="AJ502" s="32"/>
      <c r="AK502" s="32"/>
      <c r="AL502" s="32"/>
      <c r="AM502" s="32"/>
      <c r="AN502" s="44"/>
      <c r="AO502" s="44"/>
    </row>
    <row r="503" spans="1:41" x14ac:dyDescent="0.3">
      <c r="F503" s="32"/>
      <c r="H503" s="32"/>
      <c r="I503" s="32"/>
      <c r="J503" s="62"/>
      <c r="K503" s="62"/>
      <c r="AA503" s="62"/>
    </row>
    <row r="504" spans="1:41" x14ac:dyDescent="0.3">
      <c r="A504" s="22"/>
      <c r="C504" s="23"/>
      <c r="F504" s="32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32"/>
      <c r="Z504" s="32"/>
      <c r="AA504" s="203"/>
      <c r="AB504" s="32"/>
      <c r="AC504" s="32"/>
      <c r="AD504" s="33"/>
      <c r="AE504" s="33"/>
      <c r="AF504" s="32"/>
      <c r="AG504" s="32"/>
      <c r="AH504" s="44"/>
      <c r="AI504" s="44"/>
      <c r="AJ504" s="32"/>
      <c r="AK504" s="32"/>
      <c r="AL504" s="32"/>
      <c r="AM504" s="32"/>
      <c r="AN504" s="44"/>
      <c r="AO504" s="44"/>
    </row>
    <row r="505" spans="1:41" x14ac:dyDescent="0.3">
      <c r="F505" s="34"/>
      <c r="H505" s="34"/>
      <c r="I505" s="34"/>
      <c r="J505" s="203"/>
      <c r="K505" s="203"/>
      <c r="L505" s="34"/>
      <c r="M505" s="34"/>
      <c r="N505" s="34"/>
      <c r="O505" s="34"/>
      <c r="P505" s="34"/>
      <c r="Q505" s="34"/>
      <c r="R505" s="34"/>
      <c r="V505" s="34"/>
      <c r="Z505" s="34"/>
      <c r="AA505" s="203"/>
      <c r="AB505" s="34"/>
      <c r="AC505" s="34"/>
      <c r="AD505" s="34"/>
      <c r="AE505" s="34"/>
      <c r="AF505" s="34"/>
      <c r="AG505" s="34"/>
      <c r="AJ505" s="34"/>
      <c r="AK505" s="34"/>
      <c r="AL505" s="34"/>
      <c r="AM505" s="34"/>
    </row>
    <row r="506" spans="1:41" x14ac:dyDescent="0.3">
      <c r="A506" s="22"/>
      <c r="C506" s="23"/>
      <c r="F506" s="32"/>
      <c r="H506" s="32"/>
      <c r="I506" s="32"/>
      <c r="J506" s="62"/>
      <c r="K506" s="62"/>
      <c r="L506" s="32"/>
      <c r="M506" s="32"/>
      <c r="N506" s="22"/>
      <c r="O506" s="22"/>
      <c r="P506" s="32"/>
      <c r="Q506" s="32"/>
      <c r="R506" s="32"/>
      <c r="T506" s="23"/>
      <c r="V506" s="32"/>
      <c r="Z506" s="32"/>
      <c r="AA506" s="62"/>
      <c r="AB506" s="32"/>
      <c r="AC506" s="32"/>
      <c r="AD506" s="44"/>
      <c r="AE506" s="44"/>
      <c r="AF506" s="32"/>
      <c r="AG506" s="32"/>
      <c r="AH506" s="44"/>
      <c r="AI506" s="44"/>
      <c r="AJ506" s="32"/>
      <c r="AK506" s="32"/>
      <c r="AL506" s="32"/>
      <c r="AM506" s="32"/>
      <c r="AN506" s="44"/>
      <c r="AO506" s="44"/>
    </row>
    <row r="507" spans="1:41" x14ac:dyDescent="0.3">
      <c r="F507" s="34"/>
      <c r="H507" s="34"/>
      <c r="I507" s="34"/>
      <c r="J507" s="203"/>
      <c r="K507" s="203"/>
      <c r="L507" s="34"/>
      <c r="M507" s="34"/>
      <c r="N507" s="34"/>
      <c r="O507" s="34"/>
      <c r="P507" s="34"/>
      <c r="Q507" s="34"/>
      <c r="R507" s="34"/>
      <c r="V507" s="34"/>
      <c r="Z507" s="34"/>
      <c r="AA507" s="203"/>
      <c r="AB507" s="34"/>
      <c r="AC507" s="34"/>
      <c r="AD507" s="34"/>
      <c r="AE507" s="34"/>
      <c r="AF507" s="34"/>
      <c r="AG507" s="34"/>
      <c r="AJ507" s="34"/>
      <c r="AK507" s="34"/>
      <c r="AL507" s="34"/>
      <c r="AM507" s="34"/>
    </row>
    <row r="508" spans="1:41" x14ac:dyDescent="0.3">
      <c r="J508" s="62"/>
      <c r="K508" s="62"/>
      <c r="AA508" s="62"/>
    </row>
    <row r="509" spans="1:41" x14ac:dyDescent="0.3">
      <c r="A509" s="22"/>
      <c r="C509" s="23"/>
      <c r="J509" s="62"/>
      <c r="K509" s="62"/>
      <c r="T509" s="23"/>
      <c r="AA509" s="62"/>
    </row>
    <row r="510" spans="1:41" x14ac:dyDescent="0.3">
      <c r="A510" s="22"/>
      <c r="C510" s="23"/>
      <c r="J510" s="62"/>
      <c r="K510" s="62"/>
      <c r="T510" s="23"/>
      <c r="AA510" s="62"/>
    </row>
    <row r="511" spans="1:41" x14ac:dyDescent="0.3">
      <c r="A511" s="22"/>
      <c r="C511" s="23"/>
      <c r="F511" s="195"/>
      <c r="H511" s="195"/>
      <c r="I511" s="195"/>
      <c r="J511" s="203"/>
      <c r="K511" s="203"/>
      <c r="L511" s="32"/>
      <c r="M511" s="32"/>
      <c r="N511" s="33"/>
      <c r="O511" s="33"/>
      <c r="P511" s="32"/>
      <c r="Q511" s="32"/>
      <c r="R511" s="32"/>
      <c r="T511" s="23"/>
      <c r="V511" s="32"/>
      <c r="W511" s="32"/>
      <c r="X511" s="32"/>
      <c r="Y511" s="32"/>
      <c r="Z511" s="32"/>
      <c r="AA511" s="203"/>
      <c r="AB511" s="32"/>
      <c r="AC511" s="32"/>
      <c r="AD511" s="33"/>
      <c r="AE511" s="33"/>
      <c r="AF511" s="32"/>
      <c r="AG511" s="32"/>
      <c r="AH511" s="44"/>
      <c r="AI511" s="44"/>
      <c r="AJ511" s="32"/>
      <c r="AK511" s="32"/>
      <c r="AL511" s="32"/>
      <c r="AM511" s="32"/>
      <c r="AN511" s="44"/>
      <c r="AO511" s="44"/>
    </row>
    <row r="512" spans="1:41" x14ac:dyDescent="0.3">
      <c r="A512" s="22"/>
      <c r="C512" s="23"/>
      <c r="J512" s="62"/>
      <c r="K512" s="62"/>
      <c r="T512" s="23"/>
      <c r="AA512" s="62"/>
    </row>
    <row r="513" spans="1:41" x14ac:dyDescent="0.3">
      <c r="A513" s="22"/>
      <c r="C513" s="23"/>
      <c r="F513" s="195"/>
      <c r="H513" s="195"/>
      <c r="I513" s="195"/>
      <c r="J513" s="203"/>
      <c r="K513" s="203"/>
      <c r="L513" s="32"/>
      <c r="M513" s="32"/>
      <c r="N513" s="33"/>
      <c r="O513" s="33"/>
      <c r="P513" s="32"/>
      <c r="Q513" s="32"/>
      <c r="R513" s="32"/>
      <c r="T513" s="23"/>
      <c r="V513" s="32"/>
      <c r="W513" s="32"/>
      <c r="X513" s="32"/>
      <c r="Y513" s="32"/>
      <c r="Z513" s="32"/>
      <c r="AA513" s="203"/>
      <c r="AB513" s="32"/>
      <c r="AC513" s="32"/>
      <c r="AD513" s="33"/>
      <c r="AE513" s="33"/>
      <c r="AF513" s="32"/>
      <c r="AG513" s="32"/>
      <c r="AH513" s="44"/>
      <c r="AI513" s="44"/>
      <c r="AJ513" s="32"/>
      <c r="AK513" s="32"/>
      <c r="AL513" s="32"/>
      <c r="AM513" s="32"/>
      <c r="AN513" s="44"/>
      <c r="AO513" s="44"/>
    </row>
    <row r="514" spans="1:41" x14ac:dyDescent="0.3">
      <c r="F514" s="34"/>
      <c r="H514" s="34"/>
      <c r="I514" s="34"/>
      <c r="J514" s="203"/>
      <c r="K514" s="203"/>
      <c r="L514" s="34"/>
      <c r="M514" s="34"/>
      <c r="N514" s="34"/>
      <c r="O514" s="34"/>
      <c r="P514" s="34"/>
      <c r="Q514" s="34"/>
      <c r="R514" s="34"/>
      <c r="V514" s="34"/>
      <c r="Z514" s="34"/>
      <c r="AA514" s="203"/>
      <c r="AB514" s="34"/>
      <c r="AC514" s="34"/>
      <c r="AD514" s="34"/>
      <c r="AE514" s="34"/>
      <c r="AF514" s="34"/>
      <c r="AG514" s="34"/>
      <c r="AJ514" s="34"/>
      <c r="AK514" s="34"/>
      <c r="AL514" s="34"/>
      <c r="AM514" s="34"/>
    </row>
    <row r="515" spans="1:41" x14ac:dyDescent="0.3">
      <c r="A515" s="22"/>
      <c r="C515" s="23"/>
      <c r="F515" s="32"/>
      <c r="H515" s="32"/>
      <c r="I515" s="32"/>
      <c r="J515" s="62"/>
      <c r="K515" s="62"/>
      <c r="L515" s="32"/>
      <c r="M515" s="32"/>
      <c r="N515" s="44"/>
      <c r="O515" s="44"/>
      <c r="P515" s="32"/>
      <c r="Q515" s="32"/>
      <c r="R515" s="32"/>
      <c r="T515" s="23"/>
      <c r="V515" s="32"/>
      <c r="Z515" s="32"/>
      <c r="AA515" s="62"/>
      <c r="AB515" s="32"/>
      <c r="AC515" s="32"/>
      <c r="AD515" s="44"/>
      <c r="AE515" s="44"/>
      <c r="AF515" s="32"/>
      <c r="AG515" s="32"/>
      <c r="AH515" s="44"/>
      <c r="AI515" s="44"/>
      <c r="AJ515" s="32"/>
      <c r="AK515" s="32"/>
      <c r="AL515" s="32"/>
      <c r="AM515" s="32"/>
      <c r="AN515" s="44"/>
      <c r="AO515" s="44"/>
    </row>
    <row r="516" spans="1:41" x14ac:dyDescent="0.3">
      <c r="F516" s="34"/>
      <c r="H516" s="34"/>
      <c r="I516" s="34"/>
      <c r="J516" s="203"/>
      <c r="K516" s="203"/>
      <c r="L516" s="34"/>
      <c r="M516" s="34"/>
      <c r="N516" s="34"/>
      <c r="O516" s="34"/>
      <c r="P516" s="34"/>
      <c r="Q516" s="34"/>
      <c r="R516" s="34"/>
      <c r="V516" s="34"/>
      <c r="Z516" s="34"/>
      <c r="AA516" s="198"/>
      <c r="AB516" s="34"/>
      <c r="AC516" s="34"/>
      <c r="AD516" s="34"/>
      <c r="AE516" s="34"/>
      <c r="AF516" s="34"/>
      <c r="AG516" s="34"/>
      <c r="AJ516" s="34"/>
      <c r="AK516" s="34"/>
      <c r="AL516" s="34"/>
      <c r="AM516" s="34"/>
    </row>
    <row r="517" spans="1:41" x14ac:dyDescent="0.3">
      <c r="J517" s="62"/>
      <c r="K517" s="62"/>
    </row>
    <row r="518" spans="1:41" x14ac:dyDescent="0.3">
      <c r="A518" s="22"/>
      <c r="C518" s="23"/>
      <c r="F518" s="32"/>
      <c r="H518" s="32"/>
      <c r="I518" s="32"/>
      <c r="J518" s="62"/>
      <c r="K518" s="62"/>
      <c r="L518" s="32"/>
      <c r="M518" s="32"/>
      <c r="N518" s="33"/>
      <c r="O518" s="33"/>
      <c r="P518" s="195"/>
      <c r="Q518" s="195"/>
      <c r="R518" s="32"/>
      <c r="T518" s="23"/>
      <c r="V518" s="32"/>
      <c r="Z518" s="32"/>
      <c r="AB518" s="32"/>
      <c r="AC518" s="32"/>
      <c r="AD518" s="44"/>
      <c r="AE518" s="44"/>
      <c r="AF518" s="32"/>
      <c r="AG518" s="32"/>
      <c r="AH518" s="44"/>
      <c r="AI518" s="44"/>
      <c r="AJ518" s="195"/>
      <c r="AK518" s="195"/>
      <c r="AL518" s="32"/>
      <c r="AM518" s="32"/>
      <c r="AN518" s="44"/>
      <c r="AO518" s="44"/>
    </row>
    <row r="519" spans="1:41" x14ac:dyDescent="0.3">
      <c r="F519" s="34"/>
      <c r="H519" s="34"/>
      <c r="I519" s="34"/>
      <c r="J519" s="203"/>
      <c r="K519" s="203"/>
      <c r="L519" s="34"/>
      <c r="M519" s="34"/>
      <c r="N519" s="34"/>
      <c r="O519" s="34"/>
      <c r="P519" s="34"/>
      <c r="Q519" s="34"/>
      <c r="R519" s="34"/>
      <c r="V519" s="34"/>
      <c r="Z519" s="34"/>
      <c r="AA519" s="198"/>
      <c r="AB519" s="34"/>
      <c r="AC519" s="34"/>
      <c r="AD519" s="34"/>
      <c r="AE519" s="34"/>
      <c r="AF519" s="34"/>
      <c r="AG519" s="34"/>
      <c r="AJ519" s="34"/>
      <c r="AK519" s="34"/>
      <c r="AL519" s="34"/>
      <c r="AM519" s="34"/>
    </row>
    <row r="521" spans="1:41" x14ac:dyDescent="0.3">
      <c r="C521" s="22"/>
      <c r="T521" s="22"/>
    </row>
    <row r="522" spans="1:41" x14ac:dyDescent="0.3">
      <c r="A522" s="23"/>
    </row>
    <row r="523" spans="1:41" x14ac:dyDescent="0.3">
      <c r="J523" s="22"/>
      <c r="K523" s="22"/>
      <c r="AA523" s="22"/>
    </row>
    <row r="524" spans="1:41" x14ac:dyDescent="0.3">
      <c r="H524" s="23"/>
      <c r="I524" s="23"/>
      <c r="Z524" s="23"/>
    </row>
    <row r="525" spans="1:41" x14ac:dyDescent="0.3">
      <c r="J525" s="22"/>
      <c r="K525" s="22"/>
      <c r="AA525" s="22"/>
    </row>
    <row r="526" spans="1:41" x14ac:dyDescent="0.3">
      <c r="L526" s="23"/>
      <c r="M526" s="23"/>
      <c r="AB526" s="23"/>
      <c r="AC526" s="23"/>
    </row>
    <row r="527" spans="1:41" x14ac:dyDescent="0.3">
      <c r="A527" s="22"/>
      <c r="R527" s="23"/>
      <c r="AL527" s="23"/>
      <c r="AM527" s="23"/>
    </row>
    <row r="528" spans="1:41" x14ac:dyDescent="0.3">
      <c r="A528" s="22"/>
      <c r="R528" s="23"/>
      <c r="AL528" s="23"/>
      <c r="AM528" s="23"/>
    </row>
    <row r="529" spans="1:41" x14ac:dyDescent="0.3">
      <c r="A529" s="23"/>
      <c r="R529" s="23"/>
      <c r="AL529" s="23"/>
      <c r="AM529" s="23"/>
    </row>
    <row r="530" spans="1:41" x14ac:dyDescent="0.3">
      <c r="L530" s="23"/>
      <c r="M530" s="23"/>
      <c r="R530" s="22"/>
      <c r="AB530" s="23"/>
      <c r="AC530" s="23"/>
      <c r="AL530" s="22"/>
      <c r="AM530" s="22"/>
    </row>
    <row r="531" spans="1:4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1:41" x14ac:dyDescent="0.3">
      <c r="L532" s="30"/>
      <c r="M532" s="30"/>
      <c r="N532" s="30"/>
      <c r="O532" s="30"/>
      <c r="R532" s="30"/>
      <c r="AB532" s="30"/>
      <c r="AC532" s="30"/>
      <c r="AD532" s="30"/>
      <c r="AE532" s="30"/>
      <c r="AF532" s="30"/>
      <c r="AG532" s="30"/>
      <c r="AH532" s="30"/>
      <c r="AI532" s="30"/>
      <c r="AL532" s="30"/>
      <c r="AM532" s="30"/>
      <c r="AN532" s="30"/>
      <c r="AO532" s="30"/>
    </row>
    <row r="533" spans="1:41" x14ac:dyDescent="0.3">
      <c r="L533" s="30"/>
      <c r="M533" s="30"/>
      <c r="N533" s="30"/>
      <c r="O533" s="30"/>
      <c r="R533" s="30"/>
      <c r="AA533" s="30"/>
      <c r="AB533" s="30"/>
      <c r="AC533" s="30"/>
      <c r="AD533" s="30"/>
      <c r="AE533" s="30"/>
      <c r="AF533" s="30"/>
      <c r="AG533" s="30"/>
      <c r="AH533" s="30"/>
      <c r="AI533" s="30"/>
      <c r="AL533" s="30"/>
      <c r="AM533" s="30"/>
      <c r="AN533" s="30"/>
      <c r="AO533" s="30"/>
    </row>
    <row r="534" spans="1:41" x14ac:dyDescent="0.3">
      <c r="A534" s="30"/>
      <c r="C534" s="30"/>
      <c r="D534" s="30"/>
      <c r="E534" s="30"/>
      <c r="F534" s="30"/>
      <c r="J534" s="30"/>
      <c r="K534" s="30"/>
      <c r="L534" s="30"/>
      <c r="M534" s="30"/>
      <c r="N534" s="30"/>
      <c r="O534" s="30"/>
      <c r="P534" s="30"/>
      <c r="Q534" s="30"/>
      <c r="R534" s="30"/>
      <c r="T534" s="30"/>
      <c r="U534" s="30"/>
      <c r="V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</row>
    <row r="535" spans="1:41" x14ac:dyDescent="0.3">
      <c r="A535" s="30"/>
      <c r="C535" s="30"/>
      <c r="D535" s="30"/>
      <c r="E535" s="30"/>
      <c r="F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T535" s="30"/>
      <c r="U535" s="30"/>
      <c r="V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</row>
    <row r="536" spans="1:41" x14ac:dyDescent="0.3">
      <c r="C536" s="30"/>
      <c r="D536" s="30"/>
      <c r="E536" s="30"/>
      <c r="F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T536" s="30"/>
      <c r="U536" s="30"/>
      <c r="V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</row>
    <row r="537" spans="1:4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1:41" x14ac:dyDescent="0.3"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</row>
    <row r="539" spans="1:41" x14ac:dyDescent="0.3">
      <c r="A539" s="22"/>
      <c r="C539" s="23"/>
      <c r="D539" s="23"/>
      <c r="E539" s="23"/>
      <c r="T539" s="23"/>
      <c r="U539" s="23"/>
    </row>
    <row r="541" spans="1:41" x14ac:dyDescent="0.3">
      <c r="A541" s="22"/>
      <c r="C541" s="23"/>
      <c r="D541" s="23"/>
      <c r="E541" s="23"/>
      <c r="T541" s="23"/>
      <c r="U541" s="23"/>
    </row>
    <row r="542" spans="1:41" x14ac:dyDescent="0.3">
      <c r="A542" s="22"/>
      <c r="C542" s="23"/>
      <c r="T542" s="23"/>
    </row>
    <row r="543" spans="1:41" x14ac:dyDescent="0.3">
      <c r="A543" s="22"/>
      <c r="C543" s="23"/>
      <c r="T543" s="23"/>
    </row>
    <row r="544" spans="1:41" x14ac:dyDescent="0.3">
      <c r="A544" s="22"/>
      <c r="C544" s="23"/>
      <c r="F544" s="195"/>
      <c r="H544" s="195"/>
      <c r="I544" s="195"/>
      <c r="J544" s="203"/>
      <c r="K544" s="203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32"/>
      <c r="Z544" s="32"/>
      <c r="AA544" s="203"/>
      <c r="AB544" s="32"/>
      <c r="AC544" s="32"/>
      <c r="AD544" s="33"/>
      <c r="AE544" s="33"/>
      <c r="AF544" s="32"/>
      <c r="AG544" s="32"/>
      <c r="AH544" s="44"/>
      <c r="AI544" s="44"/>
      <c r="AJ544" s="32"/>
      <c r="AK544" s="32"/>
      <c r="AL544" s="32"/>
      <c r="AM544" s="32"/>
      <c r="AN544" s="33"/>
      <c r="AO544" s="33"/>
    </row>
    <row r="545" spans="1:41" x14ac:dyDescent="0.3">
      <c r="A545" s="22"/>
      <c r="C545" s="23"/>
      <c r="J545" s="62"/>
      <c r="K545" s="62"/>
      <c r="T545" s="23"/>
      <c r="V545" s="32"/>
      <c r="W545" s="32"/>
      <c r="X545" s="32"/>
      <c r="Y545" s="32"/>
      <c r="Z545" s="32"/>
      <c r="AA545" s="203"/>
    </row>
    <row r="546" spans="1:41" x14ac:dyDescent="0.3">
      <c r="A546" s="22"/>
      <c r="C546" s="23"/>
      <c r="F546" s="195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32"/>
      <c r="Z546" s="32"/>
      <c r="AA546" s="203"/>
      <c r="AB546" s="32"/>
      <c r="AC546" s="32"/>
      <c r="AD546" s="33"/>
      <c r="AE546" s="33"/>
      <c r="AF546" s="32"/>
      <c r="AG546" s="32"/>
      <c r="AH546" s="44"/>
      <c r="AI546" s="44"/>
      <c r="AJ546" s="32"/>
      <c r="AK546" s="32"/>
      <c r="AL546" s="32"/>
      <c r="AM546" s="32"/>
      <c r="AN546" s="33"/>
      <c r="AO546" s="33"/>
    </row>
    <row r="547" spans="1:41" x14ac:dyDescent="0.3">
      <c r="A547" s="22"/>
      <c r="C547" s="23"/>
      <c r="J547" s="62"/>
      <c r="K547" s="62"/>
      <c r="T547" s="23"/>
      <c r="V547" s="32"/>
      <c r="W547" s="32"/>
      <c r="X547" s="32"/>
      <c r="Y547" s="32"/>
      <c r="Z547" s="32"/>
      <c r="AA547" s="203"/>
    </row>
    <row r="548" spans="1:41" x14ac:dyDescent="0.3">
      <c r="A548" s="22"/>
      <c r="C548" s="23"/>
      <c r="F548" s="195"/>
      <c r="H548" s="195"/>
      <c r="I548" s="195"/>
      <c r="J548" s="203"/>
      <c r="K548" s="203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32"/>
      <c r="Z548" s="32"/>
      <c r="AA548" s="203"/>
      <c r="AB548" s="32"/>
      <c r="AC548" s="32"/>
      <c r="AD548" s="33"/>
      <c r="AE548" s="33"/>
      <c r="AF548" s="32"/>
      <c r="AG548" s="32"/>
      <c r="AH548" s="44"/>
      <c r="AI548" s="44"/>
      <c r="AJ548" s="32"/>
      <c r="AK548" s="32"/>
      <c r="AL548" s="32"/>
      <c r="AM548" s="32"/>
      <c r="AN548" s="33"/>
      <c r="AO548" s="33"/>
    </row>
    <row r="549" spans="1:41" x14ac:dyDescent="0.3">
      <c r="A549" s="22"/>
      <c r="C549" s="23"/>
      <c r="J549" s="62"/>
      <c r="K549" s="62"/>
      <c r="T549" s="23"/>
      <c r="V549" s="32"/>
      <c r="W549" s="32"/>
      <c r="X549" s="32"/>
      <c r="Y549" s="32"/>
      <c r="Z549" s="32"/>
      <c r="AA549" s="203"/>
    </row>
    <row r="550" spans="1:41" x14ac:dyDescent="0.3">
      <c r="A550" s="22"/>
      <c r="C550" s="23"/>
      <c r="F550" s="195"/>
      <c r="H550" s="195"/>
      <c r="I550" s="195"/>
      <c r="J550" s="203"/>
      <c r="K550" s="203"/>
      <c r="L550" s="32"/>
      <c r="M550" s="32"/>
      <c r="N550" s="33"/>
      <c r="O550" s="33"/>
      <c r="P550" s="32"/>
      <c r="Q550" s="32"/>
      <c r="R550" s="32"/>
      <c r="T550" s="23"/>
      <c r="V550" s="32"/>
      <c r="W550" s="32"/>
      <c r="X550" s="32"/>
      <c r="Y550" s="32"/>
      <c r="Z550" s="32"/>
      <c r="AA550" s="203"/>
      <c r="AB550" s="32"/>
      <c r="AC550" s="32"/>
      <c r="AD550" s="33"/>
      <c r="AE550" s="33"/>
      <c r="AF550" s="32"/>
      <c r="AG550" s="32"/>
      <c r="AH550" s="44"/>
      <c r="AI550" s="44"/>
      <c r="AJ550" s="32"/>
      <c r="AK550" s="32"/>
      <c r="AL550" s="32"/>
      <c r="AM550" s="32"/>
      <c r="AN550" s="33"/>
      <c r="AO550" s="33"/>
    </row>
    <row r="551" spans="1:41" x14ac:dyDescent="0.3">
      <c r="A551" s="22"/>
      <c r="C551" s="23"/>
      <c r="J551" s="62"/>
      <c r="K551" s="62"/>
      <c r="T551" s="23"/>
      <c r="V551" s="32"/>
      <c r="W551" s="32"/>
      <c r="X551" s="32"/>
      <c r="Y551" s="32"/>
      <c r="Z551" s="32"/>
      <c r="AA551" s="203"/>
    </row>
    <row r="552" spans="1:41" x14ac:dyDescent="0.3">
      <c r="A552" s="22"/>
      <c r="C552" s="23"/>
      <c r="F552" s="195"/>
      <c r="H552" s="195"/>
      <c r="I552" s="195"/>
      <c r="J552" s="203"/>
      <c r="K552" s="203"/>
      <c r="L552" s="32"/>
      <c r="M552" s="32"/>
      <c r="N552" s="33"/>
      <c r="O552" s="33"/>
      <c r="P552" s="32"/>
      <c r="Q552" s="32"/>
      <c r="R552" s="32"/>
      <c r="T552" s="23"/>
      <c r="V552" s="32"/>
      <c r="W552" s="32"/>
      <c r="X552" s="32"/>
      <c r="Y552" s="32"/>
      <c r="Z552" s="32"/>
      <c r="AA552" s="203"/>
      <c r="AB552" s="32"/>
      <c r="AC552" s="32"/>
      <c r="AD552" s="33"/>
      <c r="AE552" s="33"/>
      <c r="AF552" s="32"/>
      <c r="AG552" s="32"/>
      <c r="AH552" s="44"/>
      <c r="AI552" s="44"/>
      <c r="AJ552" s="32"/>
      <c r="AK552" s="32"/>
      <c r="AL552" s="32"/>
      <c r="AM552" s="32"/>
      <c r="AN552" s="33"/>
      <c r="AO552" s="33"/>
    </row>
    <row r="553" spans="1:41" x14ac:dyDescent="0.3">
      <c r="A553" s="22"/>
      <c r="C553" s="23"/>
      <c r="J553" s="62"/>
      <c r="K553" s="62"/>
      <c r="T553" s="23"/>
      <c r="V553" s="32"/>
      <c r="W553" s="32"/>
      <c r="X553" s="32"/>
      <c r="Y553" s="32"/>
      <c r="Z553" s="32"/>
      <c r="AA553" s="203"/>
    </row>
    <row r="554" spans="1:41" x14ac:dyDescent="0.3">
      <c r="A554" s="22"/>
      <c r="C554" s="23"/>
      <c r="F554" s="195"/>
      <c r="H554" s="195"/>
      <c r="I554" s="195"/>
      <c r="J554" s="203"/>
      <c r="K554" s="203"/>
      <c r="L554" s="32"/>
      <c r="M554" s="32"/>
      <c r="N554" s="33"/>
      <c r="O554" s="33"/>
      <c r="P554" s="32"/>
      <c r="Q554" s="32"/>
      <c r="R554" s="32"/>
      <c r="T554" s="23"/>
      <c r="V554" s="32"/>
      <c r="W554" s="32"/>
      <c r="X554" s="32"/>
      <c r="Y554" s="32"/>
      <c r="Z554" s="32"/>
      <c r="AA554" s="203"/>
      <c r="AB554" s="32"/>
      <c r="AC554" s="32"/>
      <c r="AD554" s="33"/>
      <c r="AE554" s="33"/>
      <c r="AF554" s="32"/>
      <c r="AG554" s="32"/>
      <c r="AH554" s="44"/>
      <c r="AI554" s="44"/>
      <c r="AJ554" s="32"/>
      <c r="AK554" s="32"/>
      <c r="AL554" s="32"/>
      <c r="AM554" s="32"/>
      <c r="AN554" s="33"/>
      <c r="AO554" s="33"/>
    </row>
    <row r="555" spans="1:41" x14ac:dyDescent="0.3">
      <c r="F555" s="34"/>
      <c r="H555" s="34"/>
      <c r="I555" s="34"/>
      <c r="J555" s="203"/>
      <c r="K555" s="203"/>
      <c r="L555" s="34"/>
      <c r="M555" s="34"/>
      <c r="N555" s="34"/>
      <c r="O555" s="34"/>
      <c r="P555" s="34"/>
      <c r="Q555" s="34"/>
      <c r="R555" s="34"/>
      <c r="V555" s="34"/>
      <c r="Z555" s="34"/>
      <c r="AA555" s="203"/>
      <c r="AB555" s="34"/>
      <c r="AC555" s="34"/>
      <c r="AD555" s="34"/>
      <c r="AE555" s="34"/>
      <c r="AF555" s="34"/>
      <c r="AG555" s="34"/>
      <c r="AJ555" s="34"/>
      <c r="AK555" s="34"/>
      <c r="AL555" s="34"/>
      <c r="AM555" s="34"/>
      <c r="AN555" s="33"/>
      <c r="AO555" s="33"/>
    </row>
    <row r="556" spans="1:41" x14ac:dyDescent="0.3">
      <c r="A556" s="22"/>
      <c r="C556" s="23"/>
      <c r="F556" s="32"/>
      <c r="H556" s="32"/>
      <c r="I556" s="32"/>
      <c r="J556" s="62"/>
      <c r="K556" s="62"/>
      <c r="L556" s="32"/>
      <c r="M556" s="32"/>
      <c r="N556" s="33"/>
      <c r="O556" s="33"/>
      <c r="P556" s="195"/>
      <c r="Q556" s="195"/>
      <c r="R556" s="32"/>
      <c r="T556" s="23"/>
      <c r="V556" s="32"/>
      <c r="W556" s="32"/>
      <c r="X556" s="32"/>
      <c r="Y556" s="32"/>
      <c r="Z556" s="32"/>
      <c r="AA556" s="203"/>
      <c r="AB556" s="32"/>
      <c r="AC556" s="32"/>
      <c r="AD556" s="33"/>
      <c r="AE556" s="33"/>
      <c r="AF556" s="32"/>
      <c r="AG556" s="32"/>
      <c r="AH556" s="44"/>
      <c r="AI556" s="44"/>
      <c r="AJ556" s="195"/>
      <c r="AK556" s="195"/>
      <c r="AL556" s="32"/>
      <c r="AM556" s="32"/>
      <c r="AN556" s="33"/>
      <c r="AO556" s="33"/>
    </row>
    <row r="557" spans="1:41" x14ac:dyDescent="0.3">
      <c r="F557" s="34"/>
      <c r="H557" s="34"/>
      <c r="I557" s="34"/>
      <c r="J557" s="203"/>
      <c r="K557" s="203"/>
      <c r="L557" s="34"/>
      <c r="M557" s="34"/>
      <c r="N557" s="34"/>
      <c r="O557" s="34"/>
      <c r="P557" s="34"/>
      <c r="Q557" s="34"/>
      <c r="R557" s="34"/>
      <c r="V557" s="34"/>
      <c r="Z557" s="34"/>
      <c r="AA557" s="203"/>
      <c r="AB557" s="34"/>
      <c r="AC557" s="34"/>
      <c r="AD557" s="34"/>
      <c r="AE557" s="34"/>
      <c r="AF557" s="34"/>
      <c r="AG557" s="34"/>
      <c r="AJ557" s="34"/>
      <c r="AK557" s="34"/>
      <c r="AL557" s="34"/>
      <c r="AM557" s="34"/>
    </row>
    <row r="558" spans="1:41" x14ac:dyDescent="0.3">
      <c r="A558" s="22"/>
      <c r="C558" s="23"/>
      <c r="D558" s="23"/>
      <c r="E558" s="23"/>
      <c r="J558" s="62"/>
      <c r="K558" s="62"/>
      <c r="T558" s="23"/>
      <c r="U558" s="23"/>
      <c r="V558" s="32"/>
      <c r="W558" s="32"/>
      <c r="X558" s="32"/>
      <c r="Y558" s="32"/>
      <c r="Z558" s="32"/>
      <c r="AA558" s="203"/>
    </row>
    <row r="559" spans="1:41" x14ac:dyDescent="0.3">
      <c r="A559" s="22"/>
      <c r="C559" s="23"/>
      <c r="J559" s="62"/>
      <c r="K559" s="62"/>
      <c r="T559" s="23"/>
      <c r="V559" s="32"/>
      <c r="W559" s="32"/>
      <c r="X559" s="32"/>
      <c r="Y559" s="32"/>
      <c r="Z559" s="32"/>
      <c r="AA559" s="203"/>
    </row>
    <row r="560" spans="1:41" x14ac:dyDescent="0.3">
      <c r="A560" s="22"/>
      <c r="C560" s="23"/>
      <c r="J560" s="62"/>
      <c r="K560" s="62"/>
      <c r="T560" s="23"/>
      <c r="V560" s="32"/>
      <c r="W560" s="32"/>
      <c r="X560" s="32"/>
      <c r="Y560" s="32"/>
      <c r="Z560" s="32"/>
      <c r="AA560" s="203"/>
    </row>
    <row r="561" spans="1:41" x14ac:dyDescent="0.3">
      <c r="A561" s="22"/>
      <c r="C561" s="23"/>
      <c r="F561" s="195"/>
      <c r="H561" s="195"/>
      <c r="I561" s="195"/>
      <c r="J561" s="203"/>
      <c r="K561" s="203"/>
      <c r="L561" s="32"/>
      <c r="M561" s="32"/>
      <c r="N561" s="33"/>
      <c r="O561" s="33"/>
      <c r="P561" s="32"/>
      <c r="Q561" s="32"/>
      <c r="R561" s="32"/>
      <c r="T561" s="23"/>
      <c r="V561" s="32"/>
      <c r="W561" s="32"/>
      <c r="X561" s="32"/>
      <c r="Y561" s="32"/>
      <c r="Z561" s="32"/>
      <c r="AA561" s="203"/>
      <c r="AB561" s="32"/>
      <c r="AC561" s="32"/>
      <c r="AD561" s="33"/>
      <c r="AE561" s="33"/>
      <c r="AF561" s="32"/>
      <c r="AG561" s="32"/>
      <c r="AH561" s="44"/>
      <c r="AI561" s="44"/>
      <c r="AJ561" s="32"/>
      <c r="AK561" s="32"/>
      <c r="AL561" s="32"/>
      <c r="AM561" s="32"/>
      <c r="AN561" s="33"/>
      <c r="AO561" s="33"/>
    </row>
    <row r="562" spans="1:41" x14ac:dyDescent="0.3">
      <c r="A562" s="22"/>
      <c r="C562" s="23"/>
      <c r="J562" s="62"/>
      <c r="K562" s="62"/>
      <c r="T562" s="23"/>
      <c r="V562" s="32"/>
      <c r="W562" s="32"/>
      <c r="X562" s="32"/>
      <c r="Y562" s="32"/>
      <c r="Z562" s="32"/>
      <c r="AA562" s="203"/>
    </row>
    <row r="563" spans="1:41" x14ac:dyDescent="0.3">
      <c r="A563" s="22"/>
      <c r="C563" s="23"/>
      <c r="F563" s="195"/>
      <c r="H563" s="195"/>
      <c r="I563" s="195"/>
      <c r="J563" s="203"/>
      <c r="K563" s="203"/>
      <c r="L563" s="32"/>
      <c r="M563" s="32"/>
      <c r="N563" s="33"/>
      <c r="O563" s="33"/>
      <c r="P563" s="32"/>
      <c r="Q563" s="32"/>
      <c r="R563" s="32"/>
      <c r="T563" s="23"/>
      <c r="V563" s="32"/>
      <c r="W563" s="32"/>
      <c r="X563" s="32"/>
      <c r="Y563" s="32"/>
      <c r="Z563" s="32"/>
      <c r="AA563" s="203"/>
      <c r="AB563" s="32"/>
      <c r="AC563" s="32"/>
      <c r="AD563" s="33"/>
      <c r="AE563" s="33"/>
      <c r="AF563" s="32"/>
      <c r="AG563" s="32"/>
      <c r="AH563" s="44"/>
      <c r="AI563" s="44"/>
      <c r="AJ563" s="32"/>
      <c r="AK563" s="32"/>
      <c r="AL563" s="32"/>
      <c r="AM563" s="32"/>
      <c r="AN563" s="33"/>
      <c r="AO563" s="33"/>
    </row>
    <row r="564" spans="1:41" x14ac:dyDescent="0.3">
      <c r="F564" s="34"/>
      <c r="H564" s="34"/>
      <c r="I564" s="34"/>
      <c r="J564" s="203"/>
      <c r="K564" s="203"/>
      <c r="L564" s="34"/>
      <c r="M564" s="34"/>
      <c r="N564" s="34"/>
      <c r="O564" s="34"/>
      <c r="P564" s="34"/>
      <c r="Q564" s="34"/>
      <c r="R564" s="34"/>
      <c r="V564" s="34"/>
      <c r="Z564" s="34"/>
      <c r="AA564" s="198"/>
      <c r="AB564" s="34"/>
      <c r="AC564" s="34"/>
      <c r="AD564" s="34"/>
      <c r="AE564" s="34"/>
      <c r="AF564" s="34"/>
      <c r="AG564" s="34"/>
      <c r="AJ564" s="34"/>
      <c r="AK564" s="34"/>
      <c r="AL564" s="34"/>
      <c r="AM564" s="34"/>
    </row>
    <row r="565" spans="1:41" x14ac:dyDescent="0.3">
      <c r="A565" s="22"/>
      <c r="C565" s="23"/>
      <c r="F565" s="32"/>
      <c r="H565" s="32"/>
      <c r="I565" s="32"/>
      <c r="L565" s="32"/>
      <c r="M565" s="32"/>
      <c r="N565" s="33"/>
      <c r="O565" s="33"/>
      <c r="P565" s="195"/>
      <c r="Q565" s="195"/>
      <c r="R565" s="32"/>
      <c r="T565" s="23"/>
      <c r="V565" s="32"/>
      <c r="W565" s="32"/>
      <c r="X565" s="32"/>
      <c r="Y565" s="32"/>
      <c r="Z565" s="32"/>
      <c r="AA565" s="206"/>
      <c r="AB565" s="32"/>
      <c r="AC565" s="32"/>
      <c r="AD565" s="33"/>
      <c r="AE565" s="33"/>
      <c r="AF565" s="32"/>
      <c r="AG565" s="32"/>
      <c r="AH565" s="44"/>
      <c r="AI565" s="44"/>
      <c r="AJ565" s="195"/>
      <c r="AK565" s="195"/>
      <c r="AL565" s="32"/>
      <c r="AM565" s="32"/>
      <c r="AN565" s="33"/>
      <c r="AO565" s="33"/>
    </row>
    <row r="566" spans="1:41" x14ac:dyDescent="0.3">
      <c r="F566" s="34"/>
      <c r="H566" s="34"/>
      <c r="I566" s="34"/>
      <c r="J566" s="198"/>
      <c r="K566" s="198"/>
      <c r="L566" s="34"/>
      <c r="M566" s="34"/>
      <c r="N566" s="34"/>
      <c r="O566" s="34"/>
      <c r="P566" s="34"/>
      <c r="Q566" s="34"/>
      <c r="R566" s="34"/>
      <c r="V566" s="34"/>
      <c r="Z566" s="34"/>
      <c r="AA566" s="198"/>
      <c r="AB566" s="34"/>
      <c r="AC566" s="34"/>
      <c r="AD566" s="34"/>
      <c r="AE566" s="34"/>
      <c r="AF566" s="34"/>
      <c r="AG566" s="34"/>
      <c r="AJ566" s="34"/>
      <c r="AK566" s="34"/>
      <c r="AL566" s="34"/>
      <c r="AM566" s="34"/>
    </row>
    <row r="567" spans="1:41" x14ac:dyDescent="0.3">
      <c r="A567" s="22"/>
      <c r="C567" s="23"/>
      <c r="D567" s="23"/>
      <c r="E567" s="23"/>
      <c r="T567" s="23"/>
      <c r="U567" s="23"/>
      <c r="V567" s="32"/>
      <c r="W567" s="32"/>
      <c r="X567" s="32"/>
      <c r="Y567" s="32"/>
      <c r="Z567" s="32"/>
      <c r="AA567" s="206"/>
    </row>
    <row r="568" spans="1:41" x14ac:dyDescent="0.3">
      <c r="A568" s="22"/>
      <c r="C568" s="23"/>
      <c r="T568" s="23"/>
      <c r="V568" s="32"/>
      <c r="W568" s="32"/>
      <c r="X568" s="32"/>
      <c r="Y568" s="32"/>
      <c r="Z568" s="32"/>
      <c r="AA568" s="206"/>
    </row>
    <row r="569" spans="1:41" x14ac:dyDescent="0.3">
      <c r="A569" s="22"/>
      <c r="C569" s="23"/>
      <c r="F569" s="195"/>
      <c r="H569" s="195"/>
      <c r="I569" s="195"/>
      <c r="J569" s="206"/>
      <c r="K569" s="206"/>
      <c r="L569" s="32"/>
      <c r="M569" s="32"/>
      <c r="N569" s="33"/>
      <c r="O569" s="33"/>
      <c r="P569" s="32"/>
      <c r="Q569" s="32"/>
      <c r="R569" s="32"/>
      <c r="T569" s="23"/>
      <c r="V569" s="32"/>
      <c r="W569" s="32"/>
      <c r="X569" s="32"/>
      <c r="Y569" s="32"/>
      <c r="Z569" s="32"/>
      <c r="AA569" s="206"/>
      <c r="AB569" s="32"/>
      <c r="AC569" s="32"/>
      <c r="AD569" s="33"/>
      <c r="AE569" s="33"/>
      <c r="AF569" s="32"/>
      <c r="AG569" s="32"/>
      <c r="AH569" s="44"/>
      <c r="AI569" s="44"/>
      <c r="AJ569" s="32"/>
      <c r="AK569" s="32"/>
      <c r="AL569" s="32"/>
      <c r="AM569" s="32"/>
      <c r="AN569" s="33"/>
      <c r="AO569" s="33"/>
    </row>
    <row r="570" spans="1:41" x14ac:dyDescent="0.3">
      <c r="A570" s="22"/>
      <c r="C570" s="23"/>
      <c r="T570" s="23"/>
      <c r="V570" s="32"/>
      <c r="W570" s="32"/>
      <c r="X570" s="32"/>
      <c r="Y570" s="32"/>
      <c r="Z570" s="32"/>
      <c r="AA570" s="206"/>
    </row>
    <row r="571" spans="1:41" x14ac:dyDescent="0.3">
      <c r="A571" s="22"/>
      <c r="C571" s="23"/>
      <c r="F571" s="195"/>
      <c r="H571" s="195"/>
      <c r="I571" s="195"/>
      <c r="J571" s="206"/>
      <c r="K571" s="206"/>
      <c r="L571" s="32"/>
      <c r="M571" s="32"/>
      <c r="N571" s="33"/>
      <c r="O571" s="33"/>
      <c r="P571" s="32"/>
      <c r="Q571" s="32"/>
      <c r="R571" s="32"/>
      <c r="T571" s="23"/>
      <c r="V571" s="32"/>
      <c r="W571" s="32"/>
      <c r="X571" s="32"/>
      <c r="Y571" s="32"/>
      <c r="Z571" s="32"/>
      <c r="AA571" s="206"/>
      <c r="AB571" s="32"/>
      <c r="AC571" s="32"/>
      <c r="AD571" s="33"/>
      <c r="AE571" s="33"/>
      <c r="AF571" s="32"/>
      <c r="AG571" s="32"/>
      <c r="AH571" s="44"/>
      <c r="AI571" s="44"/>
      <c r="AJ571" s="32"/>
      <c r="AK571" s="32"/>
      <c r="AL571" s="32"/>
      <c r="AM571" s="32"/>
      <c r="AN571" s="33"/>
      <c r="AO571" s="33"/>
    </row>
    <row r="572" spans="1:41" x14ac:dyDescent="0.3">
      <c r="A572" s="22"/>
      <c r="C572" s="23"/>
      <c r="T572" s="23"/>
      <c r="V572" s="32"/>
      <c r="W572" s="32"/>
      <c r="X572" s="32"/>
      <c r="Y572" s="32"/>
      <c r="Z572" s="32"/>
      <c r="AA572" s="206"/>
    </row>
    <row r="573" spans="1:41" x14ac:dyDescent="0.3">
      <c r="A573" s="22"/>
      <c r="C573" s="23"/>
      <c r="F573" s="195"/>
      <c r="H573" s="195"/>
      <c r="I573" s="195"/>
      <c r="J573" s="206"/>
      <c r="K573" s="206"/>
      <c r="L573" s="32"/>
      <c r="M573" s="32"/>
      <c r="N573" s="33"/>
      <c r="O573" s="33"/>
      <c r="P573" s="32"/>
      <c r="Q573" s="32"/>
      <c r="R573" s="32"/>
      <c r="T573" s="23"/>
      <c r="V573" s="32"/>
      <c r="W573" s="32"/>
      <c r="X573" s="32"/>
      <c r="Y573" s="32"/>
      <c r="Z573" s="32"/>
      <c r="AA573" s="206"/>
      <c r="AB573" s="32"/>
      <c r="AC573" s="32"/>
      <c r="AD573" s="33"/>
      <c r="AE573" s="33"/>
      <c r="AF573" s="32"/>
      <c r="AG573" s="32"/>
      <c r="AH573" s="44"/>
      <c r="AI573" s="44"/>
      <c r="AJ573" s="32"/>
      <c r="AK573" s="32"/>
      <c r="AL573" s="32"/>
      <c r="AM573" s="32"/>
      <c r="AN573" s="33"/>
      <c r="AO573" s="33"/>
    </row>
    <row r="574" spans="1:41" x14ac:dyDescent="0.3">
      <c r="A574" s="22"/>
      <c r="C574" s="23"/>
      <c r="T574" s="23"/>
      <c r="V574" s="32"/>
      <c r="W574" s="32"/>
      <c r="X574" s="32"/>
      <c r="Y574" s="32"/>
      <c r="Z574" s="32"/>
      <c r="AA574" s="206"/>
    </row>
    <row r="575" spans="1:41" x14ac:dyDescent="0.3">
      <c r="A575" s="22"/>
      <c r="C575" s="23"/>
      <c r="F575" s="195"/>
      <c r="H575" s="195"/>
      <c r="I575" s="195"/>
      <c r="J575" s="206"/>
      <c r="K575" s="206"/>
      <c r="L575" s="32"/>
      <c r="M575" s="32"/>
      <c r="N575" s="33"/>
      <c r="O575" s="33"/>
      <c r="P575" s="32"/>
      <c r="Q575" s="32"/>
      <c r="R575" s="32"/>
      <c r="T575" s="23"/>
      <c r="V575" s="32"/>
      <c r="W575" s="32"/>
      <c r="X575" s="32"/>
      <c r="Y575" s="32"/>
      <c r="Z575" s="32"/>
      <c r="AA575" s="206"/>
      <c r="AB575" s="32"/>
      <c r="AC575" s="32"/>
      <c r="AD575" s="33"/>
      <c r="AE575" s="33"/>
      <c r="AF575" s="32"/>
      <c r="AG575" s="32"/>
      <c r="AH575" s="44"/>
      <c r="AI575" s="44"/>
      <c r="AJ575" s="32"/>
      <c r="AK575" s="32"/>
      <c r="AL575" s="32"/>
      <c r="AM575" s="32"/>
      <c r="AN575" s="33"/>
      <c r="AO575" s="33"/>
    </row>
    <row r="576" spans="1:41" x14ac:dyDescent="0.3">
      <c r="F576" s="34"/>
      <c r="H576" s="34"/>
      <c r="I576" s="34"/>
      <c r="J576" s="198"/>
      <c r="K576" s="198"/>
      <c r="L576" s="34"/>
      <c r="M576" s="34"/>
      <c r="N576" s="34"/>
      <c r="O576" s="34"/>
      <c r="P576" s="34"/>
      <c r="Q576" s="34"/>
      <c r="R576" s="34"/>
      <c r="V576" s="34"/>
      <c r="Z576" s="34"/>
      <c r="AA576" s="198"/>
      <c r="AB576" s="34"/>
      <c r="AC576" s="34"/>
      <c r="AD576" s="34"/>
      <c r="AE576" s="34"/>
      <c r="AF576" s="34"/>
      <c r="AG576" s="34"/>
      <c r="AJ576" s="34"/>
      <c r="AK576" s="34"/>
      <c r="AL576" s="34"/>
      <c r="AM576" s="34"/>
    </row>
    <row r="577" spans="1:41" x14ac:dyDescent="0.3">
      <c r="A577" s="22"/>
      <c r="C577" s="23"/>
      <c r="F577" s="32"/>
      <c r="H577" s="32"/>
      <c r="I577" s="32"/>
      <c r="L577" s="32"/>
      <c r="M577" s="32"/>
      <c r="N577" s="33"/>
      <c r="O577" s="33"/>
      <c r="P577" s="195"/>
      <c r="Q577" s="195"/>
      <c r="R577" s="32"/>
      <c r="T577" s="23"/>
      <c r="V577" s="32"/>
      <c r="W577" s="32"/>
      <c r="X577" s="32"/>
      <c r="Y577" s="32"/>
      <c r="Z577" s="32"/>
      <c r="AA577" s="206"/>
      <c r="AB577" s="32"/>
      <c r="AC577" s="32"/>
      <c r="AD577" s="33"/>
      <c r="AE577" s="33"/>
      <c r="AF577" s="32"/>
      <c r="AG577" s="32"/>
      <c r="AH577" s="44"/>
      <c r="AI577" s="44"/>
      <c r="AJ577" s="195"/>
      <c r="AK577" s="195"/>
      <c r="AL577" s="32"/>
      <c r="AM577" s="32"/>
      <c r="AN577" s="33"/>
      <c r="AO577" s="33"/>
    </row>
    <row r="578" spans="1:41" x14ac:dyDescent="0.3">
      <c r="F578" s="34"/>
      <c r="H578" s="34"/>
      <c r="I578" s="34"/>
      <c r="J578" s="198"/>
      <c r="K578" s="198"/>
      <c r="L578" s="34"/>
      <c r="M578" s="34"/>
      <c r="N578" s="34"/>
      <c r="O578" s="34"/>
      <c r="P578" s="34"/>
      <c r="Q578" s="34"/>
      <c r="R578" s="34"/>
      <c r="V578" s="34"/>
      <c r="Z578" s="34"/>
      <c r="AA578" s="198"/>
      <c r="AB578" s="34"/>
      <c r="AC578" s="34"/>
      <c r="AD578" s="34"/>
      <c r="AE578" s="34"/>
      <c r="AF578" s="34"/>
      <c r="AG578" s="34"/>
      <c r="AJ578" s="34"/>
      <c r="AK578" s="34"/>
      <c r="AL578" s="34"/>
      <c r="AM578" s="34"/>
    </row>
    <row r="579" spans="1:41" x14ac:dyDescent="0.3">
      <c r="A579" s="22"/>
      <c r="C579" s="23"/>
      <c r="F579" s="32"/>
      <c r="H579" s="32"/>
      <c r="I579" s="32"/>
      <c r="L579" s="32"/>
      <c r="M579" s="32"/>
      <c r="N579" s="33"/>
      <c r="O579" s="33"/>
      <c r="P579" s="32"/>
      <c r="Q579" s="32"/>
      <c r="R579" s="32"/>
      <c r="T579" s="23"/>
      <c r="V579" s="32"/>
      <c r="W579" s="32"/>
      <c r="X579" s="32"/>
      <c r="Y579" s="32"/>
      <c r="Z579" s="32"/>
      <c r="AB579" s="32"/>
      <c r="AC579" s="32"/>
      <c r="AD579" s="33"/>
      <c r="AE579" s="33"/>
      <c r="AF579" s="32"/>
      <c r="AG579" s="32"/>
      <c r="AH579" s="44"/>
      <c r="AI579" s="44"/>
      <c r="AJ579" s="32"/>
      <c r="AK579" s="32"/>
      <c r="AL579" s="32"/>
      <c r="AM579" s="32"/>
      <c r="AN579" s="44"/>
      <c r="AO579" s="44"/>
    </row>
    <row r="580" spans="1:41" x14ac:dyDescent="0.3">
      <c r="F580" s="34"/>
      <c r="H580" s="34"/>
      <c r="I580" s="34"/>
      <c r="J580" s="198"/>
      <c r="K580" s="198"/>
      <c r="L580" s="34"/>
      <c r="M580" s="34"/>
      <c r="N580" s="34"/>
      <c r="O580" s="34"/>
      <c r="P580" s="34"/>
      <c r="Q580" s="34"/>
      <c r="R580" s="34"/>
      <c r="V580" s="34"/>
      <c r="Z580" s="34"/>
      <c r="AA580" s="198"/>
      <c r="AB580" s="34"/>
      <c r="AC580" s="34"/>
      <c r="AD580" s="34"/>
      <c r="AE580" s="34"/>
      <c r="AF580" s="34"/>
      <c r="AG580" s="34"/>
      <c r="AJ580" s="34"/>
      <c r="AK580" s="34"/>
      <c r="AL580" s="34"/>
      <c r="AM580" s="34"/>
    </row>
    <row r="582" spans="1:41" x14ac:dyDescent="0.3">
      <c r="C582" s="22"/>
      <c r="T582" s="22"/>
    </row>
    <row r="583" spans="1:41" x14ac:dyDescent="0.3">
      <c r="A583" s="23"/>
    </row>
    <row r="584" spans="1:41" x14ac:dyDescent="0.3">
      <c r="J584" s="22"/>
      <c r="K584" s="22"/>
      <c r="AA584" s="22"/>
    </row>
    <row r="585" spans="1:41" x14ac:dyDescent="0.3">
      <c r="H585" s="23"/>
      <c r="I585" s="23"/>
      <c r="Z585" s="23"/>
    </row>
    <row r="586" spans="1:41" x14ac:dyDescent="0.3">
      <c r="J586" s="22"/>
      <c r="K586" s="22"/>
      <c r="AA586" s="22"/>
    </row>
    <row r="587" spans="1:41" x14ac:dyDescent="0.3">
      <c r="L587" s="23"/>
      <c r="M587" s="23"/>
      <c r="AB587" s="23"/>
      <c r="AC587" s="23"/>
    </row>
    <row r="588" spans="1:41" x14ac:dyDescent="0.3">
      <c r="A588" s="22"/>
      <c r="R588" s="23"/>
      <c r="AL588" s="23"/>
      <c r="AM588" s="23"/>
    </row>
    <row r="589" spans="1:41" x14ac:dyDescent="0.3">
      <c r="A589" s="22"/>
      <c r="R589" s="23"/>
      <c r="AL589" s="23"/>
      <c r="AM589" s="23"/>
    </row>
    <row r="590" spans="1:41" x14ac:dyDescent="0.3">
      <c r="A590" s="23"/>
      <c r="R590" s="23"/>
      <c r="AL590" s="23"/>
      <c r="AM590" s="23"/>
    </row>
    <row r="591" spans="1:41" x14ac:dyDescent="0.3">
      <c r="L591" s="23"/>
      <c r="M591" s="23"/>
      <c r="R591" s="22"/>
      <c r="AB591" s="23"/>
      <c r="AC591" s="23"/>
      <c r="AL591" s="22"/>
      <c r="AM591" s="22"/>
    </row>
    <row r="592" spans="1:4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1:41" x14ac:dyDescent="0.3">
      <c r="L593" s="30"/>
      <c r="M593" s="30"/>
      <c r="N593" s="30"/>
      <c r="O593" s="30"/>
      <c r="R593" s="30"/>
      <c r="AB593" s="30"/>
      <c r="AC593" s="30"/>
      <c r="AD593" s="30"/>
      <c r="AE593" s="30"/>
      <c r="AF593" s="30"/>
      <c r="AG593" s="30"/>
      <c r="AH593" s="30"/>
      <c r="AI593" s="30"/>
      <c r="AL593" s="30"/>
      <c r="AM593" s="30"/>
      <c r="AN593" s="30"/>
      <c r="AO593" s="30"/>
    </row>
    <row r="594" spans="1:41" x14ac:dyDescent="0.3">
      <c r="L594" s="30"/>
      <c r="M594" s="30"/>
      <c r="N594" s="30"/>
      <c r="O594" s="30"/>
      <c r="R594" s="30"/>
      <c r="AA594" s="30"/>
      <c r="AB594" s="30"/>
      <c r="AC594" s="30"/>
      <c r="AD594" s="30"/>
      <c r="AE594" s="30"/>
      <c r="AF594" s="30"/>
      <c r="AG594" s="30"/>
      <c r="AH594" s="30"/>
      <c r="AI594" s="30"/>
      <c r="AL594" s="30"/>
      <c r="AM594" s="30"/>
      <c r="AN594" s="30"/>
      <c r="AO594" s="30"/>
    </row>
    <row r="595" spans="1:41" x14ac:dyDescent="0.3">
      <c r="A595" s="30"/>
      <c r="C595" s="30"/>
      <c r="D595" s="30"/>
      <c r="E595" s="30"/>
      <c r="F595" s="30"/>
      <c r="J595" s="30"/>
      <c r="K595" s="30"/>
      <c r="L595" s="30"/>
      <c r="M595" s="30"/>
      <c r="N595" s="30"/>
      <c r="O595" s="30"/>
      <c r="P595" s="30"/>
      <c r="Q595" s="30"/>
      <c r="R595" s="30"/>
      <c r="T595" s="30"/>
      <c r="U595" s="30"/>
      <c r="V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</row>
    <row r="596" spans="1:41" x14ac:dyDescent="0.3">
      <c r="A596" s="30"/>
      <c r="C596" s="30"/>
      <c r="D596" s="30"/>
      <c r="E596" s="30"/>
      <c r="F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T596" s="30"/>
      <c r="U596" s="30"/>
      <c r="V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</row>
    <row r="597" spans="1:41" x14ac:dyDescent="0.3">
      <c r="C597" s="30"/>
      <c r="D597" s="30"/>
      <c r="E597" s="30"/>
      <c r="F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T597" s="30"/>
      <c r="U597" s="30"/>
      <c r="V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</row>
    <row r="598" spans="1:4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1:41" x14ac:dyDescent="0.3"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</row>
    <row r="600" spans="1:41" x14ac:dyDescent="0.3">
      <c r="A600" s="22"/>
      <c r="C600" s="23"/>
      <c r="D600" s="23"/>
      <c r="E600" s="23"/>
      <c r="F600" s="32"/>
      <c r="H600" s="32"/>
      <c r="I600" s="32"/>
      <c r="J600" s="48"/>
      <c r="K600" s="48"/>
      <c r="L600" s="32"/>
      <c r="M600" s="32"/>
      <c r="N600" s="48"/>
      <c r="O600" s="48"/>
      <c r="P600" s="32"/>
      <c r="Q600" s="32"/>
      <c r="R600" s="32"/>
      <c r="T600" s="23"/>
      <c r="U600" s="23"/>
      <c r="V600" s="32"/>
      <c r="Z600" s="32"/>
      <c r="AA600" s="48"/>
      <c r="AB600" s="32"/>
      <c r="AC600" s="32"/>
      <c r="AD600" s="48"/>
      <c r="AE600" s="48"/>
      <c r="AF600" s="32"/>
      <c r="AG600" s="32"/>
      <c r="AH600" s="44"/>
      <c r="AI600" s="44"/>
      <c r="AJ600" s="32"/>
      <c r="AK600" s="32"/>
      <c r="AL600" s="32"/>
      <c r="AM600" s="32"/>
      <c r="AN600" s="33"/>
      <c r="AO600" s="33"/>
    </row>
    <row r="601" spans="1:41" x14ac:dyDescent="0.3">
      <c r="F601" s="34"/>
      <c r="H601" s="34"/>
      <c r="I601" s="34"/>
      <c r="J601" s="198"/>
      <c r="K601" s="198"/>
      <c r="L601" s="34"/>
      <c r="M601" s="34"/>
      <c r="N601" s="34"/>
      <c r="O601" s="34"/>
      <c r="P601" s="34"/>
      <c r="Q601" s="34"/>
      <c r="R601" s="34"/>
      <c r="V601" s="34"/>
      <c r="Z601" s="34"/>
      <c r="AA601" s="198"/>
      <c r="AB601" s="34"/>
      <c r="AC601" s="34"/>
      <c r="AD601" s="34"/>
      <c r="AE601" s="34"/>
      <c r="AF601" s="34"/>
      <c r="AG601" s="34"/>
      <c r="AJ601" s="34"/>
      <c r="AK601" s="34"/>
      <c r="AL601" s="34"/>
      <c r="AM601" s="34"/>
      <c r="AN601" s="33"/>
      <c r="AO601" s="33"/>
    </row>
    <row r="602" spans="1:41" x14ac:dyDescent="0.3">
      <c r="A602" s="22"/>
      <c r="C602" s="23"/>
      <c r="F602" s="32"/>
      <c r="H602" s="32"/>
      <c r="I602" s="32"/>
      <c r="J602" s="48"/>
      <c r="K602" s="48"/>
      <c r="L602" s="32"/>
      <c r="M602" s="32"/>
      <c r="N602" s="48"/>
      <c r="O602" s="48"/>
      <c r="P602" s="32"/>
      <c r="Q602" s="32"/>
      <c r="R602" s="32"/>
      <c r="T602" s="23"/>
      <c r="V602" s="32"/>
      <c r="Z602" s="32"/>
      <c r="AA602" s="48"/>
      <c r="AB602" s="32"/>
      <c r="AC602" s="32"/>
      <c r="AD602" s="48"/>
      <c r="AE602" s="48"/>
      <c r="AF602" s="32"/>
      <c r="AG602" s="32"/>
      <c r="AH602" s="44"/>
      <c r="AI602" s="44"/>
      <c r="AJ602" s="32"/>
      <c r="AK602" s="32"/>
      <c r="AL602" s="32"/>
      <c r="AM602" s="32"/>
      <c r="AN602" s="33"/>
      <c r="AO602" s="33"/>
    </row>
    <row r="603" spans="1:41" x14ac:dyDescent="0.3">
      <c r="F603" s="32"/>
      <c r="H603" s="32"/>
      <c r="I603" s="32"/>
      <c r="J603" s="48"/>
      <c r="K603" s="48"/>
      <c r="L603" s="32"/>
      <c r="M603" s="32"/>
      <c r="N603" s="48"/>
      <c r="O603" s="48"/>
      <c r="P603" s="32"/>
      <c r="Q603" s="32"/>
      <c r="R603" s="32"/>
      <c r="V603" s="32"/>
      <c r="Z603" s="32"/>
      <c r="AA603" s="48"/>
      <c r="AB603" s="32"/>
      <c r="AC603" s="32"/>
      <c r="AD603" s="48"/>
      <c r="AE603" s="48"/>
      <c r="AH603" s="44"/>
      <c r="AI603" s="44"/>
      <c r="AJ603" s="32"/>
      <c r="AK603" s="32"/>
      <c r="AL603" s="32"/>
      <c r="AM603" s="32"/>
      <c r="AN603" s="33"/>
      <c r="AO603" s="33"/>
    </row>
    <row r="604" spans="1:41" x14ac:dyDescent="0.3">
      <c r="A604" s="22"/>
      <c r="C604" s="23"/>
      <c r="D604" s="23"/>
      <c r="E604" s="23"/>
      <c r="F604" s="32"/>
      <c r="H604" s="32"/>
      <c r="I604" s="32"/>
      <c r="J604" s="48"/>
      <c r="K604" s="48"/>
      <c r="L604" s="32"/>
      <c r="M604" s="32"/>
      <c r="N604" s="48"/>
      <c r="O604" s="48"/>
      <c r="P604" s="32"/>
      <c r="Q604" s="32"/>
      <c r="R604" s="32"/>
      <c r="T604" s="23"/>
      <c r="U604" s="23"/>
      <c r="V604" s="32"/>
      <c r="Z604" s="32"/>
      <c r="AA604" s="48"/>
      <c r="AB604" s="32"/>
      <c r="AC604" s="32"/>
      <c r="AD604" s="48"/>
      <c r="AE604" s="48"/>
      <c r="AF604" s="32"/>
      <c r="AG604" s="32"/>
      <c r="AH604" s="44"/>
      <c r="AI604" s="44"/>
      <c r="AJ604" s="32"/>
      <c r="AK604" s="32"/>
      <c r="AL604" s="32"/>
      <c r="AM604" s="32"/>
      <c r="AN604" s="33"/>
      <c r="AO604" s="33"/>
    </row>
    <row r="605" spans="1:41" x14ac:dyDescent="0.3">
      <c r="A605" s="22"/>
      <c r="C605" s="23"/>
      <c r="D605" s="23"/>
      <c r="E605" s="23"/>
      <c r="F605" s="32"/>
      <c r="H605" s="32"/>
      <c r="I605" s="32"/>
      <c r="J605" s="48"/>
      <c r="K605" s="48"/>
      <c r="L605" s="32"/>
      <c r="M605" s="32"/>
      <c r="N605" s="48"/>
      <c r="O605" s="48"/>
      <c r="P605" s="32"/>
      <c r="Q605" s="32"/>
      <c r="R605" s="32"/>
      <c r="T605" s="23"/>
      <c r="U605" s="23"/>
      <c r="V605" s="32"/>
      <c r="Z605" s="32"/>
      <c r="AA605" s="48"/>
      <c r="AB605" s="32"/>
      <c r="AC605" s="32"/>
      <c r="AD605" s="48"/>
      <c r="AE605" s="48"/>
      <c r="AF605" s="32"/>
      <c r="AG605" s="32"/>
      <c r="AH605" s="44"/>
      <c r="AI605" s="44"/>
      <c r="AJ605" s="32"/>
      <c r="AK605" s="32"/>
      <c r="AL605" s="32"/>
      <c r="AM605" s="32"/>
      <c r="AN605" s="33"/>
      <c r="AO605" s="33"/>
    </row>
    <row r="606" spans="1:41" x14ac:dyDescent="0.3">
      <c r="A606" s="22"/>
      <c r="C606" s="23"/>
      <c r="D606" s="23"/>
      <c r="E606" s="23"/>
      <c r="F606" s="32"/>
      <c r="H606" s="32"/>
      <c r="I606" s="32"/>
      <c r="J606" s="48"/>
      <c r="K606" s="48"/>
      <c r="L606" s="32"/>
      <c r="M606" s="32"/>
      <c r="N606" s="48"/>
      <c r="O606" s="48"/>
      <c r="P606" s="32"/>
      <c r="Q606" s="32"/>
      <c r="R606" s="32"/>
      <c r="T606" s="23"/>
      <c r="U606" s="23"/>
      <c r="V606" s="32"/>
      <c r="Z606" s="32"/>
      <c r="AA606" s="48"/>
      <c r="AB606" s="32"/>
      <c r="AC606" s="32"/>
      <c r="AD606" s="48"/>
      <c r="AE606" s="48"/>
      <c r="AF606" s="32"/>
      <c r="AG606" s="32"/>
      <c r="AH606" s="44"/>
      <c r="AI606" s="44"/>
      <c r="AJ606" s="32"/>
      <c r="AK606" s="32"/>
      <c r="AL606" s="32"/>
      <c r="AM606" s="32"/>
      <c r="AN606" s="33"/>
      <c r="AO606" s="33"/>
    </row>
    <row r="607" spans="1:41" x14ac:dyDescent="0.3">
      <c r="A607" s="22"/>
      <c r="C607" s="23"/>
      <c r="D607" s="23"/>
      <c r="E607" s="23"/>
      <c r="F607" s="32"/>
      <c r="H607" s="32"/>
      <c r="I607" s="32"/>
      <c r="J607" s="48"/>
      <c r="K607" s="48"/>
      <c r="L607" s="32"/>
      <c r="M607" s="32"/>
      <c r="N607" s="48"/>
      <c r="O607" s="48"/>
      <c r="P607" s="32"/>
      <c r="Q607" s="32"/>
      <c r="R607" s="32"/>
      <c r="T607" s="23"/>
      <c r="U607" s="23"/>
      <c r="V607" s="32"/>
      <c r="Z607" s="32"/>
      <c r="AA607" s="48"/>
      <c r="AB607" s="32"/>
      <c r="AC607" s="32"/>
      <c r="AD607" s="48"/>
      <c r="AE607" s="48"/>
      <c r="AF607" s="32"/>
      <c r="AG607" s="32"/>
      <c r="AH607" s="44"/>
      <c r="AI607" s="44"/>
      <c r="AJ607" s="32"/>
      <c r="AK607" s="32"/>
      <c r="AL607" s="32"/>
      <c r="AM607" s="32"/>
      <c r="AN607" s="33"/>
      <c r="AO607" s="33"/>
    </row>
    <row r="608" spans="1:41" x14ac:dyDescent="0.3">
      <c r="A608" s="22"/>
      <c r="C608" s="23"/>
      <c r="D608" s="23"/>
      <c r="E608" s="23"/>
      <c r="F608" s="32"/>
      <c r="H608" s="32"/>
      <c r="I608" s="32"/>
      <c r="J608" s="48"/>
      <c r="K608" s="48"/>
      <c r="L608" s="32"/>
      <c r="M608" s="32"/>
      <c r="N608" s="48"/>
      <c r="O608" s="48"/>
      <c r="P608" s="32"/>
      <c r="Q608" s="32"/>
      <c r="R608" s="32"/>
      <c r="T608" s="23"/>
      <c r="U608" s="23"/>
      <c r="V608" s="32"/>
      <c r="Z608" s="32"/>
      <c r="AA608" s="48"/>
      <c r="AB608" s="32"/>
      <c r="AC608" s="32"/>
      <c r="AD608" s="48"/>
      <c r="AE608" s="48"/>
      <c r="AF608" s="32"/>
      <c r="AG608" s="32"/>
      <c r="AH608" s="44"/>
      <c r="AI608" s="44"/>
      <c r="AJ608" s="32"/>
      <c r="AK608" s="32"/>
      <c r="AL608" s="32"/>
      <c r="AM608" s="32"/>
      <c r="AN608" s="33"/>
      <c r="AO608" s="33"/>
    </row>
    <row r="609" spans="1:41" x14ac:dyDescent="0.3">
      <c r="A609" s="22"/>
      <c r="C609" s="23"/>
      <c r="D609" s="23"/>
      <c r="E609" s="23"/>
      <c r="F609" s="32"/>
      <c r="H609" s="32"/>
      <c r="I609" s="32"/>
      <c r="J609" s="48"/>
      <c r="K609" s="48"/>
      <c r="L609" s="32"/>
      <c r="M609" s="32"/>
      <c r="N609" s="48"/>
      <c r="O609" s="48"/>
      <c r="P609" s="32"/>
      <c r="Q609" s="32"/>
      <c r="R609" s="32"/>
      <c r="T609" s="23"/>
      <c r="U609" s="23"/>
      <c r="V609" s="32"/>
      <c r="Z609" s="32"/>
      <c r="AA609" s="48"/>
      <c r="AB609" s="32"/>
      <c r="AC609" s="32"/>
      <c r="AD609" s="48"/>
      <c r="AE609" s="48"/>
      <c r="AF609" s="32"/>
      <c r="AG609" s="32"/>
      <c r="AH609" s="44"/>
      <c r="AI609" s="44"/>
      <c r="AJ609" s="32"/>
      <c r="AK609" s="32"/>
      <c r="AL609" s="32"/>
      <c r="AM609" s="32"/>
      <c r="AN609" s="33"/>
      <c r="AO609" s="33"/>
    </row>
    <row r="610" spans="1:41" x14ac:dyDescent="0.3">
      <c r="F610" s="34"/>
      <c r="H610" s="34"/>
      <c r="I610" s="34"/>
      <c r="J610" s="198"/>
      <c r="K610" s="198"/>
      <c r="L610" s="34"/>
      <c r="M610" s="34"/>
      <c r="N610" s="34"/>
      <c r="O610" s="34"/>
      <c r="P610" s="34"/>
      <c r="Q610" s="34"/>
      <c r="R610" s="34"/>
      <c r="V610" s="34"/>
      <c r="Z610" s="34"/>
      <c r="AA610" s="198"/>
      <c r="AB610" s="34"/>
      <c r="AC610" s="34"/>
      <c r="AD610" s="34"/>
      <c r="AE610" s="34"/>
      <c r="AF610" s="34"/>
      <c r="AG610" s="34"/>
      <c r="AJ610" s="34"/>
      <c r="AK610" s="34"/>
      <c r="AL610" s="34"/>
      <c r="AM610" s="34"/>
      <c r="AN610" s="33"/>
      <c r="AO610" s="33"/>
    </row>
    <row r="611" spans="1:41" x14ac:dyDescent="0.3">
      <c r="A611" s="22"/>
      <c r="C611" s="23"/>
      <c r="F611" s="32"/>
      <c r="H611" s="32"/>
      <c r="I611" s="32"/>
      <c r="J611" s="48"/>
      <c r="K611" s="48"/>
      <c r="L611" s="32"/>
      <c r="M611" s="32"/>
      <c r="N611" s="48"/>
      <c r="O611" s="48"/>
      <c r="P611" s="32"/>
      <c r="Q611" s="32"/>
      <c r="R611" s="32"/>
      <c r="T611" s="23"/>
      <c r="V611" s="32"/>
      <c r="Z611" s="32"/>
      <c r="AA611" s="48"/>
      <c r="AB611" s="32"/>
      <c r="AC611" s="32"/>
      <c r="AD611" s="48"/>
      <c r="AE611" s="48"/>
      <c r="AF611" s="32"/>
      <c r="AG611" s="32"/>
      <c r="AH611" s="44"/>
      <c r="AI611" s="44"/>
      <c r="AJ611" s="32"/>
      <c r="AK611" s="32"/>
      <c r="AL611" s="32"/>
      <c r="AM611" s="32"/>
      <c r="AN611" s="33"/>
      <c r="AO611" s="33"/>
    </row>
    <row r="612" spans="1:41" x14ac:dyDescent="0.3">
      <c r="F612" s="32"/>
      <c r="H612" s="32"/>
      <c r="I612" s="32"/>
      <c r="J612" s="48"/>
      <c r="K612" s="48"/>
      <c r="L612" s="32"/>
      <c r="M612" s="32"/>
      <c r="N612" s="48"/>
      <c r="O612" s="48"/>
      <c r="P612" s="32"/>
      <c r="Q612" s="32"/>
      <c r="R612" s="32"/>
      <c r="V612" s="32"/>
      <c r="Z612" s="32"/>
      <c r="AA612" s="48"/>
      <c r="AB612" s="32"/>
      <c r="AC612" s="32"/>
      <c r="AD612" s="48"/>
      <c r="AE612" s="48"/>
      <c r="AH612" s="44"/>
      <c r="AI612" s="44"/>
      <c r="AJ612" s="32"/>
      <c r="AK612" s="32"/>
      <c r="AL612" s="32"/>
      <c r="AM612" s="32"/>
      <c r="AN612" s="33"/>
      <c r="AO612" s="33"/>
    </row>
    <row r="613" spans="1:41" x14ac:dyDescent="0.3">
      <c r="A613" s="22"/>
      <c r="C613" s="23"/>
      <c r="D613" s="23"/>
      <c r="E613" s="23"/>
      <c r="F613" s="32"/>
      <c r="H613" s="32"/>
      <c r="I613" s="32"/>
      <c r="J613" s="48"/>
      <c r="K613" s="48"/>
      <c r="L613" s="32"/>
      <c r="M613" s="32"/>
      <c r="N613" s="48"/>
      <c r="O613" s="48"/>
      <c r="P613" s="32"/>
      <c r="Q613" s="32"/>
      <c r="R613" s="32"/>
      <c r="T613" s="23"/>
      <c r="U613" s="23"/>
      <c r="V613" s="32"/>
      <c r="Z613" s="32"/>
      <c r="AA613" s="48"/>
      <c r="AB613" s="32"/>
      <c r="AC613" s="32"/>
      <c r="AD613" s="48"/>
      <c r="AE613" s="48"/>
      <c r="AF613" s="32"/>
      <c r="AG613" s="32"/>
      <c r="AH613" s="44"/>
      <c r="AI613" s="44"/>
      <c r="AJ613" s="32"/>
      <c r="AK613" s="32"/>
      <c r="AL613" s="32"/>
      <c r="AM613" s="32"/>
      <c r="AN613" s="33"/>
      <c r="AO613" s="33"/>
    </row>
    <row r="614" spans="1:41" x14ac:dyDescent="0.3">
      <c r="F614" s="34"/>
      <c r="H614" s="34"/>
      <c r="I614" s="34"/>
      <c r="J614" s="198"/>
      <c r="K614" s="198"/>
      <c r="L614" s="34"/>
      <c r="M614" s="34"/>
      <c r="N614" s="34"/>
      <c r="O614" s="34"/>
      <c r="P614" s="34"/>
      <c r="Q614" s="34"/>
      <c r="R614" s="34"/>
      <c r="V614" s="34"/>
      <c r="Z614" s="34"/>
      <c r="AA614" s="198"/>
      <c r="AB614" s="34"/>
      <c r="AC614" s="34"/>
      <c r="AD614" s="34"/>
      <c r="AE614" s="34"/>
      <c r="AF614" s="34"/>
      <c r="AG614" s="34"/>
      <c r="AJ614" s="34"/>
      <c r="AK614" s="34"/>
      <c r="AL614" s="34"/>
      <c r="AM614" s="34"/>
      <c r="AN614" s="33"/>
      <c r="AO614" s="33"/>
    </row>
    <row r="615" spans="1:41" x14ac:dyDescent="0.3">
      <c r="A615" s="22"/>
      <c r="C615" s="23"/>
      <c r="F615" s="32"/>
      <c r="H615" s="32"/>
      <c r="I615" s="32"/>
      <c r="J615" s="48"/>
      <c r="K615" s="48"/>
      <c r="L615" s="32"/>
      <c r="M615" s="32"/>
      <c r="N615" s="48"/>
      <c r="O615" s="48"/>
      <c r="P615" s="32"/>
      <c r="Q615" s="32"/>
      <c r="R615" s="32"/>
      <c r="T615" s="23"/>
      <c r="V615" s="32"/>
      <c r="Z615" s="32"/>
      <c r="AA615" s="48"/>
      <c r="AB615" s="32"/>
      <c r="AC615" s="32"/>
      <c r="AD615" s="48"/>
      <c r="AE615" s="48"/>
      <c r="AF615" s="32"/>
      <c r="AG615" s="32"/>
      <c r="AH615" s="44"/>
      <c r="AI615" s="44"/>
      <c r="AJ615" s="32"/>
      <c r="AK615" s="32"/>
      <c r="AL615" s="32"/>
      <c r="AM615" s="32"/>
      <c r="AN615" s="33"/>
      <c r="AO615" s="33"/>
    </row>
    <row r="616" spans="1:41" x14ac:dyDescent="0.3">
      <c r="F616" s="32"/>
      <c r="H616" s="32"/>
      <c r="I616" s="32"/>
      <c r="J616" s="48"/>
      <c r="K616" s="48"/>
      <c r="L616" s="32"/>
      <c r="M616" s="32"/>
      <c r="N616" s="48"/>
      <c r="O616" s="48"/>
      <c r="P616" s="32"/>
      <c r="Q616" s="32"/>
      <c r="R616" s="32"/>
      <c r="V616" s="32"/>
      <c r="Z616" s="32"/>
      <c r="AA616" s="48"/>
      <c r="AB616" s="32"/>
      <c r="AC616" s="32"/>
      <c r="AD616" s="48"/>
      <c r="AE616" s="48"/>
      <c r="AH616" s="44"/>
      <c r="AI616" s="44"/>
      <c r="AJ616" s="32"/>
      <c r="AK616" s="32"/>
      <c r="AL616" s="32"/>
      <c r="AM616" s="32"/>
      <c r="AN616" s="33"/>
      <c r="AO616" s="33"/>
    </row>
    <row r="617" spans="1:41" x14ac:dyDescent="0.3">
      <c r="A617" s="22"/>
      <c r="C617" s="23"/>
      <c r="D617" s="23"/>
      <c r="E617" s="23"/>
      <c r="F617" s="32"/>
      <c r="H617" s="32"/>
      <c r="I617" s="32"/>
      <c r="J617" s="48"/>
      <c r="K617" s="48"/>
      <c r="L617" s="32"/>
      <c r="M617" s="32"/>
      <c r="N617" s="48"/>
      <c r="O617" s="48"/>
      <c r="P617" s="32"/>
      <c r="Q617" s="32"/>
      <c r="R617" s="32"/>
      <c r="T617" s="23"/>
      <c r="U617" s="23"/>
      <c r="V617" s="32"/>
      <c r="Z617" s="32"/>
      <c r="AA617" s="48"/>
      <c r="AB617" s="32"/>
      <c r="AC617" s="32"/>
      <c r="AD617" s="48"/>
      <c r="AE617" s="48"/>
      <c r="AF617" s="32"/>
      <c r="AG617" s="32"/>
      <c r="AH617" s="44"/>
      <c r="AI617" s="44"/>
      <c r="AJ617" s="32"/>
      <c r="AK617" s="32"/>
      <c r="AL617" s="32"/>
      <c r="AM617" s="32"/>
      <c r="AN617" s="33"/>
      <c r="AO617" s="33"/>
    </row>
    <row r="618" spans="1:41" x14ac:dyDescent="0.3">
      <c r="A618" s="22"/>
      <c r="C618" s="23"/>
      <c r="D618" s="23"/>
      <c r="E618" s="23"/>
      <c r="F618" s="32"/>
      <c r="G618" s="32"/>
      <c r="H618" s="32"/>
      <c r="I618" s="32"/>
      <c r="J618" s="48"/>
      <c r="K618" s="48"/>
      <c r="L618" s="32"/>
      <c r="M618" s="32"/>
      <c r="N618" s="48"/>
      <c r="O618" s="48"/>
      <c r="P618" s="32"/>
      <c r="Q618" s="32"/>
      <c r="R618" s="32"/>
      <c r="T618" s="23"/>
      <c r="U618" s="23"/>
      <c r="V618" s="32"/>
      <c r="W618" s="32"/>
      <c r="X618" s="32"/>
      <c r="Y618" s="32"/>
      <c r="Z618" s="32"/>
      <c r="AA618" s="48"/>
      <c r="AB618" s="32"/>
      <c r="AC618" s="32"/>
      <c r="AD618" s="48"/>
      <c r="AE618" s="48"/>
      <c r="AF618" s="32"/>
      <c r="AG618" s="32"/>
      <c r="AH618" s="44"/>
      <c r="AI618" s="44"/>
      <c r="AJ618" s="32"/>
      <c r="AK618" s="32"/>
      <c r="AL618" s="32"/>
      <c r="AM618" s="32"/>
      <c r="AN618" s="33"/>
      <c r="AO618" s="33"/>
    </row>
    <row r="619" spans="1:41" x14ac:dyDescent="0.3">
      <c r="A619" s="22"/>
      <c r="C619" s="23"/>
      <c r="D619" s="23"/>
      <c r="E619" s="23"/>
      <c r="F619" s="32"/>
      <c r="G619" s="32"/>
      <c r="H619" s="32"/>
      <c r="I619" s="32"/>
      <c r="J619" s="48"/>
      <c r="K619" s="48"/>
      <c r="L619" s="32"/>
      <c r="M619" s="32"/>
      <c r="N619" s="48"/>
      <c r="O619" s="48"/>
      <c r="P619" s="32"/>
      <c r="Q619" s="32"/>
      <c r="R619" s="32"/>
      <c r="T619" s="23"/>
      <c r="U619" s="23"/>
      <c r="V619" s="32"/>
      <c r="W619" s="32"/>
      <c r="X619" s="32"/>
      <c r="Y619" s="32"/>
      <c r="Z619" s="32"/>
      <c r="AA619" s="48"/>
      <c r="AB619" s="32"/>
      <c r="AC619" s="32"/>
      <c r="AD619" s="48"/>
      <c r="AE619" s="48"/>
      <c r="AF619" s="32"/>
      <c r="AG619" s="32"/>
      <c r="AH619" s="44"/>
      <c r="AI619" s="44"/>
      <c r="AJ619" s="32"/>
      <c r="AK619" s="32"/>
      <c r="AL619" s="32"/>
      <c r="AM619" s="32"/>
      <c r="AN619" s="33"/>
      <c r="AO619" s="33"/>
    </row>
    <row r="620" spans="1:41" x14ac:dyDescent="0.3">
      <c r="A620" s="22"/>
      <c r="C620" s="23"/>
      <c r="D620" s="23"/>
      <c r="E620" s="23"/>
      <c r="F620" s="32"/>
      <c r="H620" s="32"/>
      <c r="I620" s="32"/>
      <c r="J620" s="48"/>
      <c r="K620" s="48"/>
      <c r="L620" s="32"/>
      <c r="M620" s="32"/>
      <c r="N620" s="48"/>
      <c r="O620" s="48"/>
      <c r="P620" s="32"/>
      <c r="Q620" s="32"/>
      <c r="R620" s="32"/>
      <c r="T620" s="23"/>
      <c r="U620" s="23"/>
      <c r="V620" s="32"/>
      <c r="Z620" s="32"/>
      <c r="AA620" s="48"/>
      <c r="AB620" s="32"/>
      <c r="AC620" s="32"/>
      <c r="AD620" s="48"/>
      <c r="AE620" s="48"/>
      <c r="AF620" s="32"/>
      <c r="AG620" s="32"/>
      <c r="AH620" s="44"/>
      <c r="AI620" s="44"/>
      <c r="AJ620" s="32"/>
      <c r="AK620" s="32"/>
      <c r="AL620" s="32"/>
      <c r="AM620" s="32"/>
      <c r="AN620" s="33"/>
      <c r="AO620" s="33"/>
    </row>
    <row r="621" spans="1:41" x14ac:dyDescent="0.3">
      <c r="A621" s="22"/>
      <c r="C621" s="23"/>
      <c r="D621" s="23"/>
      <c r="E621" s="23"/>
      <c r="F621" s="32"/>
      <c r="H621" s="32"/>
      <c r="I621" s="32"/>
      <c r="J621" s="48"/>
      <c r="K621" s="48"/>
      <c r="L621" s="32"/>
      <c r="M621" s="32"/>
      <c r="N621" s="48"/>
      <c r="O621" s="48"/>
      <c r="P621" s="32"/>
      <c r="Q621" s="32"/>
      <c r="R621" s="32"/>
      <c r="T621" s="23"/>
      <c r="U621" s="23"/>
      <c r="V621" s="32"/>
      <c r="Z621" s="32"/>
      <c r="AA621" s="48"/>
      <c r="AB621" s="32"/>
      <c r="AC621" s="32"/>
      <c r="AD621" s="48"/>
      <c r="AE621" s="48"/>
      <c r="AF621" s="32"/>
      <c r="AG621" s="32"/>
      <c r="AH621" s="44"/>
      <c r="AI621" s="44"/>
      <c r="AJ621" s="32"/>
      <c r="AK621" s="32"/>
      <c r="AL621" s="32"/>
      <c r="AM621" s="32"/>
      <c r="AN621" s="33"/>
      <c r="AO621" s="33"/>
    </row>
    <row r="622" spans="1:41" x14ac:dyDescent="0.3">
      <c r="A622" s="22"/>
      <c r="C622" s="23"/>
      <c r="D622" s="23"/>
      <c r="E622" s="23"/>
      <c r="F622" s="32"/>
      <c r="H622" s="32"/>
      <c r="I622" s="32"/>
      <c r="J622" s="48"/>
      <c r="K622" s="48"/>
      <c r="L622" s="32"/>
      <c r="M622" s="32"/>
      <c r="N622" s="48"/>
      <c r="O622" s="48"/>
      <c r="P622" s="32"/>
      <c r="Q622" s="32"/>
      <c r="R622" s="32"/>
      <c r="T622" s="23"/>
      <c r="U622" s="23"/>
      <c r="V622" s="32"/>
      <c r="Z622" s="32"/>
      <c r="AA622" s="48"/>
      <c r="AB622" s="32"/>
      <c r="AC622" s="32"/>
      <c r="AD622" s="48"/>
      <c r="AE622" s="48"/>
      <c r="AF622" s="32"/>
      <c r="AG622" s="32"/>
      <c r="AH622" s="44"/>
      <c r="AI622" s="44"/>
      <c r="AJ622" s="32"/>
      <c r="AK622" s="32"/>
      <c r="AL622" s="32"/>
      <c r="AM622" s="32"/>
      <c r="AN622" s="33"/>
      <c r="AO622" s="33"/>
    </row>
    <row r="623" spans="1:41" x14ac:dyDescent="0.3">
      <c r="A623" s="22"/>
      <c r="C623" s="23"/>
      <c r="D623" s="23"/>
      <c r="E623" s="23"/>
      <c r="F623" s="32"/>
      <c r="H623" s="32"/>
      <c r="I623" s="32"/>
      <c r="J623" s="48"/>
      <c r="K623" s="48"/>
      <c r="L623" s="32"/>
      <c r="M623" s="32"/>
      <c r="N623" s="48"/>
      <c r="O623" s="48"/>
      <c r="P623" s="32"/>
      <c r="Q623" s="32"/>
      <c r="R623" s="32"/>
      <c r="T623" s="23"/>
      <c r="U623" s="23"/>
      <c r="V623" s="32"/>
      <c r="Z623" s="32"/>
      <c r="AA623" s="48"/>
      <c r="AB623" s="32"/>
      <c r="AC623" s="32"/>
      <c r="AD623" s="48"/>
      <c r="AE623" s="48"/>
      <c r="AF623" s="32"/>
      <c r="AG623" s="32"/>
      <c r="AH623" s="44"/>
      <c r="AI623" s="44"/>
      <c r="AJ623" s="32"/>
      <c r="AK623" s="32"/>
      <c r="AL623" s="32"/>
      <c r="AM623" s="32"/>
      <c r="AN623" s="33"/>
      <c r="AO623" s="33"/>
    </row>
    <row r="624" spans="1:41" x14ac:dyDescent="0.3">
      <c r="F624" s="34"/>
      <c r="H624" s="34"/>
      <c r="I624" s="34"/>
      <c r="J624" s="198"/>
      <c r="K624" s="198"/>
      <c r="L624" s="34"/>
      <c r="M624" s="34"/>
      <c r="N624" s="34"/>
      <c r="O624" s="34"/>
      <c r="P624" s="34"/>
      <c r="Q624" s="34"/>
      <c r="R624" s="34"/>
      <c r="V624" s="34"/>
      <c r="Z624" s="34"/>
      <c r="AA624" s="198"/>
      <c r="AB624" s="34"/>
      <c r="AC624" s="34"/>
      <c r="AD624" s="34"/>
      <c r="AE624" s="34"/>
      <c r="AF624" s="34"/>
      <c r="AG624" s="34"/>
      <c r="AJ624" s="34"/>
      <c r="AK624" s="34"/>
      <c r="AL624" s="34"/>
      <c r="AM624" s="34"/>
      <c r="AN624" s="33"/>
      <c r="AO624" s="33"/>
    </row>
    <row r="625" spans="1:41" x14ac:dyDescent="0.3">
      <c r="A625" s="22"/>
      <c r="C625" s="23"/>
      <c r="F625" s="32"/>
      <c r="H625" s="32"/>
      <c r="I625" s="32"/>
      <c r="J625" s="48"/>
      <c r="K625" s="48"/>
      <c r="L625" s="32"/>
      <c r="M625" s="32"/>
      <c r="N625" s="48"/>
      <c r="O625" s="48"/>
      <c r="P625" s="32"/>
      <c r="Q625" s="32"/>
      <c r="R625" s="32"/>
      <c r="T625" s="23"/>
      <c r="V625" s="32"/>
      <c r="Z625" s="32"/>
      <c r="AA625" s="48"/>
      <c r="AB625" s="32"/>
      <c r="AC625" s="32"/>
      <c r="AD625" s="48"/>
      <c r="AE625" s="48"/>
      <c r="AF625" s="32"/>
      <c r="AG625" s="32"/>
      <c r="AH625" s="44"/>
      <c r="AI625" s="44"/>
      <c r="AJ625" s="32"/>
      <c r="AK625" s="32"/>
      <c r="AL625" s="32"/>
      <c r="AM625" s="32"/>
      <c r="AN625" s="33"/>
      <c r="AO625" s="33"/>
    </row>
    <row r="626" spans="1:41" x14ac:dyDescent="0.3">
      <c r="V626" s="32"/>
      <c r="Z626" s="32"/>
      <c r="AA626" s="198"/>
      <c r="AB626" s="32"/>
      <c r="AC626" s="32"/>
      <c r="AD626" s="32"/>
      <c r="AE626" s="32"/>
      <c r="AF626" s="32"/>
      <c r="AG626" s="32"/>
      <c r="AJ626" s="32"/>
      <c r="AK626" s="32"/>
      <c r="AL626" s="32"/>
      <c r="AM626" s="32"/>
      <c r="AN626" s="33"/>
      <c r="AO626" s="33"/>
    </row>
    <row r="627" spans="1:41" x14ac:dyDescent="0.3">
      <c r="A627" s="22"/>
      <c r="C627" s="23"/>
      <c r="D627" s="23"/>
      <c r="E627" s="23"/>
      <c r="L627" s="32"/>
      <c r="M627" s="32"/>
      <c r="N627" s="48"/>
      <c r="O627" s="48"/>
      <c r="P627" s="22"/>
      <c r="Q627" s="22"/>
      <c r="R627" s="32"/>
      <c r="T627" s="23"/>
      <c r="U627" s="23"/>
      <c r="AB627" s="32"/>
      <c r="AC627" s="32"/>
      <c r="AD627" s="48"/>
      <c r="AE627" s="48"/>
      <c r="AF627" s="32"/>
      <c r="AG627" s="32"/>
      <c r="AH627" s="44"/>
      <c r="AI627" s="44"/>
      <c r="AJ627" s="22"/>
      <c r="AK627" s="22"/>
      <c r="AL627" s="32"/>
      <c r="AM627" s="32"/>
      <c r="AN627" s="33"/>
      <c r="AO627" s="33"/>
    </row>
    <row r="628" spans="1:41" x14ac:dyDescent="0.3">
      <c r="A628" s="22"/>
      <c r="D628" s="23"/>
      <c r="E628" s="23"/>
      <c r="F628" s="195"/>
      <c r="H628" s="195"/>
      <c r="I628" s="195"/>
      <c r="J628" s="48"/>
      <c r="K628" s="48"/>
      <c r="L628" s="32"/>
      <c r="M628" s="32"/>
      <c r="N628" s="48"/>
      <c r="O628" s="48"/>
      <c r="P628" s="195"/>
      <c r="Q628" s="195"/>
      <c r="R628" s="32"/>
      <c r="U628" s="23"/>
      <c r="V628" s="32"/>
      <c r="Z628" s="32"/>
      <c r="AA628" s="48"/>
      <c r="AB628" s="32"/>
      <c r="AC628" s="32"/>
      <c r="AD628" s="48"/>
      <c r="AE628" s="48"/>
      <c r="AF628" s="32"/>
      <c r="AG628" s="32"/>
      <c r="AH628" s="44"/>
      <c r="AI628" s="44"/>
      <c r="AJ628" s="32"/>
      <c r="AK628" s="32"/>
      <c r="AL628" s="32"/>
      <c r="AM628" s="32"/>
      <c r="AN628" s="33"/>
      <c r="AO628" s="33"/>
    </row>
    <row r="629" spans="1:41" x14ac:dyDescent="0.3">
      <c r="F629" s="34"/>
      <c r="H629" s="34"/>
      <c r="I629" s="34"/>
      <c r="J629" s="198"/>
      <c r="K629" s="198"/>
      <c r="L629" s="34"/>
      <c r="M629" s="34"/>
      <c r="N629" s="34"/>
      <c r="O629" s="34"/>
      <c r="P629" s="34"/>
      <c r="Q629" s="34"/>
      <c r="R629" s="34"/>
      <c r="V629" s="34"/>
      <c r="Z629" s="34"/>
      <c r="AA629" s="198"/>
      <c r="AB629" s="34"/>
      <c r="AC629" s="34"/>
      <c r="AD629" s="34"/>
      <c r="AE629" s="34"/>
      <c r="AF629" s="34"/>
      <c r="AG629" s="34"/>
      <c r="AJ629" s="34"/>
      <c r="AK629" s="34"/>
      <c r="AL629" s="34"/>
      <c r="AM629" s="34"/>
      <c r="AN629" s="33"/>
      <c r="AO629" s="33"/>
    </row>
    <row r="630" spans="1:41" x14ac:dyDescent="0.3">
      <c r="A630" s="22"/>
      <c r="C630" s="23"/>
      <c r="F630" s="32"/>
      <c r="H630" s="32"/>
      <c r="I630" s="32"/>
      <c r="J630" s="48"/>
      <c r="K630" s="48"/>
      <c r="L630" s="32"/>
      <c r="M630" s="32"/>
      <c r="N630" s="48"/>
      <c r="O630" s="48"/>
      <c r="P630" s="32"/>
      <c r="Q630" s="32"/>
      <c r="R630" s="32"/>
      <c r="T630" s="23"/>
      <c r="V630" s="32"/>
      <c r="Z630" s="32"/>
      <c r="AA630" s="48"/>
      <c r="AB630" s="32"/>
      <c r="AC630" s="32"/>
      <c r="AD630" s="48"/>
      <c r="AE630" s="48"/>
      <c r="AF630" s="32"/>
      <c r="AG630" s="32"/>
      <c r="AH630" s="44"/>
      <c r="AI630" s="44"/>
      <c r="AJ630" s="32"/>
      <c r="AK630" s="32"/>
      <c r="AL630" s="32"/>
      <c r="AM630" s="32"/>
      <c r="AN630" s="33"/>
      <c r="AO630" s="33"/>
    </row>
    <row r="631" spans="1:41" x14ac:dyDescent="0.3">
      <c r="F631" s="32"/>
      <c r="H631" s="32"/>
      <c r="I631" s="32"/>
      <c r="J631" s="48"/>
      <c r="K631" s="48"/>
      <c r="L631" s="32"/>
      <c r="M631" s="32"/>
      <c r="N631" s="48"/>
      <c r="O631" s="48"/>
      <c r="P631" s="32"/>
      <c r="Q631" s="32"/>
      <c r="R631" s="32"/>
      <c r="V631" s="32"/>
      <c r="Z631" s="32"/>
      <c r="AA631" s="48"/>
      <c r="AB631" s="32"/>
      <c r="AC631" s="32"/>
      <c r="AD631" s="48"/>
      <c r="AE631" s="48"/>
      <c r="AH631" s="44"/>
      <c r="AI631" s="44"/>
      <c r="AJ631" s="32"/>
      <c r="AK631" s="32"/>
      <c r="AL631" s="32"/>
      <c r="AM631" s="32"/>
      <c r="AN631" s="33"/>
      <c r="AO631" s="33"/>
    </row>
    <row r="632" spans="1:41" x14ac:dyDescent="0.3">
      <c r="A632" s="22"/>
      <c r="D632" s="23"/>
      <c r="E632" s="23"/>
      <c r="F632" s="32"/>
      <c r="H632" s="32"/>
      <c r="I632" s="32"/>
      <c r="J632" s="48"/>
      <c r="K632" s="48"/>
      <c r="L632" s="195"/>
      <c r="M632" s="195"/>
      <c r="N632" s="48"/>
      <c r="O632" s="48"/>
      <c r="P632" s="32"/>
      <c r="Q632" s="32"/>
      <c r="R632" s="32"/>
      <c r="U632" s="23"/>
      <c r="V632" s="32"/>
      <c r="Z632" s="32"/>
      <c r="AA632" s="48"/>
      <c r="AB632" s="195"/>
      <c r="AC632" s="195"/>
      <c r="AD632" s="48"/>
      <c r="AE632" s="48"/>
      <c r="AF632" s="32"/>
      <c r="AG632" s="32"/>
      <c r="AH632" s="44"/>
      <c r="AI632" s="44"/>
      <c r="AJ632" s="32"/>
      <c r="AK632" s="32"/>
      <c r="AL632" s="32"/>
      <c r="AM632" s="32"/>
      <c r="AN632" s="33"/>
      <c r="AO632" s="33"/>
    </row>
    <row r="633" spans="1:41" x14ac:dyDescent="0.3">
      <c r="A633" s="22"/>
      <c r="D633" s="23"/>
      <c r="E633" s="23"/>
      <c r="F633" s="32"/>
      <c r="H633" s="32"/>
      <c r="I633" s="32"/>
      <c r="J633" s="48"/>
      <c r="K633" s="48"/>
      <c r="L633" s="195"/>
      <c r="M633" s="195"/>
      <c r="N633" s="48"/>
      <c r="O633" s="48"/>
      <c r="P633" s="32"/>
      <c r="Q633" s="32"/>
      <c r="R633" s="32"/>
      <c r="U633" s="23"/>
      <c r="V633" s="32"/>
      <c r="Z633" s="32"/>
      <c r="AA633" s="48"/>
      <c r="AB633" s="195"/>
      <c r="AC633" s="195"/>
      <c r="AD633" s="48"/>
      <c r="AE633" s="48"/>
      <c r="AF633" s="32"/>
      <c r="AG633" s="32"/>
      <c r="AH633" s="44"/>
      <c r="AI633" s="44"/>
      <c r="AJ633" s="32"/>
      <c r="AK633" s="32"/>
      <c r="AL633" s="32"/>
      <c r="AM633" s="32"/>
      <c r="AN633" s="33"/>
      <c r="AO633" s="33"/>
    </row>
    <row r="634" spans="1:41" x14ac:dyDescent="0.3">
      <c r="A634" s="22"/>
      <c r="D634" s="23"/>
      <c r="E634" s="23"/>
      <c r="F634" s="32"/>
      <c r="H634" s="32"/>
      <c r="I634" s="32"/>
      <c r="J634" s="48"/>
      <c r="K634" s="48"/>
      <c r="L634" s="195"/>
      <c r="M634" s="195"/>
      <c r="N634" s="48"/>
      <c r="O634" s="48"/>
      <c r="P634" s="32"/>
      <c r="Q634" s="32"/>
      <c r="R634" s="32"/>
      <c r="U634" s="23"/>
      <c r="V634" s="32"/>
      <c r="Z634" s="32"/>
      <c r="AA634" s="48"/>
      <c r="AB634" s="195"/>
      <c r="AC634" s="195"/>
      <c r="AD634" s="48"/>
      <c r="AE634" s="48"/>
      <c r="AF634" s="32"/>
      <c r="AG634" s="32"/>
      <c r="AH634" s="44"/>
      <c r="AI634" s="44"/>
      <c r="AJ634" s="32"/>
      <c r="AK634" s="32"/>
      <c r="AL634" s="32"/>
      <c r="AM634" s="32"/>
      <c r="AN634" s="33"/>
      <c r="AO634" s="33"/>
    </row>
    <row r="635" spans="1:41" x14ac:dyDescent="0.3">
      <c r="F635" s="34"/>
      <c r="H635" s="34"/>
      <c r="I635" s="34"/>
      <c r="J635" s="198"/>
      <c r="K635" s="198"/>
      <c r="L635" s="34"/>
      <c r="M635" s="34"/>
      <c r="N635" s="34"/>
      <c r="O635" s="34"/>
      <c r="P635" s="34"/>
      <c r="Q635" s="34"/>
      <c r="R635" s="34"/>
      <c r="V635" s="34"/>
      <c r="Z635" s="34"/>
      <c r="AA635" s="198"/>
      <c r="AB635" s="34"/>
      <c r="AC635" s="34"/>
      <c r="AD635" s="34"/>
      <c r="AE635" s="34"/>
      <c r="AF635" s="34"/>
      <c r="AG635" s="34"/>
      <c r="AJ635" s="34"/>
      <c r="AK635" s="34"/>
      <c r="AL635" s="34"/>
      <c r="AM635" s="34"/>
      <c r="AN635" s="33"/>
      <c r="AO635" s="33"/>
    </row>
    <row r="636" spans="1:41" x14ac:dyDescent="0.3">
      <c r="A636" s="22"/>
      <c r="C636" s="23"/>
      <c r="F636" s="32"/>
      <c r="H636" s="32"/>
      <c r="I636" s="32"/>
      <c r="J636" s="48"/>
      <c r="K636" s="48"/>
      <c r="L636" s="32"/>
      <c r="M636" s="32"/>
      <c r="N636" s="48"/>
      <c r="O636" s="48"/>
      <c r="P636" s="32"/>
      <c r="Q636" s="32"/>
      <c r="R636" s="32"/>
      <c r="T636" s="23"/>
      <c r="V636" s="32"/>
      <c r="Z636" s="32"/>
      <c r="AA636" s="48"/>
      <c r="AB636" s="32"/>
      <c r="AC636" s="32"/>
      <c r="AD636" s="48"/>
      <c r="AE636" s="48"/>
      <c r="AF636" s="32"/>
      <c r="AG636" s="32"/>
      <c r="AH636" s="44"/>
      <c r="AI636" s="44"/>
      <c r="AJ636" s="32"/>
      <c r="AK636" s="32"/>
      <c r="AL636" s="32"/>
      <c r="AM636" s="32"/>
      <c r="AN636" s="33"/>
      <c r="AO636" s="33"/>
    </row>
    <row r="637" spans="1:41" x14ac:dyDescent="0.3">
      <c r="F637" s="32"/>
      <c r="H637" s="32"/>
      <c r="I637" s="32"/>
      <c r="J637" s="48"/>
      <c r="K637" s="48"/>
      <c r="L637" s="32"/>
      <c r="M637" s="32"/>
      <c r="N637" s="48"/>
      <c r="O637" s="48"/>
      <c r="P637" s="32"/>
      <c r="Q637" s="32"/>
      <c r="R637" s="32"/>
      <c r="V637" s="32"/>
      <c r="Z637" s="32"/>
      <c r="AA637" s="48"/>
      <c r="AB637" s="32"/>
      <c r="AC637" s="32"/>
      <c r="AD637" s="48"/>
      <c r="AE637" s="48"/>
      <c r="AH637" s="44"/>
      <c r="AI637" s="44"/>
      <c r="AJ637" s="32"/>
      <c r="AK637" s="32"/>
      <c r="AL637" s="32"/>
      <c r="AM637" s="32"/>
      <c r="AN637" s="33"/>
      <c r="AO637" s="33"/>
    </row>
    <row r="638" spans="1:41" x14ac:dyDescent="0.3">
      <c r="A638" s="22"/>
      <c r="C638" s="23"/>
      <c r="F638" s="32"/>
      <c r="H638" s="32"/>
      <c r="I638" s="32"/>
      <c r="J638" s="48"/>
      <c r="K638" s="48"/>
      <c r="L638" s="32"/>
      <c r="M638" s="32"/>
      <c r="N638" s="48"/>
      <c r="O638" s="48"/>
      <c r="P638" s="32"/>
      <c r="Q638" s="32"/>
      <c r="R638" s="32"/>
      <c r="T638" s="23"/>
      <c r="V638" s="32"/>
      <c r="Z638" s="32"/>
      <c r="AA638" s="48"/>
      <c r="AB638" s="32"/>
      <c r="AC638" s="32"/>
      <c r="AD638" s="48"/>
      <c r="AE638" s="48"/>
      <c r="AF638" s="32"/>
      <c r="AG638" s="32"/>
      <c r="AH638" s="44"/>
      <c r="AI638" s="44"/>
      <c r="AJ638" s="32"/>
      <c r="AK638" s="32"/>
      <c r="AL638" s="32"/>
      <c r="AM638" s="32"/>
      <c r="AN638" s="33"/>
      <c r="AO638" s="33"/>
    </row>
    <row r="639" spans="1:41" x14ac:dyDescent="0.3">
      <c r="F639" s="34"/>
      <c r="H639" s="34"/>
      <c r="I639" s="34"/>
      <c r="J639" s="198"/>
      <c r="K639" s="198"/>
      <c r="L639" s="34"/>
      <c r="M639" s="34"/>
      <c r="N639" s="34"/>
      <c r="O639" s="34"/>
      <c r="P639" s="34"/>
      <c r="Q639" s="34"/>
      <c r="R639" s="34"/>
      <c r="V639" s="34"/>
      <c r="Z639" s="34"/>
      <c r="AA639" s="198"/>
      <c r="AB639" s="34"/>
      <c r="AC639" s="34"/>
      <c r="AD639" s="34"/>
      <c r="AE639" s="34"/>
      <c r="AF639" s="34"/>
      <c r="AG639" s="34"/>
      <c r="AJ639" s="34"/>
      <c r="AK639" s="34"/>
      <c r="AL639" s="34"/>
      <c r="AM639" s="34"/>
    </row>
    <row r="641" spans="1:20" x14ac:dyDescent="0.3">
      <c r="C641" s="23"/>
      <c r="L641" s="32"/>
      <c r="M641" s="32"/>
      <c r="P641" s="32"/>
      <c r="Q641" s="32"/>
      <c r="R641" s="32"/>
      <c r="T641" s="23"/>
    </row>
    <row r="642" spans="1:20" x14ac:dyDescent="0.3">
      <c r="A642" s="23"/>
      <c r="L642" s="32"/>
      <c r="M642" s="32"/>
      <c r="P642" s="32"/>
      <c r="Q642" s="32"/>
      <c r="R642" s="32"/>
    </row>
    <row r="643" spans="1:20" x14ac:dyDescent="0.3">
      <c r="L643" s="32"/>
      <c r="M643" s="32"/>
      <c r="P643" s="32"/>
      <c r="Q643" s="32"/>
      <c r="R643" s="32"/>
    </row>
    <row r="644" spans="1:20" x14ac:dyDescent="0.3">
      <c r="L644" s="32"/>
      <c r="M644" s="32"/>
      <c r="P644" s="32"/>
      <c r="Q644" s="32"/>
      <c r="R644" s="32"/>
    </row>
    <row r="645" spans="1:20" x14ac:dyDescent="0.3">
      <c r="L645" s="32"/>
      <c r="M645" s="32"/>
      <c r="P645" s="32"/>
      <c r="Q645" s="32"/>
      <c r="R645" s="32"/>
    </row>
    <row r="646" spans="1:20" x14ac:dyDescent="0.3">
      <c r="L646" s="32"/>
      <c r="M646" s="32"/>
      <c r="P646" s="32"/>
      <c r="Q646" s="32"/>
      <c r="R646" s="32"/>
    </row>
    <row r="647" spans="1:20" x14ac:dyDescent="0.3">
      <c r="L647" s="32"/>
      <c r="M647" s="32"/>
      <c r="P647" s="32"/>
      <c r="Q647" s="32"/>
      <c r="R647" s="32"/>
    </row>
    <row r="680" spans="48:48" x14ac:dyDescent="0.3">
      <c r="AV680" s="32"/>
    </row>
    <row r="681" spans="48:48" x14ac:dyDescent="0.3">
      <c r="AV681" s="32"/>
    </row>
    <row r="682" spans="48:48" x14ac:dyDescent="0.3">
      <c r="AV682" s="32"/>
    </row>
    <row r="683" spans="48:48" x14ac:dyDescent="0.3">
      <c r="AV683" s="32"/>
    </row>
    <row r="684" spans="48:48" x14ac:dyDescent="0.3">
      <c r="AV684" s="32"/>
    </row>
    <row r="685" spans="48:48" x14ac:dyDescent="0.3">
      <c r="AV685" s="32"/>
    </row>
    <row r="688" spans="48:48" x14ac:dyDescent="0.3">
      <c r="AV688" s="32"/>
    </row>
    <row r="689" spans="48:48" x14ac:dyDescent="0.3">
      <c r="AV689" s="32"/>
    </row>
    <row r="690" spans="48:48" x14ac:dyDescent="0.3">
      <c r="AV690" s="32"/>
    </row>
    <row r="691" spans="48:48" x14ac:dyDescent="0.3">
      <c r="AV691" s="32"/>
    </row>
    <row r="692" spans="48:48" x14ac:dyDescent="0.3">
      <c r="AV692" s="32"/>
    </row>
    <row r="693" spans="48:48" x14ac:dyDescent="0.3">
      <c r="AV693" s="32"/>
    </row>
    <row r="694" spans="48:48" x14ac:dyDescent="0.3">
      <c r="AV694" s="32"/>
    </row>
    <row r="695" spans="48:48" x14ac:dyDescent="0.3">
      <c r="AV695" s="32"/>
    </row>
    <row r="698" spans="48:48" x14ac:dyDescent="0.3">
      <c r="AV698" s="32"/>
    </row>
    <row r="699" spans="48:48" x14ac:dyDescent="0.3">
      <c r="AV699" s="32"/>
    </row>
    <row r="702" spans="48:48" x14ac:dyDescent="0.3">
      <c r="AV702" s="32"/>
    </row>
    <row r="703" spans="48:48" x14ac:dyDescent="0.3">
      <c r="AV703" s="32"/>
    </row>
    <row r="704" spans="48:48" x14ac:dyDescent="0.3">
      <c r="AV704" s="32"/>
    </row>
    <row r="705" spans="44:56" x14ac:dyDescent="0.3">
      <c r="AV705" s="32"/>
    </row>
    <row r="711" spans="44:56" x14ac:dyDescent="0.3">
      <c r="AX711" s="22"/>
    </row>
    <row r="712" spans="44:56" x14ac:dyDescent="0.3">
      <c r="AX712" s="22"/>
    </row>
    <row r="713" spans="44:56" x14ac:dyDescent="0.3">
      <c r="AX713" s="23"/>
    </row>
    <row r="714" spans="44:56" x14ac:dyDescent="0.3">
      <c r="AX714" s="23"/>
    </row>
    <row r="715" spans="44:56" x14ac:dyDescent="0.3">
      <c r="AR715" s="22"/>
      <c r="BC715" s="23"/>
    </row>
    <row r="716" spans="44:56" x14ac:dyDescent="0.3">
      <c r="AR716" s="22"/>
      <c r="BC716" s="23"/>
    </row>
    <row r="717" spans="44:56" x14ac:dyDescent="0.3">
      <c r="AR717" s="23"/>
      <c r="BC717" s="23"/>
    </row>
    <row r="718" spans="44:56" x14ac:dyDescent="0.3">
      <c r="BC718" s="22"/>
    </row>
    <row r="719" spans="44:56" x14ac:dyDescent="0.3"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</row>
    <row r="720" spans="44:56" x14ac:dyDescent="0.3">
      <c r="AW720" s="23"/>
    </row>
    <row r="721" spans="44:68" x14ac:dyDescent="0.3">
      <c r="AW721" s="29"/>
      <c r="AX721" s="29"/>
      <c r="AY721" s="29"/>
      <c r="AZ721" s="29"/>
      <c r="BB721" s="30"/>
      <c r="BC721" s="30"/>
    </row>
    <row r="722" spans="44:68" x14ac:dyDescent="0.3">
      <c r="AU722" s="30"/>
      <c r="AV722" s="30"/>
      <c r="AY722" s="30"/>
      <c r="AZ722" s="30"/>
      <c r="BB722" s="30"/>
      <c r="BC722" s="30"/>
      <c r="BD722" s="30"/>
      <c r="BF722" s="29"/>
      <c r="BG722" s="23"/>
      <c r="BJ722" s="29"/>
      <c r="BL722" s="29"/>
      <c r="BM722" s="23"/>
      <c r="BP722" s="29"/>
    </row>
    <row r="723" spans="44:68" x14ac:dyDescent="0.3"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G723" s="30"/>
      <c r="BH723" s="30"/>
      <c r="BI723" s="30"/>
      <c r="BM723" s="30"/>
      <c r="BN723" s="30"/>
      <c r="BO723" s="30"/>
    </row>
    <row r="724" spans="44:68" x14ac:dyDescent="0.3">
      <c r="AR724" s="30"/>
      <c r="AT724" s="23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F724" s="30"/>
      <c r="BG724" s="30"/>
      <c r="BH724" s="30"/>
      <c r="BI724" s="30"/>
      <c r="BJ724" s="30"/>
      <c r="BL724" s="30"/>
      <c r="BM724" s="30"/>
      <c r="BN724" s="30"/>
      <c r="BO724" s="30"/>
      <c r="BP724" s="30"/>
    </row>
    <row r="725" spans="44:68" x14ac:dyDescent="0.3">
      <c r="AR725" s="30"/>
      <c r="AT725" s="23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F725" s="30"/>
      <c r="BG725" s="30"/>
      <c r="BH725" s="30"/>
      <c r="BI725" s="30"/>
      <c r="BJ725" s="30"/>
      <c r="BL725" s="30"/>
      <c r="BM725" s="30"/>
      <c r="BN725" s="30"/>
      <c r="BO725" s="30"/>
      <c r="BP725" s="30"/>
    </row>
    <row r="726" spans="44:68" x14ac:dyDescent="0.3"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F726" s="29"/>
      <c r="BG726" s="29"/>
      <c r="BH726" s="29"/>
      <c r="BI726" s="29"/>
      <c r="BJ726" s="29"/>
      <c r="BL726" s="29"/>
      <c r="BM726" s="29"/>
      <c r="BN726" s="29"/>
      <c r="BO726" s="29"/>
      <c r="BP726" s="29"/>
    </row>
    <row r="727" spans="44:68" x14ac:dyDescent="0.3"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</row>
    <row r="728" spans="44:68" x14ac:dyDescent="0.3">
      <c r="AR728" s="22"/>
      <c r="AT728" s="23"/>
      <c r="AU728" s="30"/>
      <c r="AX728" s="48"/>
    </row>
    <row r="729" spans="44:68" x14ac:dyDescent="0.3">
      <c r="AR729" s="22"/>
      <c r="AU729" s="30"/>
      <c r="AV729" s="32"/>
      <c r="AW729" s="62"/>
      <c r="AX729" s="62"/>
      <c r="AY729" s="62"/>
      <c r="AZ729" s="33"/>
      <c r="BA729" s="62"/>
      <c r="BB729" s="48"/>
      <c r="BC729" s="48"/>
      <c r="BD729" s="33"/>
      <c r="BF729" s="62"/>
      <c r="BG729" s="62"/>
      <c r="BH729" s="62"/>
      <c r="BI729" s="62"/>
      <c r="BJ729" s="62"/>
      <c r="BL729" s="62"/>
      <c r="BM729" s="62"/>
      <c r="BN729" s="62"/>
      <c r="BO729" s="62"/>
      <c r="BP729" s="62"/>
    </row>
    <row r="730" spans="44:68" x14ac:dyDescent="0.3">
      <c r="AR730" s="22"/>
      <c r="AU730" s="30"/>
      <c r="AV730" s="32"/>
      <c r="AW730" s="62"/>
      <c r="AX730" s="62"/>
      <c r="AY730" s="62"/>
      <c r="AZ730" s="33"/>
      <c r="BA730" s="62"/>
      <c r="BB730" s="48"/>
      <c r="BC730" s="48"/>
      <c r="BD730" s="33"/>
      <c r="BF730" s="62"/>
      <c r="BG730" s="62"/>
      <c r="BH730" s="62"/>
      <c r="BI730" s="62"/>
      <c r="BJ730" s="62"/>
      <c r="BL730" s="62"/>
      <c r="BM730" s="62"/>
      <c r="BN730" s="62"/>
      <c r="BO730" s="62"/>
      <c r="BP730" s="62"/>
    </row>
    <row r="731" spans="44:68" x14ac:dyDescent="0.3">
      <c r="AR731" s="22"/>
      <c r="AU731" s="30"/>
      <c r="AV731" s="32"/>
      <c r="AW731" s="62"/>
      <c r="AX731" s="62"/>
      <c r="AY731" s="62"/>
      <c r="AZ731" s="33"/>
      <c r="BA731" s="62"/>
      <c r="BB731" s="48"/>
      <c r="BC731" s="48"/>
      <c r="BD731" s="33"/>
      <c r="BF731" s="62"/>
      <c r="BG731" s="62"/>
      <c r="BH731" s="62"/>
      <c r="BI731" s="62"/>
      <c r="BJ731" s="62"/>
      <c r="BL731" s="62"/>
      <c r="BM731" s="62"/>
      <c r="BN731" s="62"/>
      <c r="BO731" s="62"/>
      <c r="BP731" s="62"/>
    </row>
    <row r="732" spans="44:68" x14ac:dyDescent="0.3">
      <c r="AR732" s="22"/>
      <c r="AU732" s="30"/>
      <c r="AV732" s="32"/>
      <c r="AW732" s="62"/>
      <c r="AX732" s="62"/>
      <c r="AY732" s="62"/>
      <c r="AZ732" s="33"/>
      <c r="BA732" s="62"/>
      <c r="BB732" s="48"/>
      <c r="BC732" s="48"/>
      <c r="BD732" s="33"/>
      <c r="BF732" s="62"/>
      <c r="BG732" s="62"/>
      <c r="BH732" s="62"/>
      <c r="BI732" s="62"/>
      <c r="BJ732" s="62"/>
      <c r="BL732" s="62"/>
      <c r="BM732" s="62"/>
      <c r="BN732" s="62"/>
      <c r="BO732" s="62"/>
      <c r="BP732" s="62"/>
    </row>
    <row r="733" spans="44:68" x14ac:dyDescent="0.3">
      <c r="AR733" s="22"/>
      <c r="AU733" s="30"/>
      <c r="AV733" s="32"/>
      <c r="AW733" s="62"/>
      <c r="AX733" s="62"/>
      <c r="AY733" s="62"/>
      <c r="AZ733" s="33"/>
      <c r="BA733" s="62"/>
      <c r="BB733" s="48"/>
      <c r="BC733" s="48"/>
      <c r="BD733" s="33"/>
      <c r="BF733" s="62"/>
      <c r="BG733" s="62"/>
      <c r="BH733" s="62"/>
      <c r="BI733" s="62"/>
      <c r="BJ733" s="62"/>
      <c r="BL733" s="62"/>
      <c r="BM733" s="62"/>
      <c r="BN733" s="62"/>
      <c r="BO733" s="62"/>
      <c r="BP733" s="62"/>
    </row>
    <row r="734" spans="44:68" x14ac:dyDescent="0.3">
      <c r="AR734" s="22"/>
      <c r="AU734" s="30"/>
      <c r="AV734" s="32"/>
      <c r="AW734" s="62"/>
      <c r="AX734" s="62"/>
      <c r="AY734" s="62"/>
      <c r="AZ734" s="33"/>
      <c r="BA734" s="62"/>
      <c r="BB734" s="48"/>
      <c r="BC734" s="48"/>
      <c r="BD734" s="33"/>
      <c r="BF734" s="62"/>
      <c r="BG734" s="62"/>
      <c r="BH734" s="62"/>
      <c r="BI734" s="62"/>
      <c r="BJ734" s="62"/>
      <c r="BL734" s="62"/>
      <c r="BM734" s="62"/>
      <c r="BN734" s="62"/>
      <c r="BO734" s="62"/>
      <c r="BP734" s="62"/>
    </row>
    <row r="735" spans="44:68" x14ac:dyDescent="0.3">
      <c r="AR735" s="22"/>
      <c r="AU735" s="30"/>
      <c r="AV735" s="32"/>
      <c r="AW735" s="62"/>
      <c r="AX735" s="62"/>
      <c r="AY735" s="62"/>
      <c r="AZ735" s="33"/>
      <c r="BA735" s="62"/>
      <c r="BB735" s="48"/>
      <c r="BC735" s="48"/>
      <c r="BD735" s="33"/>
      <c r="BF735" s="62"/>
      <c r="BG735" s="62"/>
      <c r="BH735" s="62"/>
      <c r="BI735" s="62"/>
      <c r="BJ735" s="62"/>
      <c r="BL735" s="62"/>
      <c r="BM735" s="62"/>
      <c r="BN735" s="62"/>
      <c r="BO735" s="62"/>
      <c r="BP735" s="62"/>
    </row>
    <row r="736" spans="44:68" x14ac:dyDescent="0.3">
      <c r="AX736" s="48"/>
      <c r="AY736" s="62"/>
      <c r="AZ736" s="33"/>
      <c r="BA736" s="62"/>
      <c r="BB736" s="48"/>
      <c r="BC736" s="48"/>
      <c r="BD736" s="33"/>
      <c r="BJ736" s="62"/>
      <c r="BP736" s="62"/>
    </row>
    <row r="737" spans="44:68" x14ac:dyDescent="0.3">
      <c r="AR737" s="22"/>
      <c r="AU737" s="30"/>
      <c r="AX737" s="48"/>
      <c r="AY737" s="62"/>
      <c r="AZ737" s="33"/>
      <c r="BA737" s="62"/>
      <c r="BB737" s="48"/>
      <c r="BC737" s="48"/>
      <c r="BD737" s="33"/>
      <c r="BJ737" s="62"/>
      <c r="BP737" s="62"/>
    </row>
    <row r="738" spans="44:68" x14ac:dyDescent="0.3">
      <c r="AR738" s="22"/>
      <c r="AU738" s="30"/>
      <c r="AV738" s="32"/>
      <c r="AW738" s="62"/>
      <c r="AX738" s="62"/>
      <c r="AY738" s="62"/>
      <c r="AZ738" s="33"/>
      <c r="BA738" s="62"/>
      <c r="BB738" s="48"/>
      <c r="BC738" s="48"/>
      <c r="BD738" s="33"/>
      <c r="BF738" s="62"/>
      <c r="BG738" s="62"/>
      <c r="BH738" s="62"/>
      <c r="BI738" s="62"/>
      <c r="BJ738" s="62"/>
      <c r="BL738" s="62"/>
      <c r="BM738" s="62"/>
      <c r="BN738" s="62"/>
      <c r="BO738" s="62"/>
      <c r="BP738" s="62"/>
    </row>
    <row r="739" spans="44:68" x14ac:dyDescent="0.3">
      <c r="AR739" s="22"/>
      <c r="AU739" s="30"/>
      <c r="AV739" s="32"/>
      <c r="AW739" s="62"/>
      <c r="AX739" s="62"/>
      <c r="AY739" s="62"/>
      <c r="AZ739" s="33"/>
      <c r="BA739" s="62"/>
      <c r="BB739" s="48"/>
      <c r="BC739" s="48"/>
      <c r="BD739" s="33"/>
      <c r="BF739" s="62"/>
      <c r="BG739" s="62"/>
      <c r="BH739" s="62"/>
      <c r="BI739" s="62"/>
      <c r="BJ739" s="62"/>
      <c r="BL739" s="62"/>
      <c r="BM739" s="62"/>
      <c r="BN739" s="62"/>
      <c r="BO739" s="62"/>
      <c r="BP739" s="62"/>
    </row>
    <row r="740" spans="44:68" x14ac:dyDescent="0.3">
      <c r="AR740" s="22"/>
      <c r="AU740" s="30"/>
      <c r="AV740" s="32"/>
      <c r="AW740" s="62"/>
      <c r="AX740" s="62"/>
      <c r="AY740" s="62"/>
      <c r="AZ740" s="33"/>
      <c r="BA740" s="62"/>
      <c r="BB740" s="48"/>
      <c r="BC740" s="48"/>
      <c r="BD740" s="33"/>
      <c r="BF740" s="62"/>
      <c r="BG740" s="62"/>
      <c r="BH740" s="62"/>
      <c r="BI740" s="62"/>
      <c r="BJ740" s="62"/>
      <c r="BL740" s="62"/>
      <c r="BM740" s="62"/>
      <c r="BN740" s="62"/>
      <c r="BO740" s="62"/>
      <c r="BP740" s="62"/>
    </row>
    <row r="741" spans="44:68" x14ac:dyDescent="0.3">
      <c r="AR741" s="22"/>
      <c r="AU741" s="30"/>
      <c r="AV741" s="32"/>
      <c r="AW741" s="62"/>
      <c r="AX741" s="62"/>
      <c r="AY741" s="62"/>
      <c r="AZ741" s="33"/>
      <c r="BA741" s="62"/>
      <c r="BB741" s="48"/>
      <c r="BC741" s="48"/>
      <c r="BD741" s="33"/>
      <c r="BF741" s="62"/>
      <c r="BG741" s="62"/>
      <c r="BH741" s="62"/>
      <c r="BI741" s="62"/>
      <c r="BJ741" s="62"/>
      <c r="BL741" s="62"/>
      <c r="BM741" s="62"/>
      <c r="BN741" s="62"/>
      <c r="BO741" s="62"/>
      <c r="BP741" s="62"/>
    </row>
    <row r="742" spans="44:68" x14ac:dyDescent="0.3">
      <c r="AR742" s="22"/>
      <c r="AU742" s="30"/>
      <c r="AV742" s="32"/>
      <c r="AW742" s="62"/>
      <c r="AX742" s="62"/>
      <c r="AY742" s="62"/>
      <c r="AZ742" s="33"/>
      <c r="BA742" s="62"/>
      <c r="BB742" s="48"/>
      <c r="BC742" s="48"/>
      <c r="BD742" s="33"/>
      <c r="BF742" s="62"/>
      <c r="BG742" s="62"/>
      <c r="BH742" s="62"/>
      <c r="BI742" s="62"/>
      <c r="BJ742" s="62"/>
      <c r="BL742" s="62"/>
      <c r="BM742" s="62"/>
      <c r="BN742" s="62"/>
      <c r="BO742" s="62"/>
      <c r="BP742" s="62"/>
    </row>
    <row r="743" spans="44:68" x14ac:dyDescent="0.3">
      <c r="AR743" s="22"/>
      <c r="AU743" s="30"/>
      <c r="AV743" s="32"/>
      <c r="AW743" s="62"/>
      <c r="AX743" s="62"/>
      <c r="AY743" s="62"/>
      <c r="AZ743" s="33"/>
      <c r="BA743" s="62"/>
      <c r="BB743" s="48"/>
      <c r="BC743" s="48"/>
      <c r="BD743" s="33"/>
      <c r="BF743" s="62"/>
      <c r="BG743" s="62"/>
      <c r="BH743" s="62"/>
      <c r="BI743" s="62"/>
      <c r="BJ743" s="62"/>
      <c r="BL743" s="62"/>
      <c r="BM743" s="62"/>
      <c r="BN743" s="62"/>
      <c r="BO743" s="62"/>
      <c r="BP743" s="62"/>
    </row>
    <row r="744" spans="44:68" x14ac:dyDescent="0.3">
      <c r="AR744" s="22"/>
      <c r="AU744" s="30"/>
      <c r="AV744" s="32"/>
      <c r="AW744" s="62"/>
      <c r="AX744" s="62"/>
      <c r="AY744" s="62"/>
      <c r="AZ744" s="33"/>
      <c r="BA744" s="62"/>
      <c r="BB744" s="48"/>
      <c r="BC744" s="48"/>
      <c r="BD744" s="33"/>
      <c r="BF744" s="62"/>
      <c r="BG744" s="62"/>
      <c r="BH744" s="62"/>
      <c r="BI744" s="62"/>
      <c r="BJ744" s="62"/>
      <c r="BL744" s="62"/>
      <c r="BM744" s="62"/>
      <c r="BN744" s="62"/>
      <c r="BO744" s="62"/>
      <c r="BP744" s="62"/>
    </row>
    <row r="745" spans="44:68" x14ac:dyDescent="0.3">
      <c r="AR745" s="22"/>
      <c r="AU745" s="30"/>
      <c r="AV745" s="32"/>
      <c r="AW745" s="62"/>
      <c r="AX745" s="62"/>
      <c r="AY745" s="62"/>
      <c r="AZ745" s="33"/>
      <c r="BA745" s="62"/>
      <c r="BB745" s="48"/>
      <c r="BC745" s="48"/>
      <c r="BD745" s="33"/>
      <c r="BF745" s="62"/>
      <c r="BG745" s="62"/>
      <c r="BH745" s="62"/>
      <c r="BI745" s="62"/>
      <c r="BJ745" s="62"/>
      <c r="BL745" s="62"/>
      <c r="BM745" s="62"/>
      <c r="BN745" s="62"/>
      <c r="BO745" s="62"/>
      <c r="BP745" s="62"/>
    </row>
    <row r="746" spans="44:68" x14ac:dyDescent="0.3">
      <c r="AX746" s="48"/>
      <c r="AY746" s="62"/>
      <c r="AZ746" s="33"/>
      <c r="BA746" s="62"/>
      <c r="BB746" s="48"/>
      <c r="BC746" s="48"/>
      <c r="BD746" s="33"/>
      <c r="BJ746" s="62"/>
      <c r="BP746" s="62"/>
    </row>
    <row r="747" spans="44:68" x14ac:dyDescent="0.3">
      <c r="AT747" s="23"/>
      <c r="AY747" s="62"/>
      <c r="BA747" s="62"/>
      <c r="BF747" s="62"/>
      <c r="BG747" s="62"/>
      <c r="BI747" s="62"/>
      <c r="BJ747" s="62"/>
    </row>
    <row r="748" spans="44:68" x14ac:dyDescent="0.3">
      <c r="AY748" s="62"/>
      <c r="BA748" s="62"/>
    </row>
    <row r="749" spans="44:68" x14ac:dyDescent="0.3">
      <c r="AR749" s="23"/>
      <c r="AY749" s="62"/>
      <c r="BA749" s="62"/>
      <c r="BH749" s="62"/>
    </row>
    <row r="750" spans="44:68" x14ac:dyDescent="0.3">
      <c r="AX750" s="22"/>
      <c r="AY750" s="62"/>
      <c r="BA750" s="62"/>
    </row>
    <row r="751" spans="44:68" x14ac:dyDescent="0.3">
      <c r="AX751" s="62"/>
      <c r="BA751" s="62"/>
    </row>
    <row r="752" spans="44:68" x14ac:dyDescent="0.3">
      <c r="AX752" s="23"/>
      <c r="AY752" s="62"/>
      <c r="BA752" s="62"/>
    </row>
    <row r="753" spans="44:74" x14ac:dyDescent="0.3">
      <c r="AX753" s="23"/>
      <c r="AY753" s="62"/>
      <c r="BA753" s="62"/>
    </row>
    <row r="754" spans="44:74" x14ac:dyDescent="0.3">
      <c r="AR754" s="22"/>
      <c r="AY754" s="62"/>
      <c r="BA754" s="62"/>
      <c r="BC754" s="23"/>
    </row>
    <row r="755" spans="44:74" x14ac:dyDescent="0.3">
      <c r="AR755" s="22"/>
      <c r="AY755" s="62"/>
      <c r="BA755" s="62"/>
      <c r="BC755" s="23"/>
    </row>
    <row r="756" spans="44:74" x14ac:dyDescent="0.3">
      <c r="AR756" s="23"/>
      <c r="AY756" s="62"/>
      <c r="BA756" s="62"/>
      <c r="BC756" s="23"/>
    </row>
    <row r="757" spans="44:74" x14ac:dyDescent="0.3">
      <c r="AY757" s="62"/>
      <c r="BA757" s="62"/>
      <c r="BC757" s="22"/>
    </row>
    <row r="758" spans="44:74" x14ac:dyDescent="0.3">
      <c r="AR758" s="29"/>
      <c r="AS758" s="29"/>
      <c r="AT758" s="29"/>
      <c r="AU758" s="29"/>
      <c r="AV758" s="29"/>
      <c r="AW758" s="29"/>
      <c r="AX758" s="29"/>
      <c r="AY758" s="63"/>
      <c r="AZ758" s="29"/>
      <c r="BA758" s="63"/>
      <c r="BB758" s="29"/>
      <c r="BC758" s="29"/>
      <c r="BD758" s="29"/>
    </row>
    <row r="759" spans="44:74" x14ac:dyDescent="0.3">
      <c r="AW759" s="23"/>
      <c r="AY759" s="62"/>
      <c r="BA759" s="62"/>
    </row>
    <row r="760" spans="44:74" x14ac:dyDescent="0.3">
      <c r="AW760" s="29"/>
      <c r="AX760" s="29"/>
      <c r="AY760" s="63"/>
      <c r="AZ760" s="29"/>
      <c r="BA760" s="62"/>
      <c r="BB760" s="30"/>
      <c r="BC760" s="30"/>
    </row>
    <row r="761" spans="44:74" x14ac:dyDescent="0.3">
      <c r="AU761" s="30"/>
      <c r="AV761" s="30"/>
      <c r="AY761" s="64"/>
      <c r="AZ761" s="30"/>
      <c r="BA761" s="62"/>
      <c r="BB761" s="30"/>
      <c r="BC761" s="30"/>
      <c r="BD761" s="30"/>
      <c r="BF761" s="29"/>
      <c r="BG761" s="29"/>
      <c r="BH761" s="23"/>
      <c r="BL761" s="29"/>
      <c r="BM761" s="29"/>
      <c r="BO761" s="29"/>
      <c r="BP761" s="29"/>
      <c r="BQ761" s="23"/>
      <c r="BU761" s="29"/>
      <c r="BV761" s="29"/>
    </row>
    <row r="762" spans="44:74" x14ac:dyDescent="0.3">
      <c r="AU762" s="30"/>
      <c r="AV762" s="30"/>
      <c r="AW762" s="30"/>
      <c r="AX762" s="30"/>
      <c r="AY762" s="64"/>
      <c r="AZ762" s="30"/>
      <c r="BA762" s="64"/>
      <c r="BB762" s="30"/>
      <c r="BC762" s="30"/>
      <c r="BD762" s="30"/>
      <c r="BG762" s="30"/>
      <c r="BH762" s="30"/>
      <c r="BI762" s="30"/>
      <c r="BJ762" s="30"/>
      <c r="BK762" s="30"/>
      <c r="BL762" s="30"/>
      <c r="BP762" s="30"/>
      <c r="BQ762" s="30"/>
      <c r="BR762" s="30"/>
      <c r="BS762" s="30"/>
      <c r="BT762" s="30"/>
      <c r="BU762" s="30"/>
    </row>
    <row r="763" spans="44:74" x14ac:dyDescent="0.3">
      <c r="AR763" s="30"/>
      <c r="AT763" s="23"/>
      <c r="AU763" s="30"/>
      <c r="AV763" s="30"/>
      <c r="AW763" s="30"/>
      <c r="AX763" s="30"/>
      <c r="AY763" s="64"/>
      <c r="AZ763" s="30"/>
      <c r="BA763" s="64"/>
      <c r="BB763" s="30"/>
      <c r="BC763" s="30"/>
      <c r="BD763" s="30"/>
      <c r="BF763" s="30"/>
      <c r="BG763" s="30"/>
      <c r="BH763" s="30"/>
      <c r="BI763" s="30"/>
      <c r="BJ763" s="30"/>
      <c r="BK763" s="30"/>
      <c r="BL763" s="30"/>
      <c r="BM763" s="30"/>
      <c r="BO763" s="30"/>
      <c r="BP763" s="30"/>
      <c r="BQ763" s="30"/>
      <c r="BR763" s="30"/>
      <c r="BS763" s="30"/>
      <c r="BT763" s="30"/>
      <c r="BU763" s="30"/>
      <c r="BV763" s="30"/>
    </row>
    <row r="764" spans="44:74" x14ac:dyDescent="0.3">
      <c r="AR764" s="30"/>
      <c r="AT764" s="23"/>
      <c r="AU764" s="30"/>
      <c r="AV764" s="30"/>
      <c r="AW764" s="30"/>
      <c r="AX764" s="30"/>
      <c r="AY764" s="64"/>
      <c r="AZ764" s="30"/>
      <c r="BA764" s="64"/>
      <c r="BB764" s="30"/>
      <c r="BC764" s="30"/>
      <c r="BD764" s="30"/>
      <c r="BF764" s="30"/>
      <c r="BG764" s="30"/>
      <c r="BH764" s="30"/>
      <c r="BI764" s="30"/>
      <c r="BJ764" s="30"/>
      <c r="BK764" s="30"/>
      <c r="BL764" s="30"/>
      <c r="BM764" s="30"/>
      <c r="BO764" s="30"/>
      <c r="BP764" s="30"/>
      <c r="BQ764" s="30"/>
      <c r="BR764" s="30"/>
      <c r="BS764" s="30"/>
      <c r="BT764" s="30"/>
      <c r="BU764" s="30"/>
      <c r="BV764" s="30"/>
    </row>
    <row r="765" spans="44:74" x14ac:dyDescent="0.3">
      <c r="AR765" s="29"/>
      <c r="AS765" s="29"/>
      <c r="AT765" s="29"/>
      <c r="AU765" s="29"/>
      <c r="AV765" s="29"/>
      <c r="AW765" s="29"/>
      <c r="AX765" s="29"/>
      <c r="AY765" s="63"/>
      <c r="AZ765" s="29"/>
      <c r="BA765" s="63"/>
      <c r="BB765" s="29"/>
      <c r="BC765" s="29"/>
      <c r="BD765" s="29"/>
      <c r="BF765" s="29"/>
      <c r="BG765" s="29"/>
      <c r="BH765" s="29"/>
      <c r="BI765" s="29"/>
      <c r="BJ765" s="29"/>
      <c r="BK765" s="29"/>
      <c r="BL765" s="29"/>
      <c r="BM765" s="29"/>
      <c r="BO765" s="29"/>
      <c r="BP765" s="29"/>
      <c r="BQ765" s="29"/>
      <c r="BR765" s="29"/>
      <c r="BS765" s="29"/>
      <c r="BT765" s="29"/>
      <c r="BU765" s="29"/>
      <c r="BV765" s="29"/>
    </row>
    <row r="766" spans="44:74" x14ac:dyDescent="0.3">
      <c r="AU766" s="30"/>
      <c r="AV766" s="30"/>
      <c r="AW766" s="30"/>
      <c r="AX766" s="30"/>
      <c r="AY766" s="64"/>
      <c r="AZ766" s="30"/>
      <c r="BA766" s="64"/>
      <c r="BB766" s="30"/>
      <c r="BC766" s="30"/>
      <c r="BD766" s="30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</row>
    <row r="767" spans="44:74" x14ac:dyDescent="0.3">
      <c r="AR767" s="22"/>
      <c r="AT767" s="23"/>
      <c r="AU767" s="22"/>
      <c r="AV767" s="32"/>
      <c r="AW767" s="62"/>
      <c r="AX767" s="62"/>
      <c r="AY767" s="62"/>
      <c r="AZ767" s="44"/>
      <c r="BA767" s="62"/>
      <c r="BB767" s="62"/>
      <c r="BC767" s="62"/>
      <c r="BD767" s="44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</row>
    <row r="768" spans="44:74" x14ac:dyDescent="0.3">
      <c r="AR768" s="22"/>
      <c r="AU768" s="22"/>
      <c r="AV768" s="32"/>
      <c r="AW768" s="62"/>
      <c r="AX768" s="62"/>
      <c r="AY768" s="62"/>
      <c r="AZ768" s="44"/>
      <c r="BA768" s="62"/>
      <c r="BB768" s="62"/>
      <c r="BC768" s="62"/>
      <c r="BD768" s="44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</row>
    <row r="769" spans="44:74" x14ac:dyDescent="0.3">
      <c r="AR769" s="22"/>
      <c r="AU769" s="22"/>
      <c r="AV769" s="32"/>
      <c r="AW769" s="62"/>
      <c r="AX769" s="62"/>
      <c r="AY769" s="62"/>
      <c r="AZ769" s="44"/>
      <c r="BA769" s="62"/>
      <c r="BB769" s="62"/>
      <c r="BC769" s="62"/>
      <c r="BD769" s="44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</row>
    <row r="770" spans="44:74" x14ac:dyDescent="0.3">
      <c r="AR770" s="22"/>
      <c r="AU770" s="22"/>
      <c r="AV770" s="32"/>
      <c r="AW770" s="62"/>
      <c r="AX770" s="62"/>
      <c r="AY770" s="62"/>
      <c r="AZ770" s="44"/>
      <c r="BA770" s="62"/>
      <c r="BB770" s="62"/>
      <c r="BC770" s="62"/>
      <c r="BD770" s="44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</row>
    <row r="771" spans="44:74" x14ac:dyDescent="0.3">
      <c r="AR771" s="22"/>
      <c r="AU771" s="22"/>
      <c r="AV771" s="32"/>
      <c r="AW771" s="62"/>
      <c r="AX771" s="62"/>
      <c r="AY771" s="62"/>
      <c r="AZ771" s="44"/>
      <c r="BA771" s="62"/>
      <c r="BB771" s="62"/>
      <c r="BC771" s="62"/>
      <c r="BD771" s="44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</row>
    <row r="772" spans="44:74" x14ac:dyDescent="0.3">
      <c r="AR772" s="22"/>
      <c r="AU772" s="22"/>
      <c r="AV772" s="32"/>
      <c r="AW772" s="62"/>
      <c r="AX772" s="62"/>
      <c r="AY772" s="62"/>
      <c r="AZ772" s="44"/>
      <c r="BA772" s="62"/>
      <c r="BB772" s="62"/>
      <c r="BC772" s="62"/>
      <c r="BD772" s="44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</row>
    <row r="773" spans="44:74" x14ac:dyDescent="0.3">
      <c r="AR773" s="22"/>
      <c r="AU773" s="22"/>
      <c r="AV773" s="32"/>
      <c r="AW773" s="62"/>
      <c r="AX773" s="62"/>
      <c r="AY773" s="62"/>
      <c r="AZ773" s="44"/>
      <c r="BA773" s="62"/>
      <c r="BB773" s="62"/>
      <c r="BC773" s="62"/>
      <c r="BD773" s="44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</row>
    <row r="774" spans="44:74" x14ac:dyDescent="0.3">
      <c r="AR774" s="22"/>
      <c r="AU774" s="22"/>
      <c r="AV774" s="32"/>
      <c r="AW774" s="62"/>
      <c r="AX774" s="62"/>
      <c r="AY774" s="62"/>
      <c r="AZ774" s="44"/>
      <c r="BA774" s="62"/>
      <c r="BB774" s="62"/>
      <c r="BC774" s="62"/>
      <c r="BD774" s="44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</row>
    <row r="775" spans="44:74" x14ac:dyDescent="0.3">
      <c r="AR775" s="22"/>
      <c r="AU775" s="22"/>
      <c r="AV775" s="32"/>
      <c r="AW775" s="62"/>
      <c r="AX775" s="62"/>
      <c r="AY775" s="62"/>
      <c r="AZ775" s="44"/>
      <c r="BA775" s="62"/>
      <c r="BB775" s="62"/>
      <c r="BC775" s="62"/>
      <c r="BD775" s="44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</row>
    <row r="776" spans="44:74" x14ac:dyDescent="0.3">
      <c r="AR776" s="22"/>
      <c r="AU776" s="22"/>
      <c r="AV776" s="32"/>
      <c r="AW776" s="62"/>
      <c r="AX776" s="62"/>
      <c r="AY776" s="62"/>
      <c r="AZ776" s="44"/>
      <c r="BA776" s="62"/>
      <c r="BB776" s="62"/>
      <c r="BC776" s="62"/>
      <c r="BD776" s="44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</row>
    <row r="777" spans="44:74" x14ac:dyDescent="0.3">
      <c r="AR777" s="22"/>
      <c r="AU777" s="22"/>
      <c r="AV777" s="32"/>
      <c r="AW777" s="62"/>
      <c r="AX777" s="62"/>
      <c r="AY777" s="62"/>
      <c r="AZ777" s="44"/>
      <c r="BA777" s="62"/>
      <c r="BB777" s="62"/>
      <c r="BC777" s="62"/>
      <c r="BD777" s="44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</row>
    <row r="778" spans="44:74" x14ac:dyDescent="0.3">
      <c r="AR778" s="22"/>
      <c r="AU778" s="22"/>
      <c r="AV778" s="32"/>
      <c r="AW778" s="62"/>
      <c r="AX778" s="62"/>
      <c r="AY778" s="62"/>
      <c r="AZ778" s="44"/>
      <c r="BA778" s="62"/>
      <c r="BB778" s="62"/>
      <c r="BC778" s="62"/>
      <c r="BD778" s="44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</row>
    <row r="779" spans="44:74" x14ac:dyDescent="0.3">
      <c r="AR779" s="22"/>
      <c r="AU779" s="22"/>
      <c r="AV779" s="32"/>
      <c r="AW779" s="62"/>
      <c r="AX779" s="62"/>
      <c r="AY779" s="62"/>
      <c r="AZ779" s="44"/>
      <c r="BA779" s="62"/>
      <c r="BB779" s="62"/>
      <c r="BC779" s="62"/>
      <c r="BD779" s="44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</row>
    <row r="780" spans="44:74" x14ac:dyDescent="0.3">
      <c r="AR780" s="22"/>
      <c r="AU780" s="22"/>
      <c r="AV780" s="32"/>
      <c r="AW780" s="62"/>
      <c r="AX780" s="62"/>
      <c r="AY780" s="62"/>
      <c r="AZ780" s="44"/>
      <c r="BA780" s="62"/>
      <c r="BB780" s="62"/>
      <c r="BC780" s="62"/>
      <c r="BD780" s="44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</row>
    <row r="781" spans="44:74" x14ac:dyDescent="0.3">
      <c r="AR781" s="22"/>
      <c r="AU781" s="22"/>
      <c r="AV781" s="32"/>
      <c r="AW781" s="62"/>
      <c r="AX781" s="62"/>
      <c r="AY781" s="62"/>
      <c r="AZ781" s="44"/>
      <c r="BA781" s="62"/>
      <c r="BB781" s="62"/>
      <c r="BC781" s="62"/>
      <c r="BD781" s="44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</row>
    <row r="782" spans="44:74" x14ac:dyDescent="0.3">
      <c r="AR782" s="22"/>
      <c r="AU782" s="22"/>
      <c r="AV782" s="32"/>
      <c r="AW782" s="62"/>
      <c r="AX782" s="62"/>
      <c r="AY782" s="62"/>
      <c r="AZ782" s="44"/>
      <c r="BA782" s="62"/>
      <c r="BB782" s="62"/>
      <c r="BC782" s="62"/>
      <c r="BD782" s="44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</row>
    <row r="783" spans="44:74" x14ac:dyDescent="0.3">
      <c r="AR783" s="22"/>
      <c r="AU783" s="22"/>
      <c r="AV783" s="32"/>
      <c r="AW783" s="62"/>
      <c r="AX783" s="62"/>
      <c r="AY783" s="62"/>
      <c r="AZ783" s="44"/>
      <c r="BA783" s="62"/>
      <c r="BB783" s="62"/>
      <c r="BC783" s="62"/>
      <c r="BD783" s="44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</row>
    <row r="784" spans="44:74" x14ac:dyDescent="0.3">
      <c r="AR784" s="22"/>
      <c r="AU784" s="22"/>
      <c r="AV784" s="32"/>
      <c r="AW784" s="62"/>
      <c r="AX784" s="62"/>
      <c r="AY784" s="62"/>
      <c r="AZ784" s="44"/>
      <c r="BA784" s="62"/>
      <c r="BB784" s="62"/>
      <c r="BC784" s="62"/>
      <c r="BD784" s="44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</row>
    <row r="785" spans="44:74" x14ac:dyDescent="0.3">
      <c r="AR785" s="22"/>
      <c r="AU785" s="22"/>
      <c r="AV785" s="32"/>
      <c r="AW785" s="62"/>
      <c r="AX785" s="62"/>
      <c r="AY785" s="62"/>
      <c r="AZ785" s="44"/>
      <c r="BA785" s="62"/>
      <c r="BB785" s="62"/>
      <c r="BC785" s="62"/>
      <c r="BD785" s="44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</row>
    <row r="786" spans="44:74" x14ac:dyDescent="0.3">
      <c r="AR786" s="22"/>
      <c r="AU786" s="22"/>
      <c r="AV786" s="32"/>
      <c r="AW786" s="62"/>
      <c r="AX786" s="62"/>
      <c r="AY786" s="62"/>
      <c r="AZ786" s="44"/>
      <c r="BA786" s="62"/>
      <c r="BB786" s="62"/>
      <c r="BC786" s="62"/>
      <c r="BD786" s="44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</row>
    <row r="787" spans="44:74" x14ac:dyDescent="0.3">
      <c r="AR787" s="22"/>
      <c r="AU787" s="22"/>
      <c r="AV787" s="32"/>
      <c r="AW787" s="62"/>
      <c r="AX787" s="62"/>
      <c r="AY787" s="62"/>
      <c r="AZ787" s="44"/>
      <c r="BA787" s="62"/>
      <c r="BB787" s="62"/>
      <c r="BC787" s="62"/>
      <c r="BD787" s="44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</row>
    <row r="788" spans="44:74" x14ac:dyDescent="0.3">
      <c r="AV788" s="32"/>
      <c r="AW788" s="62"/>
      <c r="AX788" s="62"/>
      <c r="AY788" s="62"/>
      <c r="AZ788" s="44"/>
      <c r="BA788" s="62"/>
      <c r="BB788" s="62"/>
      <c r="BC788" s="62"/>
      <c r="BD788" s="44"/>
      <c r="BF788" s="29"/>
      <c r="BG788" s="29"/>
      <c r="BH788" s="23"/>
      <c r="BL788" s="29"/>
      <c r="BM788" s="29"/>
      <c r="BN788" s="62"/>
      <c r="BO788" s="29"/>
      <c r="BP788" s="29"/>
      <c r="BQ788" s="23"/>
      <c r="BU788" s="29"/>
      <c r="BV788" s="29"/>
    </row>
    <row r="789" spans="44:74" x14ac:dyDescent="0.3">
      <c r="AR789" s="22"/>
      <c r="AT789" s="23"/>
      <c r="AU789" s="30"/>
      <c r="AV789" s="32"/>
      <c r="AW789" s="62"/>
      <c r="AX789" s="62"/>
      <c r="AY789" s="62"/>
      <c r="AZ789" s="44"/>
      <c r="BA789" s="62"/>
      <c r="BB789" s="62"/>
      <c r="BC789" s="62"/>
      <c r="BD789" s="44"/>
      <c r="BF789" s="64"/>
      <c r="BG789" s="62"/>
      <c r="BH789" s="62"/>
      <c r="BI789" s="62"/>
      <c r="BJ789" s="64"/>
      <c r="BK789" s="65"/>
      <c r="BL789" s="62"/>
      <c r="BM789" s="64"/>
      <c r="BN789" s="62"/>
      <c r="BO789" s="64"/>
      <c r="BP789" s="62"/>
      <c r="BQ789" s="62"/>
      <c r="BR789" s="62"/>
      <c r="BS789" s="64"/>
      <c r="BT789" s="65"/>
      <c r="BU789" s="62"/>
      <c r="BV789" s="64"/>
    </row>
    <row r="790" spans="44:74" x14ac:dyDescent="0.3">
      <c r="AR790" s="22"/>
      <c r="AU790" s="30"/>
      <c r="AV790" s="32"/>
      <c r="AW790" s="62"/>
      <c r="AX790" s="62"/>
      <c r="AY790" s="62"/>
      <c r="AZ790" s="44"/>
      <c r="BA790" s="62"/>
      <c r="BB790" s="62"/>
      <c r="BC790" s="62"/>
      <c r="BD790" s="44"/>
      <c r="BF790" s="62"/>
      <c r="BG790" s="62"/>
      <c r="BH790" s="62"/>
      <c r="BI790" s="62"/>
      <c r="BJ790" s="62"/>
      <c r="BK790" s="65"/>
      <c r="BL790" s="62"/>
      <c r="BM790" s="62"/>
      <c r="BN790" s="62"/>
      <c r="BO790" s="62"/>
      <c r="BP790" s="62"/>
      <c r="BQ790" s="62"/>
      <c r="BR790" s="62"/>
      <c r="BS790" s="62"/>
      <c r="BT790" s="65"/>
      <c r="BU790" s="62"/>
      <c r="BV790" s="62"/>
    </row>
    <row r="791" spans="44:74" x14ac:dyDescent="0.3">
      <c r="AR791" s="22"/>
      <c r="AU791" s="30"/>
      <c r="AV791" s="32"/>
      <c r="AW791" s="62"/>
      <c r="AX791" s="62"/>
      <c r="AY791" s="62"/>
      <c r="AZ791" s="44"/>
      <c r="BA791" s="62"/>
      <c r="BB791" s="62"/>
      <c r="BC791" s="62"/>
      <c r="BD791" s="44"/>
      <c r="BF791" s="62"/>
      <c r="BG791" s="62"/>
      <c r="BH791" s="62"/>
      <c r="BI791" s="62"/>
      <c r="BJ791" s="62"/>
      <c r="BK791" s="65"/>
      <c r="BL791" s="62"/>
      <c r="BM791" s="62"/>
      <c r="BN791" s="62"/>
      <c r="BO791" s="62"/>
      <c r="BP791" s="62"/>
      <c r="BQ791" s="62"/>
      <c r="BR791" s="62"/>
      <c r="BS791" s="62"/>
      <c r="BT791" s="65"/>
      <c r="BU791" s="62"/>
      <c r="BV791" s="62"/>
    </row>
    <row r="792" spans="44:74" x14ac:dyDescent="0.3">
      <c r="AR792" s="22"/>
      <c r="AU792" s="30"/>
      <c r="AV792" s="32"/>
      <c r="AW792" s="62"/>
      <c r="AX792" s="62"/>
      <c r="AY792" s="62"/>
      <c r="AZ792" s="44"/>
      <c r="BA792" s="62"/>
      <c r="BB792" s="62"/>
      <c r="BC792" s="62"/>
      <c r="BD792" s="44"/>
      <c r="BF792" s="62"/>
      <c r="BG792" s="62"/>
      <c r="BH792" s="62"/>
      <c r="BI792" s="62"/>
      <c r="BJ792" s="62"/>
      <c r="BK792" s="65"/>
      <c r="BL792" s="62"/>
      <c r="BM792" s="62"/>
      <c r="BN792" s="62"/>
      <c r="BO792" s="62"/>
      <c r="BP792" s="62"/>
      <c r="BQ792" s="62"/>
      <c r="BR792" s="62"/>
      <c r="BS792" s="62"/>
      <c r="BT792" s="65"/>
      <c r="BU792" s="62"/>
      <c r="BV792" s="62"/>
    </row>
    <row r="793" spans="44:74" x14ac:dyDescent="0.3">
      <c r="AW793" s="62"/>
      <c r="AX793" s="62"/>
      <c r="AY793" s="62"/>
      <c r="AZ793" s="44"/>
      <c r="BA793" s="62"/>
      <c r="BB793" s="62"/>
      <c r="BC793" s="62"/>
      <c r="BD793" s="44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</row>
    <row r="794" spans="44:74" x14ac:dyDescent="0.3">
      <c r="AT794" s="23"/>
    </row>
    <row r="795" spans="44:74" x14ac:dyDescent="0.3">
      <c r="AT795" s="23"/>
      <c r="AY795" s="62"/>
      <c r="AZ795" s="44"/>
      <c r="BA795" s="62"/>
      <c r="BB795" s="62"/>
      <c r="BC795" s="62"/>
      <c r="BD795" s="44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</row>
    <row r="796" spans="44:74" x14ac:dyDescent="0.3">
      <c r="AR796" s="23"/>
      <c r="AY796" s="62"/>
      <c r="BA796" s="62"/>
    </row>
    <row r="797" spans="44:74" x14ac:dyDescent="0.3">
      <c r="AX797" s="22"/>
      <c r="AY797" s="62"/>
      <c r="BA797" s="62"/>
      <c r="BN797" s="62"/>
      <c r="BO797" s="62"/>
      <c r="BP797" s="62"/>
      <c r="BQ797" s="62"/>
      <c r="BR797" s="62"/>
      <c r="BS797" s="62"/>
      <c r="BT797" s="62"/>
      <c r="BU797" s="62"/>
    </row>
    <row r="798" spans="44:74" x14ac:dyDescent="0.3">
      <c r="AX798" s="62"/>
      <c r="AY798" s="62"/>
      <c r="BA798" s="62"/>
      <c r="BN798" s="62"/>
      <c r="BO798" s="62"/>
      <c r="BP798" s="62"/>
      <c r="BQ798" s="62"/>
      <c r="BR798" s="62"/>
      <c r="BS798" s="62"/>
      <c r="BT798" s="62"/>
      <c r="BU798" s="62"/>
    </row>
    <row r="799" spans="44:74" x14ac:dyDescent="0.3">
      <c r="AX799" s="23"/>
      <c r="AY799" s="62"/>
      <c r="BA799" s="62"/>
      <c r="BN799" s="62"/>
      <c r="BO799" s="62"/>
      <c r="BP799" s="62"/>
      <c r="BQ799" s="62"/>
      <c r="BR799" s="62"/>
      <c r="BS799" s="62"/>
      <c r="BT799" s="62"/>
      <c r="BU799" s="62"/>
    </row>
    <row r="800" spans="44:74" x14ac:dyDescent="0.3">
      <c r="AX800" s="23"/>
      <c r="AY800" s="62"/>
      <c r="BA800" s="62"/>
      <c r="BN800" s="62"/>
      <c r="BO800" s="62"/>
      <c r="BP800" s="62"/>
      <c r="BQ800" s="62"/>
      <c r="BR800" s="62"/>
      <c r="BS800" s="62"/>
      <c r="BT800" s="62"/>
      <c r="BU800" s="62"/>
    </row>
    <row r="801" spans="44:73" x14ac:dyDescent="0.3">
      <c r="AR801" s="22"/>
      <c r="AY801" s="62"/>
      <c r="BA801" s="62"/>
      <c r="BC801" s="23"/>
      <c r="BN801" s="62"/>
      <c r="BO801" s="62"/>
      <c r="BP801" s="62"/>
      <c r="BQ801" s="62"/>
      <c r="BR801" s="62"/>
      <c r="BS801" s="62"/>
      <c r="BT801" s="62"/>
      <c r="BU801" s="62"/>
    </row>
    <row r="802" spans="44:73" x14ac:dyDescent="0.3">
      <c r="AR802" s="22"/>
      <c r="AY802" s="62"/>
      <c r="BA802" s="62"/>
      <c r="BC802" s="23"/>
      <c r="BN802" s="62"/>
      <c r="BO802" s="62"/>
      <c r="BP802" s="62"/>
      <c r="BQ802" s="62"/>
      <c r="BR802" s="62"/>
      <c r="BS802" s="62"/>
      <c r="BT802" s="62"/>
      <c r="BU802" s="62"/>
    </row>
    <row r="803" spans="44:73" x14ac:dyDescent="0.3">
      <c r="AR803" s="23"/>
      <c r="AY803" s="62"/>
      <c r="BA803" s="62"/>
      <c r="BC803" s="23"/>
      <c r="BN803" s="62"/>
      <c r="BO803" s="62"/>
      <c r="BP803" s="62"/>
      <c r="BQ803" s="62"/>
      <c r="BR803" s="62"/>
      <c r="BS803" s="62"/>
      <c r="BT803" s="62"/>
      <c r="BU803" s="62"/>
    </row>
    <row r="804" spans="44:73" x14ac:dyDescent="0.3">
      <c r="AY804" s="62"/>
      <c r="BA804" s="62"/>
      <c r="BC804" s="22"/>
      <c r="BN804" s="62"/>
      <c r="BO804" s="62"/>
      <c r="BP804" s="62"/>
      <c r="BQ804" s="62"/>
      <c r="BR804" s="62"/>
      <c r="BS804" s="62"/>
      <c r="BT804" s="62"/>
      <c r="BU804" s="62"/>
    </row>
    <row r="805" spans="44:73" x14ac:dyDescent="0.3">
      <c r="AR805" s="29"/>
      <c r="AS805" s="29"/>
      <c r="AT805" s="29"/>
      <c r="AU805" s="29"/>
      <c r="AV805" s="29"/>
      <c r="AW805" s="29"/>
      <c r="AX805" s="29"/>
      <c r="AY805" s="63"/>
      <c r="AZ805" s="29"/>
      <c r="BA805" s="63"/>
      <c r="BB805" s="29"/>
      <c r="BC805" s="29"/>
      <c r="BD805" s="29"/>
      <c r="BN805" s="62"/>
      <c r="BO805" s="62"/>
      <c r="BP805" s="62"/>
      <c r="BQ805" s="62"/>
      <c r="BR805" s="62"/>
      <c r="BS805" s="62"/>
      <c r="BT805" s="62"/>
      <c r="BU805" s="62"/>
    </row>
    <row r="806" spans="44:73" x14ac:dyDescent="0.3">
      <c r="AW806" s="23"/>
      <c r="AY806" s="62"/>
      <c r="BA806" s="62"/>
      <c r="BN806" s="62"/>
      <c r="BO806" s="62"/>
      <c r="BP806" s="62"/>
      <c r="BQ806" s="62"/>
      <c r="BR806" s="62"/>
      <c r="BS806" s="62"/>
      <c r="BT806" s="62"/>
      <c r="BU806" s="62"/>
    </row>
    <row r="807" spans="44:73" x14ac:dyDescent="0.3">
      <c r="AW807" s="29"/>
      <c r="AX807" s="29"/>
      <c r="AY807" s="63"/>
      <c r="AZ807" s="29"/>
      <c r="BA807" s="62"/>
      <c r="BB807" s="30"/>
      <c r="BC807" s="30"/>
      <c r="BN807" s="62"/>
      <c r="BO807" s="62"/>
      <c r="BP807" s="62"/>
      <c r="BQ807" s="62"/>
      <c r="BR807" s="62"/>
      <c r="BS807" s="62"/>
      <c r="BT807" s="62"/>
      <c r="BU807" s="62"/>
    </row>
    <row r="808" spans="44:73" x14ac:dyDescent="0.3">
      <c r="AU808" s="30"/>
      <c r="AV808" s="30"/>
      <c r="AY808" s="64"/>
      <c r="AZ808" s="30"/>
      <c r="BA808" s="62"/>
      <c r="BB808" s="30"/>
      <c r="BC808" s="30"/>
      <c r="BD808" s="30"/>
      <c r="BF808" s="29"/>
      <c r="BG808" s="23"/>
      <c r="BJ808" s="29"/>
      <c r="BL808" s="29"/>
      <c r="BM808" s="23"/>
      <c r="BP808" s="29"/>
    </row>
    <row r="809" spans="44:73" x14ac:dyDescent="0.3">
      <c r="AU809" s="30"/>
      <c r="AV809" s="30"/>
      <c r="AW809" s="30"/>
      <c r="AX809" s="30"/>
      <c r="AY809" s="64"/>
      <c r="AZ809" s="30"/>
      <c r="BA809" s="64"/>
      <c r="BB809" s="30"/>
      <c r="BC809" s="30"/>
      <c r="BD809" s="30"/>
      <c r="BG809" s="30"/>
      <c r="BH809" s="30"/>
      <c r="BM809" s="30"/>
      <c r="BN809" s="30"/>
    </row>
    <row r="810" spans="44:73" x14ac:dyDescent="0.3">
      <c r="AR810" s="30"/>
      <c r="AT810" s="23"/>
      <c r="AU810" s="30"/>
      <c r="AV810" s="30"/>
      <c r="AW810" s="30"/>
      <c r="AX810" s="30"/>
      <c r="AY810" s="64"/>
      <c r="AZ810" s="30"/>
      <c r="BA810" s="64"/>
      <c r="BB810" s="30"/>
      <c r="BC810" s="30"/>
      <c r="BD810" s="30"/>
      <c r="BF810" s="30"/>
      <c r="BG810" s="30"/>
      <c r="BH810" s="30"/>
      <c r="BI810" s="30"/>
      <c r="BJ810" s="30"/>
      <c r="BL810" s="30"/>
      <c r="BM810" s="30"/>
      <c r="BN810" s="30"/>
      <c r="BO810" s="30"/>
      <c r="BP810" s="30"/>
    </row>
    <row r="811" spans="44:73" x14ac:dyDescent="0.3">
      <c r="AR811" s="30"/>
      <c r="AT811" s="23"/>
      <c r="AU811" s="30"/>
      <c r="AV811" s="30"/>
      <c r="AW811" s="30"/>
      <c r="AX811" s="30"/>
      <c r="AY811" s="64"/>
      <c r="AZ811" s="30"/>
      <c r="BA811" s="64"/>
      <c r="BB811" s="30"/>
      <c r="BC811" s="30"/>
      <c r="BD811" s="30"/>
      <c r="BF811" s="30"/>
      <c r="BG811" s="30"/>
      <c r="BH811" s="30"/>
      <c r="BI811" s="30"/>
      <c r="BJ811" s="30"/>
      <c r="BL811" s="30"/>
      <c r="BM811" s="30"/>
      <c r="BN811" s="30"/>
      <c r="BO811" s="30"/>
      <c r="BP811" s="30"/>
    </row>
    <row r="812" spans="44:73" x14ac:dyDescent="0.3">
      <c r="AR812" s="29"/>
      <c r="AS812" s="29"/>
      <c r="AT812" s="29"/>
      <c r="AU812" s="29"/>
      <c r="AV812" s="29"/>
      <c r="AW812" s="29"/>
      <c r="AX812" s="29"/>
      <c r="AY812" s="63"/>
      <c r="AZ812" s="29"/>
      <c r="BA812" s="63"/>
      <c r="BB812" s="29"/>
      <c r="BC812" s="29"/>
      <c r="BD812" s="29"/>
      <c r="BF812" s="29"/>
      <c r="BG812" s="29"/>
      <c r="BH812" s="29"/>
      <c r="BI812" s="29"/>
      <c r="BJ812" s="29"/>
      <c r="BL812" s="29"/>
      <c r="BM812" s="29"/>
      <c r="BN812" s="29"/>
      <c r="BO812" s="29"/>
      <c r="BP812" s="29"/>
    </row>
    <row r="813" spans="44:73" x14ac:dyDescent="0.3">
      <c r="AU813" s="30"/>
      <c r="AV813" s="30"/>
      <c r="AW813" s="30"/>
      <c r="AX813" s="30"/>
      <c r="AY813" s="64"/>
      <c r="AZ813" s="30"/>
      <c r="BA813" s="64"/>
      <c r="BB813" s="30"/>
      <c r="BC813" s="30"/>
      <c r="BD813" s="30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</row>
    <row r="814" spans="44:73" x14ac:dyDescent="0.3">
      <c r="AR814" s="22"/>
      <c r="AS814" s="23"/>
      <c r="AU814" s="3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</row>
    <row r="815" spans="44:73" x14ac:dyDescent="0.3">
      <c r="AR815" s="22"/>
      <c r="AU815" s="3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</row>
    <row r="816" spans="44:73" x14ac:dyDescent="0.3">
      <c r="AR816" s="22"/>
      <c r="AU816" s="3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</row>
    <row r="817" spans="44:70" x14ac:dyDescent="0.3">
      <c r="AR817" s="22"/>
      <c r="AU817" s="3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</row>
    <row r="818" spans="44:70" x14ac:dyDescent="0.3">
      <c r="AR818" s="22"/>
      <c r="AU818" s="3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</row>
    <row r="819" spans="44:70" x14ac:dyDescent="0.3">
      <c r="AR819" s="22"/>
      <c r="AU819" s="3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</row>
    <row r="820" spans="44:70" x14ac:dyDescent="0.3">
      <c r="AR820" s="22"/>
      <c r="AU820" s="3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</row>
    <row r="821" spans="44:70" x14ac:dyDescent="0.3">
      <c r="AR821" s="22"/>
      <c r="AU821" s="3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</row>
    <row r="822" spans="44:70" x14ac:dyDescent="0.3">
      <c r="AR822" s="22"/>
      <c r="AU822" s="3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</row>
    <row r="823" spans="44:70" x14ac:dyDescent="0.3">
      <c r="AR823" s="22"/>
      <c r="AU823" s="3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</row>
    <row r="824" spans="44:70" x14ac:dyDescent="0.3">
      <c r="AR824" s="22"/>
      <c r="AU824" s="3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</row>
    <row r="825" spans="44:70" x14ac:dyDescent="0.3">
      <c r="AR825" s="22"/>
      <c r="AU825" s="3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</row>
    <row r="826" spans="44:70" x14ac:dyDescent="0.3">
      <c r="AR826" s="22"/>
      <c r="AU826" s="3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</row>
    <row r="827" spans="44:70" x14ac:dyDescent="0.3">
      <c r="AR827" s="22"/>
      <c r="AU827" s="3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</row>
    <row r="828" spans="44:70" x14ac:dyDescent="0.3">
      <c r="AR828" s="22"/>
      <c r="AU828" s="3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</row>
    <row r="829" spans="44:70" x14ac:dyDescent="0.3">
      <c r="AR829" s="22"/>
      <c r="AU829" s="3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</row>
    <row r="830" spans="44:70" x14ac:dyDescent="0.3">
      <c r="AR830" s="22"/>
      <c r="AU830" s="32"/>
      <c r="AV830" s="32"/>
      <c r="AW830" s="62"/>
      <c r="AX830" s="62"/>
      <c r="AY830" s="62"/>
      <c r="AZ830" s="44"/>
      <c r="BA830" s="62"/>
      <c r="BB830" s="62"/>
      <c r="BC830" s="62"/>
      <c r="BD830" s="44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</row>
    <row r="831" spans="44:70" x14ac:dyDescent="0.3">
      <c r="AR831" s="22"/>
      <c r="AU831" s="32"/>
      <c r="AV831" s="32"/>
      <c r="AW831" s="62"/>
      <c r="AX831" s="62"/>
      <c r="AY831" s="62"/>
      <c r="AZ831" s="44"/>
      <c r="BA831" s="62"/>
      <c r="BB831" s="62"/>
      <c r="BC831" s="62"/>
      <c r="BD831" s="44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</row>
    <row r="832" spans="44:70" x14ac:dyDescent="0.3">
      <c r="AY832" s="62"/>
      <c r="BA832" s="62"/>
      <c r="BB832" s="62"/>
      <c r="BC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</row>
    <row r="833" spans="44:56" x14ac:dyDescent="0.3">
      <c r="AR833" s="22"/>
      <c r="AS833" s="23"/>
      <c r="AU833" s="32"/>
      <c r="AV833" s="32"/>
      <c r="AW833" s="62"/>
      <c r="AX833" s="62"/>
      <c r="AY833" s="62"/>
      <c r="AZ833" s="44"/>
      <c r="BA833" s="62"/>
      <c r="BB833" s="62"/>
      <c r="BC833" s="62"/>
      <c r="BD833" s="44"/>
    </row>
    <row r="834" spans="44:56" x14ac:dyDescent="0.3">
      <c r="AR834" s="22"/>
      <c r="AU834" s="32"/>
      <c r="AV834" s="32"/>
      <c r="AW834" s="62"/>
      <c r="AX834" s="62"/>
      <c r="AY834" s="62"/>
      <c r="AZ834" s="44"/>
      <c r="BA834" s="62"/>
      <c r="BB834" s="62"/>
      <c r="BC834" s="62"/>
      <c r="BD834" s="44"/>
    </row>
    <row r="835" spans="44:56" x14ac:dyDescent="0.3">
      <c r="AR835" s="22"/>
      <c r="AU835" s="32"/>
      <c r="AV835" s="32"/>
      <c r="AW835" s="62"/>
      <c r="AX835" s="62"/>
      <c r="AY835" s="62"/>
      <c r="AZ835" s="44"/>
      <c r="BA835" s="62"/>
      <c r="BB835" s="62"/>
      <c r="BC835" s="62"/>
      <c r="BD835" s="44"/>
    </row>
    <row r="836" spans="44:56" x14ac:dyDescent="0.3">
      <c r="AR836" s="22"/>
      <c r="AU836" s="32"/>
      <c r="AV836" s="32"/>
      <c r="AW836" s="62"/>
      <c r="AX836" s="62"/>
      <c r="AY836" s="62"/>
      <c r="AZ836" s="44"/>
      <c r="BA836" s="62"/>
      <c r="BB836" s="62"/>
      <c r="BC836" s="62"/>
      <c r="BD836" s="44"/>
    </row>
    <row r="837" spans="44:56" x14ac:dyDescent="0.3">
      <c r="AR837" s="22"/>
      <c r="AU837" s="32"/>
      <c r="AV837" s="32"/>
      <c r="AW837" s="62"/>
      <c r="AX837" s="62"/>
      <c r="AY837" s="62"/>
      <c r="AZ837" s="44"/>
      <c r="BA837" s="62"/>
      <c r="BB837" s="62"/>
      <c r="BC837" s="62"/>
      <c r="BD837" s="44"/>
    </row>
    <row r="838" spans="44:56" x14ac:dyDescent="0.3">
      <c r="AR838" s="22"/>
      <c r="AU838" s="32"/>
      <c r="AV838" s="32"/>
      <c r="AW838" s="62"/>
      <c r="AX838" s="62"/>
      <c r="AY838" s="62"/>
      <c r="AZ838" s="44"/>
      <c r="BA838" s="62"/>
      <c r="BB838" s="62"/>
      <c r="BC838" s="62"/>
      <c r="BD838" s="44"/>
    </row>
    <row r="839" spans="44:56" x14ac:dyDescent="0.3">
      <c r="AR839" s="22"/>
      <c r="AU839" s="32"/>
      <c r="AV839" s="32"/>
      <c r="AW839" s="62"/>
      <c r="AX839" s="62"/>
      <c r="AY839" s="62"/>
      <c r="AZ839" s="44"/>
      <c r="BA839" s="62"/>
      <c r="BB839" s="62"/>
      <c r="BC839" s="62"/>
      <c r="BD839" s="44"/>
    </row>
    <row r="840" spans="44:56" x14ac:dyDescent="0.3">
      <c r="AR840" s="22"/>
      <c r="AU840" s="32"/>
      <c r="AV840" s="32"/>
      <c r="AW840" s="62"/>
      <c r="AX840" s="62"/>
      <c r="AY840" s="62"/>
      <c r="AZ840" s="44"/>
      <c r="BA840" s="62"/>
      <c r="BB840" s="62"/>
      <c r="BC840" s="62"/>
      <c r="BD840" s="44"/>
    </row>
    <row r="841" spans="44:56" x14ac:dyDescent="0.3">
      <c r="AR841" s="22"/>
      <c r="AU841" s="32"/>
      <c r="AV841" s="32"/>
      <c r="AW841" s="62"/>
      <c r="AX841" s="62"/>
      <c r="AY841" s="62"/>
      <c r="AZ841" s="44"/>
      <c r="BA841" s="62"/>
      <c r="BB841" s="62"/>
      <c r="BC841" s="62"/>
      <c r="BD841" s="44"/>
    </row>
    <row r="842" spans="44:56" x14ac:dyDescent="0.3">
      <c r="AR842" s="22"/>
      <c r="AU842" s="32"/>
      <c r="AV842" s="32"/>
      <c r="AW842" s="62"/>
      <c r="AX842" s="62"/>
      <c r="AY842" s="62"/>
      <c r="AZ842" s="44"/>
      <c r="BA842" s="62"/>
      <c r="BB842" s="62"/>
      <c r="BC842" s="62"/>
      <c r="BD842" s="44"/>
    </row>
    <row r="843" spans="44:56" x14ac:dyDescent="0.3">
      <c r="AR843" s="22"/>
      <c r="AU843" s="32"/>
      <c r="AV843" s="32"/>
      <c r="AW843" s="62"/>
      <c r="AX843" s="62"/>
      <c r="AY843" s="62"/>
      <c r="AZ843" s="44"/>
      <c r="BA843" s="62"/>
      <c r="BB843" s="62"/>
      <c r="BC843" s="62"/>
      <c r="BD843" s="44"/>
    </row>
    <row r="844" spans="44:56" x14ac:dyDescent="0.3">
      <c r="AR844" s="22"/>
      <c r="AU844" s="32"/>
      <c r="AV844" s="32"/>
      <c r="AW844" s="62"/>
      <c r="AX844" s="62"/>
      <c r="AY844" s="62"/>
      <c r="AZ844" s="44"/>
      <c r="BA844" s="62"/>
      <c r="BB844" s="62"/>
      <c r="BC844" s="62"/>
      <c r="BD844" s="44"/>
    </row>
    <row r="845" spans="44:56" x14ac:dyDescent="0.3">
      <c r="AR845" s="22"/>
      <c r="AU845" s="32"/>
      <c r="AV845" s="32"/>
      <c r="AW845" s="62"/>
      <c r="AX845" s="62"/>
      <c r="AY845" s="62"/>
      <c r="AZ845" s="44"/>
      <c r="BA845" s="62"/>
      <c r="BB845" s="62"/>
      <c r="BC845" s="62"/>
      <c r="BD845" s="44"/>
    </row>
    <row r="846" spans="44:56" x14ac:dyDescent="0.3">
      <c r="AR846" s="22"/>
      <c r="AU846" s="32"/>
      <c r="AV846" s="32"/>
      <c r="AW846" s="62"/>
      <c r="AX846" s="62"/>
      <c r="AY846" s="62"/>
      <c r="AZ846" s="44"/>
      <c r="BA846" s="62"/>
      <c r="BB846" s="62"/>
      <c r="BC846" s="62"/>
      <c r="BD846" s="44"/>
    </row>
    <row r="847" spans="44:56" x14ac:dyDescent="0.3">
      <c r="AR847" s="22"/>
      <c r="AU847" s="32"/>
      <c r="AV847" s="32"/>
      <c r="AW847" s="62"/>
      <c r="AX847" s="62"/>
      <c r="AY847" s="62"/>
      <c r="AZ847" s="44"/>
      <c r="BA847" s="62"/>
      <c r="BB847" s="62"/>
      <c r="BC847" s="62"/>
      <c r="BD847" s="44"/>
    </row>
    <row r="848" spans="44:56" x14ac:dyDescent="0.3">
      <c r="AR848" s="22"/>
      <c r="AU848" s="32"/>
      <c r="AV848" s="32"/>
      <c r="AW848" s="62"/>
      <c r="AX848" s="62"/>
      <c r="AY848" s="62"/>
      <c r="AZ848" s="44"/>
      <c r="BA848" s="62"/>
      <c r="BB848" s="62"/>
      <c r="BC848" s="62"/>
      <c r="BD848" s="44"/>
    </row>
    <row r="849" spans="44:56" x14ac:dyDescent="0.3">
      <c r="AR849" s="22"/>
      <c r="AU849" s="32"/>
      <c r="AV849" s="32"/>
      <c r="AW849" s="62"/>
      <c r="AX849" s="62"/>
      <c r="AY849" s="62"/>
      <c r="AZ849" s="44"/>
      <c r="BA849" s="62"/>
      <c r="BB849" s="62"/>
      <c r="BC849" s="62"/>
      <c r="BD849" s="44"/>
    </row>
    <row r="850" spans="44:56" x14ac:dyDescent="0.3">
      <c r="AR850" s="22"/>
      <c r="AU850" s="32"/>
      <c r="AV850" s="32"/>
      <c r="AW850" s="62"/>
      <c r="AX850" s="62"/>
      <c r="AY850" s="62"/>
      <c r="AZ850" s="44"/>
      <c r="BA850" s="62"/>
      <c r="BB850" s="62"/>
      <c r="BC850" s="62"/>
      <c r="BD850" s="44"/>
    </row>
    <row r="851" spans="44:56" x14ac:dyDescent="0.3">
      <c r="BA851" s="62"/>
    </row>
    <row r="852" spans="44:56" x14ac:dyDescent="0.3">
      <c r="AT852" s="23"/>
      <c r="BA852" s="62"/>
    </row>
    <row r="853" spans="44:56" x14ac:dyDescent="0.3">
      <c r="AT853" s="23"/>
    </row>
    <row r="854" spans="44:56" x14ac:dyDescent="0.3">
      <c r="AT854" s="23"/>
      <c r="BA854" s="62"/>
    </row>
    <row r="855" spans="44:56" x14ac:dyDescent="0.3">
      <c r="AR855" s="23"/>
      <c r="AY855" s="62"/>
      <c r="BA855" s="62"/>
    </row>
    <row r="856" spans="44:56" x14ac:dyDescent="0.3">
      <c r="AX856" s="22"/>
      <c r="AY856" s="62"/>
      <c r="BA856" s="62"/>
    </row>
    <row r="857" spans="44:56" x14ac:dyDescent="0.3">
      <c r="AX857" s="62"/>
      <c r="AY857" s="62"/>
      <c r="BA857" s="62"/>
    </row>
    <row r="858" spans="44:56" x14ac:dyDescent="0.3">
      <c r="AX858" s="23"/>
      <c r="AY858" s="62"/>
      <c r="BA858" s="62"/>
    </row>
    <row r="859" spans="44:56" x14ac:dyDescent="0.3">
      <c r="AX859" s="23"/>
      <c r="AY859" s="62"/>
      <c r="BA859" s="62"/>
    </row>
    <row r="860" spans="44:56" x14ac:dyDescent="0.3">
      <c r="AR860" s="22"/>
      <c r="AY860" s="62"/>
      <c r="BA860" s="62"/>
      <c r="BC860" s="23"/>
    </row>
    <row r="861" spans="44:56" x14ac:dyDescent="0.3">
      <c r="AR861" s="22"/>
      <c r="AY861" s="62"/>
      <c r="BA861" s="62"/>
      <c r="BC861" s="23"/>
    </row>
    <row r="862" spans="44:56" x14ac:dyDescent="0.3">
      <c r="AR862" s="23"/>
      <c r="AY862" s="62"/>
      <c r="BA862" s="62"/>
      <c r="BC862" s="23"/>
    </row>
    <row r="863" spans="44:56" x14ac:dyDescent="0.3">
      <c r="AY863" s="62"/>
      <c r="BA863" s="62"/>
      <c r="BC863" s="22"/>
    </row>
    <row r="864" spans="44:56" x14ac:dyDescent="0.3">
      <c r="AR864" s="29"/>
      <c r="AS864" s="29"/>
      <c r="AT864" s="29"/>
      <c r="AU864" s="29"/>
      <c r="AV864" s="29"/>
      <c r="AW864" s="29"/>
      <c r="AX864" s="29"/>
      <c r="AY864" s="63"/>
      <c r="AZ864" s="29"/>
      <c r="BA864" s="63"/>
      <c r="BB864" s="29"/>
      <c r="BC864" s="29"/>
      <c r="BD864" s="29"/>
    </row>
    <row r="865" spans="44:56" x14ac:dyDescent="0.3">
      <c r="AW865" s="23"/>
      <c r="AY865" s="62"/>
      <c r="BA865" s="62"/>
    </row>
    <row r="866" spans="44:56" x14ac:dyDescent="0.3">
      <c r="AW866" s="29"/>
      <c r="AX866" s="29"/>
      <c r="AY866" s="63"/>
      <c r="AZ866" s="29"/>
      <c r="BA866" s="62"/>
      <c r="BB866" s="30"/>
      <c r="BC866" s="30"/>
    </row>
    <row r="867" spans="44:56" x14ac:dyDescent="0.3">
      <c r="AU867" s="30"/>
      <c r="AV867" s="30"/>
      <c r="AY867" s="64"/>
      <c r="AZ867" s="30"/>
      <c r="BA867" s="62"/>
      <c r="BB867" s="30"/>
      <c r="BC867" s="30"/>
      <c r="BD867" s="30"/>
    </row>
    <row r="868" spans="44:56" x14ac:dyDescent="0.3">
      <c r="AU868" s="30"/>
      <c r="AV868" s="30"/>
      <c r="AW868" s="30"/>
      <c r="AX868" s="30"/>
      <c r="AY868" s="64"/>
      <c r="AZ868" s="30"/>
      <c r="BA868" s="64"/>
      <c r="BB868" s="30"/>
      <c r="BC868" s="30"/>
      <c r="BD868" s="30"/>
    </row>
    <row r="869" spans="44:56" x14ac:dyDescent="0.3">
      <c r="AR869" s="30"/>
      <c r="AT869" s="23"/>
      <c r="AU869" s="30"/>
      <c r="AV869" s="30"/>
      <c r="AW869" s="30"/>
      <c r="AX869" s="30"/>
      <c r="AY869" s="64"/>
      <c r="AZ869" s="30"/>
      <c r="BA869" s="64"/>
      <c r="BB869" s="30"/>
      <c r="BC869" s="30"/>
      <c r="BD869" s="30"/>
    </row>
    <row r="870" spans="44:56" x14ac:dyDescent="0.3">
      <c r="AR870" s="30"/>
      <c r="AT870" s="23"/>
      <c r="AU870" s="30"/>
      <c r="AV870" s="30"/>
      <c r="AW870" s="30"/>
      <c r="AX870" s="30"/>
      <c r="AY870" s="64"/>
      <c r="AZ870" s="30"/>
      <c r="BA870" s="64"/>
      <c r="BB870" s="30"/>
      <c r="BC870" s="30"/>
      <c r="BD870" s="30"/>
    </row>
    <row r="871" spans="44:56" x14ac:dyDescent="0.3">
      <c r="AR871" s="29"/>
      <c r="AS871" s="29"/>
      <c r="AT871" s="29"/>
      <c r="AU871" s="29"/>
      <c r="AV871" s="29"/>
      <c r="AW871" s="29"/>
      <c r="AX871" s="29"/>
      <c r="AY871" s="63"/>
      <c r="AZ871" s="29"/>
      <c r="BA871" s="63"/>
      <c r="BB871" s="29"/>
      <c r="BC871" s="29"/>
      <c r="BD871" s="29"/>
    </row>
    <row r="872" spans="44:56" x14ac:dyDescent="0.3">
      <c r="AU872" s="30"/>
      <c r="AV872" s="30"/>
      <c r="AW872" s="30"/>
      <c r="AX872" s="30"/>
      <c r="AY872" s="64"/>
      <c r="AZ872" s="30"/>
      <c r="BA872" s="64"/>
      <c r="BB872" s="30"/>
      <c r="BC872" s="30"/>
      <c r="BD872" s="30"/>
    </row>
    <row r="873" spans="44:56" x14ac:dyDescent="0.3">
      <c r="AR873" s="22"/>
      <c r="AS873" s="23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</row>
    <row r="874" spans="44:56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</row>
    <row r="875" spans="44:56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56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56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</row>
    <row r="878" spans="44:56" x14ac:dyDescent="0.3">
      <c r="AR878" s="22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56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56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U883" s="32"/>
      <c r="AV883" s="32"/>
      <c r="BA883" s="62"/>
    </row>
    <row r="884" spans="44:56" x14ac:dyDescent="0.3">
      <c r="AR884" s="22"/>
      <c r="AS884" s="23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AR893" s="22"/>
      <c r="AU893" s="32"/>
      <c r="AV893" s="32"/>
      <c r="AW893" s="62"/>
      <c r="AX893" s="62"/>
      <c r="AY893" s="62"/>
      <c r="AZ893" s="44"/>
      <c r="BA893" s="62"/>
      <c r="BB893" s="62"/>
      <c r="BC893" s="62"/>
      <c r="BD893" s="44"/>
    </row>
    <row r="895" spans="44:56" x14ac:dyDescent="0.3">
      <c r="AT895" s="23"/>
    </row>
    <row r="896" spans="44:56" x14ac:dyDescent="0.3">
      <c r="AT896" s="23"/>
    </row>
    <row r="897" spans="44:46" x14ac:dyDescent="0.3">
      <c r="AT897" s="23"/>
    </row>
    <row r="898" spans="44:46" x14ac:dyDescent="0.3">
      <c r="AR898" s="23"/>
    </row>
    <row r="919" spans="51:70" x14ac:dyDescent="0.3">
      <c r="AY919" s="62"/>
      <c r="BA919" s="62"/>
      <c r="BB919" s="62"/>
      <c r="BC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</row>
    <row r="920" spans="51:70" x14ac:dyDescent="0.3">
      <c r="AY920" s="62"/>
      <c r="BA920" s="62"/>
      <c r="BB920" s="62"/>
      <c r="BC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</row>
    <row r="921" spans="51:70" x14ac:dyDescent="0.3">
      <c r="AY921" s="62"/>
      <c r="BA921" s="62"/>
      <c r="BB921" s="62"/>
      <c r="BC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</row>
    <row r="922" spans="51:70" x14ac:dyDescent="0.3">
      <c r="AY922" s="62"/>
      <c r="BA922" s="62"/>
      <c r="BB922" s="62"/>
      <c r="BC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</row>
    <row r="923" spans="51:70" x14ac:dyDescent="0.3">
      <c r="AY923" s="62"/>
      <c r="BA923" s="62"/>
      <c r="BB923" s="62"/>
      <c r="BC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</row>
    <row r="924" spans="51:70" x14ac:dyDescent="0.3">
      <c r="AY924" s="62"/>
      <c r="BA924" s="62"/>
      <c r="BB924" s="62"/>
      <c r="BC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</row>
    <row r="925" spans="51:70" x14ac:dyDescent="0.3">
      <c r="AY925" s="62"/>
      <c r="BA925" s="62"/>
      <c r="BB925" s="62"/>
      <c r="BC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</row>
    <row r="926" spans="51:70" x14ac:dyDescent="0.3">
      <c r="AY926" s="62"/>
      <c r="BA926" s="62"/>
      <c r="BB926" s="62"/>
      <c r="BC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</row>
    <row r="927" spans="51:70" x14ac:dyDescent="0.3">
      <c r="AY927" s="62"/>
      <c r="BA927" s="62"/>
      <c r="BB927" s="62"/>
      <c r="BC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</row>
    <row r="928" spans="51:70" x14ac:dyDescent="0.3">
      <c r="AY928" s="62"/>
      <c r="BA928" s="62"/>
      <c r="BB928" s="62"/>
      <c r="BC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</row>
    <row r="929" spans="51:70" x14ac:dyDescent="0.3">
      <c r="AY929" s="62"/>
      <c r="BA929" s="62"/>
      <c r="BB929" s="62"/>
      <c r="BC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</row>
    <row r="930" spans="51:70" x14ac:dyDescent="0.3">
      <c r="AY930" s="62"/>
      <c r="BA930" s="62"/>
      <c r="BB930" s="62"/>
      <c r="BC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</row>
    <row r="931" spans="51:70" x14ac:dyDescent="0.3">
      <c r="AY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</row>
    <row r="932" spans="51:70" x14ac:dyDescent="0.3">
      <c r="AY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</row>
    <row r="933" spans="51:70" x14ac:dyDescent="0.3">
      <c r="AY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</row>
    <row r="934" spans="51:70" x14ac:dyDescent="0.3">
      <c r="AY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</row>
    <row r="935" spans="51:70" x14ac:dyDescent="0.3">
      <c r="AY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</row>
    <row r="936" spans="51:70" x14ac:dyDescent="0.3">
      <c r="AY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</row>
    <row r="937" spans="51:70" x14ac:dyDescent="0.3">
      <c r="AY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</row>
    <row r="938" spans="51:70" x14ac:dyDescent="0.3">
      <c r="AY938" s="62"/>
    </row>
    <row r="939" spans="51:70" x14ac:dyDescent="0.3">
      <c r="AY939" s="62"/>
    </row>
    <row r="953" spans="1:29" x14ac:dyDescent="0.3">
      <c r="A953" s="23"/>
    </row>
    <row r="956" spans="1:29" x14ac:dyDescent="0.3">
      <c r="Z956" s="23"/>
    </row>
    <row r="957" spans="1:29" x14ac:dyDescent="0.3">
      <c r="A957" s="23"/>
      <c r="H957" s="23"/>
      <c r="I957" s="23"/>
    </row>
    <row r="958" spans="1:29" x14ac:dyDescent="0.3">
      <c r="A958" s="23"/>
      <c r="V958" s="30"/>
      <c r="AB958" s="30"/>
      <c r="AC958" s="30"/>
    </row>
    <row r="959" spans="1:29" x14ac:dyDescent="0.3">
      <c r="A959" s="23"/>
      <c r="V959" s="29"/>
      <c r="AB959" s="29"/>
      <c r="AC959" s="29"/>
    </row>
    <row r="960" spans="1:29" x14ac:dyDescent="0.3">
      <c r="A960" s="23"/>
      <c r="U960" s="23"/>
      <c r="AB960" s="30"/>
      <c r="AC960" s="30"/>
    </row>
    <row r="961" spans="1:29" x14ac:dyDescent="0.3">
      <c r="A961" s="23"/>
    </row>
    <row r="962" spans="1:29" x14ac:dyDescent="0.3">
      <c r="A962" s="23"/>
      <c r="U962" s="23"/>
      <c r="AB962" s="30"/>
      <c r="AC962" s="30"/>
    </row>
    <row r="963" spans="1:29" x14ac:dyDescent="0.3">
      <c r="A963" s="23"/>
    </row>
    <row r="964" spans="1:29" x14ac:dyDescent="0.3">
      <c r="A964" s="23"/>
      <c r="U964" s="23"/>
      <c r="V964" s="210"/>
      <c r="AB964" s="30"/>
      <c r="AC964" s="30"/>
    </row>
    <row r="965" spans="1:29" x14ac:dyDescent="0.3">
      <c r="A965" s="23"/>
    </row>
    <row r="966" spans="1:29" x14ac:dyDescent="0.3">
      <c r="A966" s="23"/>
      <c r="U966" s="23"/>
      <c r="AB966" s="30"/>
      <c r="AC966" s="30"/>
    </row>
    <row r="967" spans="1:29" x14ac:dyDescent="0.3">
      <c r="A967" s="23"/>
    </row>
    <row r="968" spans="1:29" x14ac:dyDescent="0.3">
      <c r="A968" s="23"/>
      <c r="U968" s="23"/>
      <c r="AB968" s="30"/>
      <c r="AC968" s="30"/>
    </row>
    <row r="969" spans="1:29" x14ac:dyDescent="0.3">
      <c r="A969" s="23"/>
    </row>
    <row r="970" spans="1:29" x14ac:dyDescent="0.3">
      <c r="A970" s="23"/>
    </row>
    <row r="971" spans="1:29" x14ac:dyDescent="0.3">
      <c r="A971" s="23"/>
    </row>
    <row r="972" spans="1:29" x14ac:dyDescent="0.3">
      <c r="A972" s="23"/>
    </row>
    <row r="973" spans="1:29" x14ac:dyDescent="0.3">
      <c r="A973" s="23"/>
    </row>
    <row r="974" spans="1:29" x14ac:dyDescent="0.3">
      <c r="A974" s="23"/>
    </row>
    <row r="975" spans="1:29" x14ac:dyDescent="0.3">
      <c r="A975" s="23"/>
    </row>
    <row r="976" spans="1:29" x14ac:dyDescent="0.3">
      <c r="A976" s="23"/>
    </row>
    <row r="977" spans="1:9" x14ac:dyDescent="0.3">
      <c r="A977" s="23"/>
    </row>
    <row r="978" spans="1:9" x14ac:dyDescent="0.3">
      <c r="A978" s="23"/>
    </row>
    <row r="979" spans="1:9" x14ac:dyDescent="0.3">
      <c r="A979" s="23"/>
      <c r="H979" s="23"/>
      <c r="I979" s="23"/>
    </row>
    <row r="982" spans="1:9" x14ac:dyDescent="0.3">
      <c r="A982" s="23"/>
    </row>
    <row r="985" spans="1:9" x14ac:dyDescent="0.3">
      <c r="A985" s="23"/>
    </row>
    <row r="988" spans="1:9" x14ac:dyDescent="0.3">
      <c r="A988" s="23"/>
    </row>
    <row r="989" spans="1:9" x14ac:dyDescent="0.3">
      <c r="A989" s="23"/>
    </row>
    <row r="990" spans="1:9" x14ac:dyDescent="0.3">
      <c r="A990" s="23"/>
    </row>
    <row r="991" spans="1:9" x14ac:dyDescent="0.3">
      <c r="A991" s="23"/>
    </row>
    <row r="992" spans="1:9" x14ac:dyDescent="0.3">
      <c r="A992" s="23"/>
    </row>
    <row r="993" spans="1:1" x14ac:dyDescent="0.3">
      <c r="A993" s="23"/>
    </row>
    <row r="994" spans="1:1" x14ac:dyDescent="0.3">
      <c r="A994" s="23"/>
    </row>
    <row r="995" spans="1:1" x14ac:dyDescent="0.3">
      <c r="A995" s="23"/>
    </row>
    <row r="996" spans="1:1" x14ac:dyDescent="0.3">
      <c r="A996" s="23"/>
    </row>
    <row r="997" spans="1:1" x14ac:dyDescent="0.3">
      <c r="A997" s="23"/>
    </row>
    <row r="998" spans="1:1" x14ac:dyDescent="0.3">
      <c r="A998" s="23"/>
    </row>
    <row r="999" spans="1:1" x14ac:dyDescent="0.3">
      <c r="A999" s="23"/>
    </row>
    <row r="1000" spans="1:1" x14ac:dyDescent="0.3">
      <c r="A1000" s="23"/>
    </row>
    <row r="1001" spans="1:1" x14ac:dyDescent="0.3">
      <c r="A1001" s="23"/>
    </row>
    <row r="1002" spans="1:1" x14ac:dyDescent="0.3">
      <c r="A1002" s="23"/>
    </row>
    <row r="1003" spans="1:1" x14ac:dyDescent="0.3">
      <c r="A1003" s="23"/>
    </row>
    <row r="1004" spans="1:1" x14ac:dyDescent="0.3">
      <c r="A1004" s="23"/>
    </row>
    <row r="1005" spans="1:1" x14ac:dyDescent="0.3">
      <c r="A1005" s="23"/>
    </row>
    <row r="1006" spans="1:1" x14ac:dyDescent="0.3">
      <c r="A1006" s="23"/>
    </row>
    <row r="1007" spans="1:1" x14ac:dyDescent="0.3">
      <c r="A1007" s="23"/>
    </row>
    <row r="1008" spans="1:1" x14ac:dyDescent="0.3">
      <c r="A1008" s="23"/>
    </row>
    <row r="1009" spans="1:1" x14ac:dyDescent="0.3">
      <c r="A1009" s="23"/>
    </row>
    <row r="1010" spans="1:1" x14ac:dyDescent="0.3">
      <c r="A1010" s="23"/>
    </row>
    <row r="1011" spans="1:1" x14ac:dyDescent="0.3">
      <c r="A1011" s="23"/>
    </row>
    <row r="1012" spans="1:1" x14ac:dyDescent="0.3">
      <c r="A1012" s="23"/>
    </row>
    <row r="1013" spans="1:1" x14ac:dyDescent="0.3">
      <c r="A1013" s="23"/>
    </row>
    <row r="1014" spans="1:1" x14ac:dyDescent="0.3">
      <c r="A1014" s="23"/>
    </row>
    <row r="1015" spans="1:1" x14ac:dyDescent="0.3">
      <c r="A1015" s="23"/>
    </row>
    <row r="1016" spans="1:1" x14ac:dyDescent="0.3">
      <c r="A1016" s="23"/>
    </row>
    <row r="1017" spans="1:1" x14ac:dyDescent="0.3">
      <c r="A1017" s="23"/>
    </row>
    <row r="1018" spans="1:1" x14ac:dyDescent="0.3">
      <c r="A1018" s="23"/>
    </row>
    <row r="1019" spans="1:1" x14ac:dyDescent="0.3">
      <c r="A1019" s="23"/>
    </row>
    <row r="1020" spans="1:1" x14ac:dyDescent="0.3">
      <c r="A1020" s="23"/>
    </row>
    <row r="1021" spans="1:1" x14ac:dyDescent="0.3">
      <c r="A1021" s="23"/>
    </row>
    <row r="1022" spans="1:1" x14ac:dyDescent="0.3">
      <c r="A1022" s="23"/>
    </row>
    <row r="1027" spans="1:1" x14ac:dyDescent="0.3">
      <c r="A1027" s="23"/>
    </row>
    <row r="1028" spans="1:1" x14ac:dyDescent="0.3">
      <c r="A1028" s="23"/>
    </row>
    <row r="1031" spans="1:1" x14ac:dyDescent="0.3">
      <c r="A1031" s="23"/>
    </row>
    <row r="1033" spans="1:1" x14ac:dyDescent="0.3">
      <c r="A1033" s="23"/>
    </row>
    <row r="1035" spans="1:1" x14ac:dyDescent="0.3">
      <c r="A1035" s="23"/>
    </row>
    <row r="1037" spans="1:1" x14ac:dyDescent="0.3">
      <c r="A1037" s="23"/>
    </row>
    <row r="1040" spans="1:1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</sheetData>
  <customSheetViews>
    <customSheetView guid="{B7519FF1-05A6-4A79-8E47-A233872313D4}" scale="75" fitToPage="1">
      <selection activeCell="H27" sqref="H27"/>
      <rowBreaks count="16" manualBreakCount="16">
        <brk id="124" max="65535" man="1"/>
        <brk id="167" max="65535" man="1"/>
        <brk id="209" max="65535" man="1"/>
        <brk id="248" max="65535" man="1"/>
        <brk id="304" max="65535" man="1"/>
        <brk id="350" max="65535" man="1"/>
        <brk id="432" max="65535" man="1"/>
        <brk id="470" max="65535" man="1"/>
        <brk id="507" max="65535" man="1"/>
        <brk id="555" max="65535" man="1"/>
        <brk id="616" max="65535" man="1"/>
        <brk id="675" max="65535" man="1"/>
        <brk id="782" max="65535" man="1"/>
        <brk id="829" max="65535" man="1"/>
        <brk id="888" max="65535" man="1"/>
        <brk id="931" max="65535" man="1"/>
      </rowBreaks>
      <colBreaks count="1" manualBreakCount="1">
        <brk id="43" max="1048575" man="1"/>
      </colBreaks>
      <pageMargins left="0.5" right="0.5" top="1" bottom="0" header="0" footer="0"/>
      <pageSetup scale="72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6" orientation="landscape" r:id="rId2"/>
  <headerFooter alignWithMargins="0">
    <oddHeader>&amp;R&amp;"Times New Roman,Bold"&amp;10KyPSC Case No. 2021-00190
STAFF-DR-01-049 Attachment 2
Page &amp;P of &amp;N</oddHeader>
  </headerFooter>
  <rowBreaks count="16" manualBreakCount="16">
    <brk id="124" max="65535" man="1"/>
    <brk id="167" max="65535" man="1"/>
    <brk id="209" max="65535" man="1"/>
    <brk id="248" max="65535" man="1"/>
    <brk id="304" max="65535" man="1"/>
    <brk id="350" max="65535" man="1"/>
    <brk id="432" max="65535" man="1"/>
    <brk id="470" max="65535" man="1"/>
    <brk id="507" max="65535" man="1"/>
    <brk id="555" max="65535" man="1"/>
    <brk id="616" max="65535" man="1"/>
    <brk id="675" max="65535" man="1"/>
    <brk id="782" max="65535" man="1"/>
    <brk id="829" max="65535" man="1"/>
    <brk id="888" max="65535" man="1"/>
    <brk id="931" max="65535" man="1"/>
  </rowBreaks>
  <colBreaks count="1" manualBreakCount="1">
    <brk id="43" max="1048575" man="1"/>
  </colBreaks>
  <ignoredErrors>
    <ignoredError sqref="J24:J27 AB69:AB72 F29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Kern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ADF6D-A891-423D-B771-E7B9982DF2E8}">
  <ds:schemaRefs>
    <ds:schemaRef ds:uri="cf0100b5-1501-4fd1-abc2-4edbffacf322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48392ff-e111-4ddb-bb98-e239aebbafc5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164FE2-4B6B-4748-B5DF-3E3A310D0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1CE14-E890-42A9-B3AB-B9726CF58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72</vt:i4>
      </vt:variant>
    </vt:vector>
  </HeadingPairs>
  <TitlesOfParts>
    <vt:vector size="88" baseType="lpstr">
      <vt:lpstr>INPUT</vt:lpstr>
      <vt:lpstr>PRINT</vt:lpstr>
      <vt:lpstr>SCH M</vt:lpstr>
      <vt:lpstr>SCH M-2.1</vt:lpstr>
      <vt:lpstr>SCH M-2.2</vt:lpstr>
      <vt:lpstr>SCH M-2.3</vt:lpstr>
      <vt:lpstr>Rate RS</vt:lpstr>
      <vt:lpstr>Rate GS COM</vt:lpstr>
      <vt:lpstr>Rate GS IND</vt:lpstr>
      <vt:lpstr>Rate GS OPA</vt:lpstr>
      <vt:lpstr>Rate FT-LG</vt:lpstr>
      <vt:lpstr>Rate IT</vt:lpstr>
      <vt:lpstr>SCH N</vt:lpstr>
      <vt:lpstr>Revenue Requirements</vt:lpstr>
      <vt:lpstr>Proposed Rates</vt:lpstr>
      <vt:lpstr>Avg Incr</vt:lpstr>
      <vt:lpstr>CASE</vt:lpstr>
      <vt:lpstr>COMPANY</vt:lpstr>
      <vt:lpstr>CUR_FTL_COM</vt:lpstr>
      <vt:lpstr>CUR_FTL_CUST</vt:lpstr>
      <vt:lpstr>CUR_FTL_GCAT</vt:lpstr>
      <vt:lpstr>CUR_GS</vt:lpstr>
      <vt:lpstr>CUR_GS_CUST</vt:lpstr>
      <vt:lpstr>CUR_GS_DSM</vt:lpstr>
      <vt:lpstr>CUR_INT_CHG</vt:lpstr>
      <vt:lpstr>CUR_IT_COM</vt:lpstr>
      <vt:lpstr>CUR_IT_CUST</vt:lpstr>
      <vt:lpstr>CUR_RS</vt:lpstr>
      <vt:lpstr>CUR_RS_CUST</vt:lpstr>
      <vt:lpstr>CUR_RS_DSM</vt:lpstr>
      <vt:lpstr>CUR_RS_HEA</vt:lpstr>
      <vt:lpstr>DATA_PERIOD</vt:lpstr>
      <vt:lpstr>DATA_TYPE</vt:lpstr>
      <vt:lpstr>EGC</vt:lpstr>
      <vt:lpstr>FILING_TYPE</vt:lpstr>
      <vt:lpstr>GCR</vt:lpstr>
      <vt:lpstr>Migration_CC</vt:lpstr>
      <vt:lpstr>PERIOD</vt:lpstr>
      <vt:lpstr>'Avg Incr'!Print_Area</vt:lpstr>
      <vt:lpstr>'Rate FT-LG'!Print_Area</vt:lpstr>
      <vt:lpstr>'Rate GS COM'!Print_Area</vt:lpstr>
      <vt:lpstr>'Rate GS IND'!Print_Area</vt:lpstr>
      <vt:lpstr>'Rate GS OPA'!Print_Area</vt:lpstr>
      <vt:lpstr>'Rate IT'!Print_Area</vt:lpstr>
      <vt:lpstr>'Rate RS'!Print_Area</vt:lpstr>
      <vt:lpstr>'SCH M'!Print_Area</vt:lpstr>
      <vt:lpstr>'SCH M-2.1'!Print_Area</vt:lpstr>
      <vt:lpstr>'SCH M-2.2'!Print_Area</vt:lpstr>
      <vt:lpstr>'SCH M-2.3'!Print_Area</vt:lpstr>
      <vt:lpstr>'SCH N'!Print_Area</vt:lpstr>
      <vt:lpstr>PRO_FTL_COM</vt:lpstr>
      <vt:lpstr>PRO_FTL_CUST</vt:lpstr>
      <vt:lpstr>PRO_FTL_GCAT</vt:lpstr>
      <vt:lpstr>PRO_GS</vt:lpstr>
      <vt:lpstr>PRO_GS_CUST</vt:lpstr>
      <vt:lpstr>PRO_GS_DSM</vt:lpstr>
      <vt:lpstr>PRO_IND_CHG</vt:lpstr>
      <vt:lpstr>PRO_IT_COM</vt:lpstr>
      <vt:lpstr>PRO_IT_CUST</vt:lpstr>
      <vt:lpstr>PRO_RS_COM</vt:lpstr>
      <vt:lpstr>PRO_RS_CUST</vt:lpstr>
      <vt:lpstr>PRO_RS_DSM</vt:lpstr>
      <vt:lpstr>PRO_RS_HEA</vt:lpstr>
      <vt:lpstr>SCH_M</vt:lpstr>
      <vt:lpstr>SCH_M_2.1</vt:lpstr>
      <vt:lpstr>SCH_M_2.2PG1</vt:lpstr>
      <vt:lpstr>SCH_M_2.2PG2</vt:lpstr>
      <vt:lpstr>SCH_M_2.2PG3</vt:lpstr>
      <vt:lpstr>SCH_M_2.2PG4</vt:lpstr>
      <vt:lpstr>SCH_M_2.2PG5</vt:lpstr>
      <vt:lpstr>SCH_M_2.2PG6</vt:lpstr>
      <vt:lpstr>SCH_M_2.2PG7</vt:lpstr>
      <vt:lpstr>SCH_M_2.3PG1</vt:lpstr>
      <vt:lpstr>SCH_M_2.3PG2</vt:lpstr>
      <vt:lpstr>SCH_M_2.3PG3</vt:lpstr>
      <vt:lpstr>SCH_M_2.3PG4</vt:lpstr>
      <vt:lpstr>SCH_M_2.3PG5</vt:lpstr>
      <vt:lpstr>SCH_M_2.3PG6</vt:lpstr>
      <vt:lpstr>SCH_M_2.3PG7</vt:lpstr>
      <vt:lpstr>'Avg Incr'!SCH_N_1</vt:lpstr>
      <vt:lpstr>SCH_N_1</vt:lpstr>
      <vt:lpstr>'Avg Incr'!SCH_N_2</vt:lpstr>
      <vt:lpstr>SCH_N_2</vt:lpstr>
      <vt:lpstr>SERV_TYPE</vt:lpstr>
      <vt:lpstr>TIME</vt:lpstr>
      <vt:lpstr>TIME_PERIOD</vt:lpstr>
      <vt:lpstr>TITLE1</vt:lpstr>
      <vt:lpstr>WIT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Revised Schedule M&amp;N Test Period</dc:subject>
  <dc:creator>RAA</dc:creator>
  <cp:lastModifiedBy>Gates, Debbie</cp:lastModifiedBy>
  <cp:lastPrinted>2021-06-17T14:04:35Z</cp:lastPrinted>
  <dcterms:created xsi:type="dcterms:W3CDTF">1998-01-02T15:10:02Z</dcterms:created>
  <dcterms:modified xsi:type="dcterms:W3CDTF">2021-06-17T14:04:43Z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0x010100C8EFACE5D00A1E4A87E09B004D05D64D</vt:lpwstr>
  </property>
</Properties>
</file>