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STAFF's 1st Set Data Requests/"/>
    </mc:Choice>
  </mc:AlternateContent>
  <xr:revisionPtr revIDLastSave="0" documentId="13_ncr:1_{816573FD-CD1F-42D0-A58C-595F9C01D30D}" xr6:coauthVersionLast="44" xr6:coauthVersionMax="44" xr10:uidLastSave="{00000000-0000-0000-0000-000000000000}"/>
  <bookViews>
    <workbookView xWindow="-120" yWindow="-120" windowWidth="29040" windowHeight="15840" xr2:uid="{E2C658C2-A333-48BE-AD32-C2EA05730C7A}"/>
  </bookViews>
  <sheets>
    <sheet name="RB vs Cap BP Staff DR, pg1" sheetId="1" r:id="rId1"/>
    <sheet name="RB vs Cap BP Staff DR, pg2" sheetId="2" r:id="rId2"/>
    <sheet name="RB vs Cap BP Staff DR, pg3" sheetId="3" r:id="rId3"/>
    <sheet name="RB vs Cap BP Staff DR, pg4" sheetId="6" r:id="rId4"/>
    <sheet name="RB vs CAP BP Staff DR, pg5" sheetId="4" r:id="rId5"/>
  </sheets>
  <definedNames>
    <definedName name="_Dist_Bin" hidden="1">#REF!</definedName>
    <definedName name="_Dist_Values" hidden="1">#REF!</definedName>
    <definedName name="GRBR_BP">'RB vs Cap BP Staff DR, pg3'!$F$56</definedName>
    <definedName name="_xlnm.Print_Area" localSheetId="1">'RB vs Cap BP Staff DR, pg2'!$A$1:$H$39</definedName>
    <definedName name="_xlnm.Print_Area" localSheetId="2">'RB vs Cap BP Staff DR, pg3'!$B$1:$M$64</definedName>
    <definedName name="_xlnm.Print_Area" localSheetId="3">'RB vs Cap BP Staff DR, pg4'!$A$1:$H$30</definedName>
    <definedName name="_xlnm.Print_Area" localSheetId="4">'RB vs CAP BP Staff DR, pg5'!$A$1:$G$32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E37" i="3"/>
  <c r="E35" i="3"/>
  <c r="E33" i="3"/>
  <c r="E31" i="3"/>
  <c r="E29" i="3"/>
  <c r="E26" i="3"/>
  <c r="E25" i="3"/>
  <c r="E22" i="3"/>
  <c r="A20" i="6"/>
  <c r="A21" i="6" s="1"/>
  <c r="A22" i="6" s="1"/>
  <c r="F22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E49" i="3"/>
  <c r="E45" i="3"/>
  <c r="M50" i="3"/>
  <c r="L50" i="3"/>
  <c r="J50" i="3"/>
  <c r="F23" i="4"/>
  <c r="F19" i="4"/>
  <c r="M27" i="3"/>
  <c r="M38" i="3" s="1"/>
  <c r="L27" i="3"/>
  <c r="L38" i="3" s="1"/>
  <c r="E27" i="3"/>
  <c r="F27" i="3"/>
  <c r="E20" i="3"/>
  <c r="F18" i="4"/>
  <c r="F24" i="4" l="1"/>
  <c r="F20" i="4"/>
  <c r="F28" i="4"/>
  <c r="F18" i="6" s="1"/>
  <c r="G18" i="6" s="1"/>
  <c r="M52" i="3"/>
  <c r="H27" i="3"/>
  <c r="F38" i="3"/>
  <c r="E17" i="3"/>
  <c r="E41" i="3"/>
  <c r="L52" i="3"/>
  <c r="E38" i="3"/>
  <c r="F22" i="6" l="1"/>
  <c r="G22" i="6" s="1"/>
  <c r="E47" i="3" s="1"/>
  <c r="F20" i="6"/>
  <c r="G20" i="6" s="1"/>
  <c r="B61" i="3" s="1"/>
  <c r="E21" i="2"/>
  <c r="H38" i="3"/>
  <c r="J27" i="3"/>
  <c r="E22" i="2"/>
  <c r="J38" i="3" l="1"/>
  <c r="H50" i="3"/>
  <c r="J52" i="3" l="1"/>
  <c r="E43" i="3"/>
  <c r="F50" i="3"/>
  <c r="H52" i="3"/>
  <c r="F52" i="3" l="1"/>
  <c r="E50" i="3"/>
  <c r="E20" i="2"/>
  <c r="E24" i="2" s="1"/>
  <c r="E52" i="3" l="1"/>
  <c r="F54" i="3"/>
  <c r="F56" i="3"/>
  <c r="J56" i="3"/>
  <c r="L54" i="3" l="1"/>
  <c r="M54" i="3"/>
  <c r="H54" i="3"/>
  <c r="E26" i="2"/>
  <c r="G26" i="2" s="1"/>
  <c r="G30" i="2" s="1"/>
  <c r="F16" i="1" s="1"/>
  <c r="J54" i="3" l="1"/>
  <c r="F27" i="1"/>
  <c r="F33" i="1" l="1"/>
  <c r="F38" i="1" s="1"/>
  <c r="F40" i="1" l="1"/>
</calcChain>
</file>

<file path=xl/sharedStrings.xml><?xml version="1.0" encoding="utf-8"?>
<sst xmlns="http://schemas.openxmlformats.org/spreadsheetml/2006/main" count="213" uniqueCount="146">
  <si>
    <t>RECONCILIATION OF CAPITALIZATION AND RATE BASE</t>
  </si>
  <si>
    <t>PAGE  1  OF  5</t>
  </si>
  <si>
    <t>WORK PAPER REFERENCE NO(S).:</t>
  </si>
  <si>
    <t>WITNESS RESPONSIBLE:</t>
  </si>
  <si>
    <t>Line</t>
  </si>
  <si>
    <t>No.</t>
  </si>
  <si>
    <t>Description</t>
  </si>
  <si>
    <t>Source</t>
  </si>
  <si>
    <t>Amount</t>
  </si>
  <si>
    <t>Capitalization Allocated to Gas Operations</t>
  </si>
  <si>
    <t>Page 2 of 5</t>
  </si>
  <si>
    <t>Adjustments to Plant in Service</t>
  </si>
  <si>
    <t>Sch. B-2.2 &amp; B-3.1</t>
  </si>
  <si>
    <t>Assets per Books not included in Rate Base:</t>
  </si>
  <si>
    <t xml:space="preserve">Other Property and Investments </t>
  </si>
  <si>
    <t>Schedule B-8</t>
  </si>
  <si>
    <t>CWIP</t>
  </si>
  <si>
    <t>Schedule B-4</t>
  </si>
  <si>
    <t>Cash</t>
  </si>
  <si>
    <t>Other Current Assets</t>
  </si>
  <si>
    <t>Other Regulatory Assets</t>
  </si>
  <si>
    <t>Other Deferred Debits</t>
  </si>
  <si>
    <t>Subtotal</t>
  </si>
  <si>
    <t>Liabilities per Books not included in Rate Base:</t>
  </si>
  <si>
    <t>Other Current liabilities</t>
  </si>
  <si>
    <t>Other Non-current liabilities</t>
  </si>
  <si>
    <t>Deferred Credits</t>
  </si>
  <si>
    <t>Items included in Rate Base:</t>
  </si>
  <si>
    <t>Cash Working Capital Formula</t>
  </si>
  <si>
    <t>Sch.B-5</t>
  </si>
  <si>
    <t>Capitalization / Rate Base Differences</t>
  </si>
  <si>
    <t>Total Variance</t>
  </si>
  <si>
    <t>Gas Rate Base</t>
  </si>
  <si>
    <t>Schedule B-1</t>
  </si>
  <si>
    <t>PAGE  2  OF  5</t>
  </si>
  <si>
    <t>Capitalization</t>
  </si>
  <si>
    <t>Total</t>
  </si>
  <si>
    <t>Gas</t>
  </si>
  <si>
    <t>Total Base Period Capitalization</t>
  </si>
  <si>
    <t>(1)</t>
  </si>
  <si>
    <t>Less:</t>
  </si>
  <si>
    <t>Gas Non-jurisdictional Rate Base</t>
  </si>
  <si>
    <t>(2)</t>
  </si>
  <si>
    <t>Electric Non-jurisdictional Rate Base</t>
  </si>
  <si>
    <t>Non-jurisdictional Rate Base</t>
  </si>
  <si>
    <t>Jurisdictional Capitalization</t>
  </si>
  <si>
    <t>Gas Jurisdictional Rate Base Allocation %</t>
  </si>
  <si>
    <t>Plus: Jurisdictional Gas ITC</t>
  </si>
  <si>
    <t>(3)</t>
  </si>
  <si>
    <t>Total Allocated Capitalization</t>
  </si>
  <si>
    <t>Notes:</t>
  </si>
  <si>
    <t>(1) Schedule J-1, page 1.</t>
  </si>
  <si>
    <t>(3) Schedule B-6, page 1.</t>
  </si>
  <si>
    <t>PAGE 3 OF 5</t>
  </si>
  <si>
    <t>Gas Excl. of</t>
  </si>
  <si>
    <t>Facil Dev. to</t>
  </si>
  <si>
    <t>Schedule</t>
  </si>
  <si>
    <t>Other Than</t>
  </si>
  <si>
    <t>Electric</t>
  </si>
  <si>
    <t>Non-</t>
  </si>
  <si>
    <t>Reference</t>
  </si>
  <si>
    <t>Company</t>
  </si>
  <si>
    <t>DE-Ky Custs.</t>
  </si>
  <si>
    <t>Non-Juris.</t>
  </si>
  <si>
    <t>Jurisdictional</t>
  </si>
  <si>
    <t>Total Utility Plant in Service (Accts 101 &amp; 106) (A)</t>
  </si>
  <si>
    <t>Sch B-2</t>
  </si>
  <si>
    <t>(D)</t>
  </si>
  <si>
    <t>Additions:</t>
  </si>
  <si>
    <t xml:space="preserve"> Construction Work in Progress (Account 107)</t>
  </si>
  <si>
    <t>(C)</t>
  </si>
  <si>
    <t xml:space="preserve"> Fuel Inventory</t>
  </si>
  <si>
    <t>WPB-5.1g</t>
  </si>
  <si>
    <t xml:space="preserve"> Materials &amp; Supplies - </t>
  </si>
  <si>
    <t xml:space="preserve">   Propane Inventory (Account 151) (A)</t>
  </si>
  <si>
    <t>WPB-5.1a</t>
  </si>
  <si>
    <t xml:space="preserve">   Other Material and Supplies (Accts. 154 &amp; 163) (A)</t>
  </si>
  <si>
    <t>WPB-5.1b</t>
  </si>
  <si>
    <t>Total Materials &amp; Supplies</t>
  </si>
  <si>
    <t>Gas Stored Underground (Account 164) (A)</t>
  </si>
  <si>
    <t>WPB-5.1e</t>
  </si>
  <si>
    <t>Prepayments (Account 165) (A)</t>
  </si>
  <si>
    <t>WPB-5.1d</t>
  </si>
  <si>
    <t>Emission Allowances (Account 158)</t>
  </si>
  <si>
    <t>WPB-5.1h</t>
  </si>
  <si>
    <t>Cash Working Capital Allowance</t>
  </si>
  <si>
    <t>N/A</t>
  </si>
  <si>
    <t>Other Rate Base Items</t>
  </si>
  <si>
    <t>Sch B-6</t>
  </si>
  <si>
    <t>Total Additions</t>
  </si>
  <si>
    <t>Deductions:</t>
  </si>
  <si>
    <t xml:space="preserve"> Reserve for Accumulated Depreciation (Acct 108) (A)</t>
  </si>
  <si>
    <t>Sch B-3</t>
  </si>
  <si>
    <t xml:space="preserve"> Accum. Deferred Income Taxes (Accts 190, 282, &amp; 283) (A)</t>
  </si>
  <si>
    <t>Sch B-6, WPB-6a</t>
  </si>
  <si>
    <t>(A)</t>
  </si>
  <si>
    <t>(B)</t>
  </si>
  <si>
    <t xml:space="preserve"> Customer Advances for Construction (Account 252)</t>
  </si>
  <si>
    <t>Total Regulatory Liability - Excess Deferred Taxes (Acct 254)</t>
  </si>
  <si>
    <t xml:space="preserve"> Investment Tax Credits</t>
  </si>
  <si>
    <t>WPB-6</t>
  </si>
  <si>
    <t>Total Deductions</t>
  </si>
  <si>
    <t>Net Original Cost Rate Base</t>
  </si>
  <si>
    <t>Jurisdictional Rate Base Ratio</t>
  </si>
  <si>
    <t>Jurisdictional Rate Base Ratio - Excluding Non-Jurisdictional</t>
  </si>
  <si>
    <t>(A)  Adjusted for non-jurisdictional gas plant.</t>
  </si>
  <si>
    <t>(C)  The Company is not requesting to include recovery of CWIP in base rates.</t>
  </si>
  <si>
    <t>(D)  Company records.</t>
  </si>
  <si>
    <t>COMPUTATION OF RATIO OF PLANT DEVOTED TO OTHER THAN</t>
  </si>
  <si>
    <t>DE-KENTUCKY CUSTOMERS TO TOTAL PLANT FOR ELIMINATION PURPOSES</t>
  </si>
  <si>
    <t>PAGE  5  OF  5</t>
  </si>
  <si>
    <t>Amount (1)</t>
  </si>
  <si>
    <t>Total Net Gas Plant before Adjustment</t>
  </si>
  <si>
    <t xml:space="preserve">   of Facilities Devoted to Other</t>
  </si>
  <si>
    <t>Original Cost</t>
  </si>
  <si>
    <t xml:space="preserve">   Than DE-Kentucky Customers</t>
  </si>
  <si>
    <t>Accum Depr.</t>
  </si>
  <si>
    <t>Net Plant</t>
  </si>
  <si>
    <t>Total Net Gas Plant Devoted to</t>
  </si>
  <si>
    <t xml:space="preserve">   Other Than DE-Kentucky Customers</t>
  </si>
  <si>
    <t xml:space="preserve">Ratio of Plant Devoted to Other Than </t>
  </si>
  <si>
    <t>DE-Kentucky Customers to Total Plant   (Line 8 / Line 4)</t>
  </si>
  <si>
    <t>(1) Company Records.</t>
  </si>
  <si>
    <t xml:space="preserve">  </t>
  </si>
  <si>
    <t>To Be</t>
  </si>
  <si>
    <t>LINE</t>
  </si>
  <si>
    <t>Allocation %</t>
  </si>
  <si>
    <t>Eliminated</t>
  </si>
  <si>
    <t>NO.</t>
  </si>
  <si>
    <t>WPB-6a</t>
  </si>
  <si>
    <t>(Col. 1 * Col. 2)</t>
  </si>
  <si>
    <t xml:space="preserve">  (2)</t>
  </si>
  <si>
    <t xml:space="preserve">    (3)</t>
  </si>
  <si>
    <t>Investment tax Credit - 3%</t>
  </si>
  <si>
    <t>Liberalized Depreciation</t>
  </si>
  <si>
    <t>Excess Deferred Taxes</t>
  </si>
  <si>
    <t>STAFF-DR-01-022</t>
  </si>
  <si>
    <t>(2) Source: STAFF-DR-01-22, page 3 of 5.</t>
  </si>
  <si>
    <t>DUKE ENERGY KENTUCKY, INC.</t>
  </si>
  <si>
    <t>CASE NO. 2021-00190</t>
  </si>
  <si>
    <t>AS OF AUGUST 31, 2021</t>
  </si>
  <si>
    <t>DATA: "X" BASE PERIOD   FORECASTED PERIOD</t>
  </si>
  <si>
    <t xml:space="preserve">TYPE OF FILING:  "X" ORIGINAL   UPDATED    REVISED  </t>
  </si>
  <si>
    <t>J. P. BROWN</t>
  </si>
  <si>
    <t>(A) Source: STAFF-DR-01-22, page 5 of 5.</t>
  </si>
  <si>
    <t>PAGE 4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</si>
</sst>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General_)"/>
    <numFmt numFmtId="165" formatCode="0.000%"/>
    <numFmt numFmtId="166" formatCode="_(&quot;$&quot;* #,##0_);_(&quot;$&quot;* \(#,##0\);_(&quot;$&quot;* &quot;0&quot;_);_(@_)"/>
  </numFmts>
  <fonts count="14" x14ac:knownFonts="1">
    <font>
      <sz val="10"/>
      <name val="Arial"/>
      <family val="2"/>
    </font>
    <font>
      <sz val="10"/>
      <color rgb="FFFF000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 val="double"/>
      <sz val="10"/>
      <name val="Arial"/>
      <family val="2"/>
    </font>
    <font>
      <sz val="10"/>
      <color rgb="FF3333FF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164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8" fillId="0" borderId="0"/>
  </cellStyleXfs>
  <cellXfs count="93">
    <xf numFmtId="0" fontId="0" fillId="0" borderId="0" xfId="0"/>
    <xf numFmtId="164" fontId="3" fillId="0" borderId="0" xfId="1" applyFont="1" applyAlignment="1">
      <alignment horizontal="centerContinuous"/>
    </xf>
    <xf numFmtId="164" fontId="3" fillId="0" borderId="0" xfId="1" applyFont="1"/>
    <xf numFmtId="164" fontId="4" fillId="0" borderId="0" xfId="1" applyFont="1"/>
    <xf numFmtId="164" fontId="3" fillId="0" borderId="0" xfId="1" applyFont="1" applyAlignment="1" applyProtection="1">
      <alignment horizontal="centerContinuous"/>
      <protection locked="0"/>
    </xf>
    <xf numFmtId="164" fontId="3" fillId="0" borderId="0" xfId="1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4" applyFont="1" applyAlignment="1">
      <alignment horizontal="left"/>
    </xf>
    <xf numFmtId="164" fontId="3" fillId="0" borderId="0" xfId="1" applyFont="1" applyAlignment="1">
      <alignment horizontal="center"/>
    </xf>
    <xf numFmtId="14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3" fillId="0" borderId="0" xfId="5" applyFont="1"/>
    <xf numFmtId="37" fontId="0" fillId="0" borderId="0" xfId="0" applyNumberForma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6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7" fontId="7" fillId="0" borderId="0" xfId="0" applyNumberFormat="1" applyFont="1"/>
    <xf numFmtId="0" fontId="3" fillId="0" borderId="0" xfId="7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7" applyFont="1"/>
    <xf numFmtId="0" fontId="3" fillId="0" borderId="0" xfId="7" applyFont="1" applyAlignment="1">
      <alignment horizontal="left"/>
    </xf>
    <xf numFmtId="0" fontId="3" fillId="0" borderId="0" xfId="8" quotePrefix="1" applyFont="1"/>
    <xf numFmtId="0" fontId="9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0" fontId="3" fillId="0" borderId="1" xfId="7" applyFont="1" applyBorder="1" applyAlignment="1">
      <alignment horizontal="centerContinuous"/>
    </xf>
    <xf numFmtId="0" fontId="6" fillId="0" borderId="0" xfId="7" applyFont="1" applyAlignment="1">
      <alignment horizontal="center"/>
    </xf>
    <xf numFmtId="0" fontId="3" fillId="0" borderId="0" xfId="7" quotePrefix="1" applyFont="1" applyAlignment="1">
      <alignment horizontal="center"/>
    </xf>
    <xf numFmtId="37" fontId="3" fillId="0" borderId="0" xfId="7" applyNumberFormat="1" applyFont="1"/>
    <xf numFmtId="165" fontId="3" fillId="0" borderId="0" xfId="7" applyNumberFormat="1" applyFont="1"/>
    <xf numFmtId="10" fontId="3" fillId="0" borderId="0" xfId="7" applyNumberFormat="1" applyFont="1"/>
    <xf numFmtId="37" fontId="10" fillId="0" borderId="0" xfId="7" applyNumberFormat="1" applyFont="1"/>
    <xf numFmtId="0" fontId="3" fillId="0" borderId="0" xfId="7" quotePrefix="1" applyFont="1"/>
    <xf numFmtId="0" fontId="3" fillId="0" borderId="0" xfId="8" applyFont="1" applyAlignment="1">
      <alignment horizontal="centerContinuous"/>
    </xf>
    <xf numFmtId="0" fontId="7" fillId="0" borderId="0" xfId="8" applyFont="1" applyAlignment="1">
      <alignment horizontal="left" indent="1"/>
    </xf>
    <xf numFmtId="0" fontId="3" fillId="0" borderId="0" xfId="8" applyFont="1"/>
    <xf numFmtId="0" fontId="3" fillId="0" borderId="0" xfId="8" applyFont="1" applyAlignment="1">
      <alignment horizontal="left"/>
    </xf>
    <xf numFmtId="0" fontId="3" fillId="0" borderId="0" xfId="8" applyFont="1" applyAlignment="1">
      <alignment horizontal="center"/>
    </xf>
    <xf numFmtId="0" fontId="3" fillId="0" borderId="1" xfId="8" applyFont="1" applyBorder="1" applyAlignment="1">
      <alignment horizontal="center"/>
    </xf>
    <xf numFmtId="0" fontId="3" fillId="0" borderId="1" xfId="8" applyFont="1" applyBorder="1" applyAlignment="1">
      <alignment horizontal="left"/>
    </xf>
    <xf numFmtId="0" fontId="3" fillId="0" borderId="1" xfId="8" applyFont="1" applyBorder="1"/>
    <xf numFmtId="37" fontId="3" fillId="0" borderId="0" xfId="8" applyNumberFormat="1" applyFont="1"/>
    <xf numFmtId="37" fontId="3" fillId="0" borderId="0" xfId="8" quotePrefix="1" applyNumberFormat="1" applyFont="1" applyAlignment="1">
      <alignment horizontal="center"/>
    </xf>
    <xf numFmtId="37" fontId="7" fillId="0" borderId="0" xfId="8" applyNumberFormat="1" applyFont="1"/>
    <xf numFmtId="37" fontId="9" fillId="0" borderId="0" xfId="8" applyNumberFormat="1" applyFont="1"/>
    <xf numFmtId="0" fontId="3" fillId="0" borderId="0" xfId="8" quotePrefix="1" applyFont="1" applyAlignment="1">
      <alignment horizontal="center"/>
    </xf>
    <xf numFmtId="0" fontId="3" fillId="0" borderId="0" xfId="8" applyFont="1" applyProtection="1">
      <protection locked="0"/>
    </xf>
    <xf numFmtId="0" fontId="9" fillId="0" borderId="0" xfId="8" applyFont="1"/>
    <xf numFmtId="0" fontId="7" fillId="0" borderId="0" xfId="8" applyFont="1"/>
    <xf numFmtId="37" fontId="11" fillId="0" borderId="0" xfId="8" applyNumberFormat="1" applyFont="1"/>
    <xf numFmtId="37" fontId="3" fillId="0" borderId="0" xfId="8" applyNumberFormat="1" applyFont="1" applyProtection="1">
      <protection locked="0"/>
    </xf>
    <xf numFmtId="37" fontId="3" fillId="0" borderId="3" xfId="8" applyNumberFormat="1" applyFont="1" applyBorder="1"/>
    <xf numFmtId="37" fontId="3" fillId="0" borderId="2" xfId="8" applyNumberFormat="1" applyFont="1" applyBorder="1"/>
    <xf numFmtId="37" fontId="3" fillId="0" borderId="0" xfId="8" applyNumberFormat="1" applyFont="1" applyAlignment="1">
      <alignment horizontal="center"/>
    </xf>
    <xf numFmtId="37" fontId="3" fillId="0" borderId="4" xfId="8" applyNumberFormat="1" applyFont="1" applyBorder="1"/>
    <xf numFmtId="165" fontId="7" fillId="0" borderId="4" xfId="8" applyNumberFormat="1" applyFont="1" applyBorder="1"/>
    <xf numFmtId="165" fontId="3" fillId="0" borderId="4" xfId="8" applyNumberFormat="1" applyFont="1" applyBorder="1"/>
    <xf numFmtId="165" fontId="3" fillId="0" borderId="0" xfId="8" applyNumberFormat="1" applyFont="1"/>
    <xf numFmtId="0" fontId="12" fillId="0" borderId="0" xfId="8" applyFont="1" applyAlignment="1">
      <alignment horizontal="center"/>
    </xf>
    <xf numFmtId="0" fontId="9" fillId="0" borderId="0" xfId="8" applyFont="1" applyAlignment="1">
      <alignment horizontal="left"/>
    </xf>
    <xf numFmtId="0" fontId="1" fillId="0" borderId="0" xfId="0" applyFont="1"/>
    <xf numFmtId="0" fontId="11" fillId="0" borderId="0" xfId="0" applyFont="1" applyAlignment="1">
      <alignment horizontal="left"/>
    </xf>
    <xf numFmtId="0" fontId="12" fillId="0" borderId="1" xfId="8" applyFont="1" applyBorder="1" applyAlignment="1">
      <alignment horizontal="center"/>
    </xf>
    <xf numFmtId="166" fontId="3" fillId="0" borderId="0" xfId="8" applyNumberFormat="1" applyFont="1" applyProtection="1">
      <protection locked="0"/>
    </xf>
    <xf numFmtId="41" fontId="6" fillId="0" borderId="0" xfId="8" applyNumberFormat="1" applyFont="1" applyProtection="1">
      <protection locked="0"/>
    </xf>
    <xf numFmtId="166" fontId="10" fillId="0" borderId="0" xfId="8" applyNumberFormat="1" applyFont="1" applyProtection="1">
      <protection locked="0"/>
    </xf>
    <xf numFmtId="10" fontId="10" fillId="0" borderId="0" xfId="8" applyNumberFormat="1" applyFont="1"/>
    <xf numFmtId="0" fontId="3" fillId="0" borderId="0" xfId="0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12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37" fontId="3" fillId="0" borderId="0" xfId="0" applyNumberFormat="1" applyFont="1"/>
    <xf numFmtId="10" fontId="3" fillId="0" borderId="0" xfId="0" applyNumberFormat="1" applyFont="1"/>
    <xf numFmtId="164" fontId="3" fillId="0" borderId="0" xfId="1" applyFont="1" applyFill="1"/>
    <xf numFmtId="37" fontId="7" fillId="0" borderId="1" xfId="0" applyNumberFormat="1" applyFont="1" applyBorder="1"/>
    <xf numFmtId="37" fontId="7" fillId="0" borderId="0" xfId="7" applyNumberFormat="1" applyFont="1"/>
    <xf numFmtId="37" fontId="13" fillId="0" borderId="0" xfId="7" applyNumberFormat="1" applyFont="1"/>
    <xf numFmtId="0" fontId="7" fillId="0" borderId="0" xfId="0" applyFont="1"/>
    <xf numFmtId="0" fontId="0" fillId="0" borderId="0" xfId="8" applyFont="1" applyAlignment="1">
      <alignment horizontal="left"/>
    </xf>
  </cellXfs>
  <cellStyles count="9">
    <cellStyle name="Normal" xfId="0" builtinId="0"/>
    <cellStyle name="Normal 10 18" xfId="6" xr:uid="{1848CC92-DF80-4B28-9C6E-806FB8BAB45D}"/>
    <cellStyle name="Normal_KPSC GAS SFRs-Forward Looking" xfId="8" xr:uid="{AEE0269D-C360-4297-B9BB-0BBB2806A7F2}"/>
    <cellStyle name="Normal_SCH_11" xfId="1" xr:uid="{2A06A9DF-179B-4FC6-903E-EAD7AD962721}"/>
    <cellStyle name="Normal_SCH_A" xfId="5" xr:uid="{446C36AC-34FD-473D-9F8E-4FC9E945C67F}"/>
    <cellStyle name="Normal_SCH_D2.10" xfId="7" xr:uid="{7F02A123-58BB-4CCC-BF44-9CB37525BFD7}"/>
    <cellStyle name="Normal_SCH_F4" xfId="4" xr:uid="{44920F21-7D76-4DF4-BDAC-BB60CB65257D}"/>
    <cellStyle name="Normal_SCH_I5" xfId="2" xr:uid="{EE4F77EE-ABEC-41EC-8868-9E847A840D52}"/>
    <cellStyle name="Normal_SCH_J1" xfId="3" xr:uid="{5FEB4F1E-5808-4568-9FC4-F96B74314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38F2-752B-411E-8B31-4B2A2A80B593}">
  <sheetPr codeName="Sheet98">
    <tabColor rgb="FF00B0F0"/>
  </sheetPr>
  <dimension ref="A1:I44"/>
  <sheetViews>
    <sheetView tabSelected="1" view="pageLayout" zoomScaleNormal="100" workbookViewId="0">
      <selection activeCell="B4" sqref="B4"/>
    </sheetView>
  </sheetViews>
  <sheetFormatPr defaultColWidth="17.5703125" defaultRowHeight="15" x14ac:dyDescent="0.2"/>
  <cols>
    <col min="1" max="1" width="9.5703125" style="2" customWidth="1"/>
    <col min="2" max="2" width="39.42578125" style="2" customWidth="1"/>
    <col min="3" max="3" width="2.5703125" style="2" customWidth="1"/>
    <col min="4" max="4" width="17.5703125" style="2"/>
    <col min="5" max="5" width="2" style="2" customWidth="1"/>
    <col min="6" max="6" width="23.42578125" style="2" customWidth="1"/>
    <col min="7" max="7" width="2" style="2" customWidth="1"/>
    <col min="8" max="8" width="17.5703125" style="2"/>
    <col min="9" max="9" width="6.5703125" style="2" customWidth="1"/>
    <col min="10" max="10" width="17.5703125" style="3"/>
    <col min="11" max="11" width="1.5703125" style="3" customWidth="1"/>
    <col min="12" max="16384" width="17.5703125" style="3"/>
  </cols>
  <sheetData>
    <row r="1" spans="1:9" x14ac:dyDescent="0.2">
      <c r="A1" s="1" t="s">
        <v>138</v>
      </c>
      <c r="B1" s="1"/>
      <c r="C1" s="1"/>
      <c r="D1" s="1"/>
      <c r="E1" s="1"/>
      <c r="F1" s="1"/>
      <c r="H1" s="1"/>
      <c r="I1" s="1"/>
    </row>
    <row r="2" spans="1:9" x14ac:dyDescent="0.2">
      <c r="A2" s="1" t="s">
        <v>139</v>
      </c>
      <c r="B2" s="1"/>
      <c r="C2" s="1"/>
      <c r="D2" s="1"/>
      <c r="E2" s="1"/>
      <c r="F2" s="1"/>
      <c r="H2" s="1"/>
      <c r="I2" s="1"/>
    </row>
    <row r="3" spans="1:9" x14ac:dyDescent="0.2">
      <c r="A3" s="1" t="s">
        <v>0</v>
      </c>
      <c r="B3" s="1"/>
      <c r="C3" s="1"/>
      <c r="D3" s="1"/>
      <c r="E3" s="1"/>
      <c r="F3" s="1"/>
      <c r="H3" s="1"/>
      <c r="I3" s="1"/>
    </row>
    <row r="4" spans="1:9" x14ac:dyDescent="0.2">
      <c r="A4" s="4" t="s">
        <v>140</v>
      </c>
      <c r="B4" s="4"/>
      <c r="C4" s="1"/>
      <c r="D4" s="4"/>
      <c r="E4" s="4"/>
      <c r="F4" s="4"/>
      <c r="H4" s="4"/>
      <c r="I4" s="4"/>
    </row>
    <row r="5" spans="1:9" x14ac:dyDescent="0.2">
      <c r="C5" s="5"/>
    </row>
    <row r="6" spans="1:9" x14ac:dyDescent="0.2">
      <c r="A6" s="6" t="s">
        <v>141</v>
      </c>
      <c r="C6" s="5"/>
      <c r="F6" s="87" t="s">
        <v>136</v>
      </c>
    </row>
    <row r="7" spans="1:9" x14ac:dyDescent="0.2">
      <c r="A7" s="7" t="s">
        <v>142</v>
      </c>
      <c r="C7" s="5"/>
      <c r="F7" s="8" t="s">
        <v>1</v>
      </c>
    </row>
    <row r="8" spans="1:9" x14ac:dyDescent="0.2">
      <c r="A8" s="9" t="s">
        <v>2</v>
      </c>
      <c r="C8" s="5"/>
      <c r="F8" s="8" t="s">
        <v>3</v>
      </c>
    </row>
    <row r="9" spans="1:9" x14ac:dyDescent="0.2">
      <c r="C9" s="5"/>
      <c r="F9" s="8" t="s">
        <v>143</v>
      </c>
    </row>
    <row r="10" spans="1:9" x14ac:dyDescent="0.2">
      <c r="C10" s="5"/>
    </row>
    <row r="11" spans="1:9" x14ac:dyDescent="0.2">
      <c r="C11" s="5"/>
      <c r="H11" s="10"/>
    </row>
    <row r="12" spans="1:9" x14ac:dyDescent="0.2">
      <c r="A12" s="10"/>
      <c r="B12" s="10"/>
      <c r="C12" s="10"/>
      <c r="D12" s="10"/>
      <c r="E12" s="10"/>
      <c r="F12" s="11"/>
      <c r="G12" s="11"/>
      <c r="H12" s="10"/>
      <c r="I12" s="10"/>
    </row>
    <row r="13" spans="1:9" x14ac:dyDescent="0.2">
      <c r="A13" s="12" t="s">
        <v>4</v>
      </c>
      <c r="B13"/>
      <c r="C13"/>
      <c r="D13"/>
      <c r="E13"/>
      <c r="F13"/>
      <c r="G13"/>
      <c r="H13"/>
      <c r="I13"/>
    </row>
    <row r="14" spans="1:9" x14ac:dyDescent="0.2">
      <c r="A14" s="13" t="s">
        <v>5</v>
      </c>
      <c r="B14" s="14" t="s">
        <v>6</v>
      </c>
      <c r="C14" s="14"/>
      <c r="D14" s="13" t="s">
        <v>7</v>
      </c>
      <c r="E14" s="13"/>
      <c r="F14" s="13" t="s">
        <v>8</v>
      </c>
      <c r="G14"/>
      <c r="H14"/>
      <c r="I14"/>
    </row>
    <row r="15" spans="1:9" x14ac:dyDescent="0.2">
      <c r="A15"/>
      <c r="B15"/>
      <c r="C15"/>
      <c r="D15"/>
      <c r="E15"/>
      <c r="F15"/>
      <c r="G15"/>
      <c r="H15"/>
      <c r="I15"/>
    </row>
    <row r="16" spans="1:9" x14ac:dyDescent="0.2">
      <c r="A16" s="15">
        <v>1</v>
      </c>
      <c r="B16" s="16" t="s">
        <v>9</v>
      </c>
      <c r="C16" s="16"/>
      <c r="D16" s="12" t="s">
        <v>10</v>
      </c>
      <c r="E16" s="12"/>
      <c r="F16" s="17">
        <f>'RB vs Cap BP Staff DR, pg2'!G30</f>
        <v>425038261</v>
      </c>
      <c r="G16"/>
      <c r="H16"/>
      <c r="I16"/>
    </row>
    <row r="17" spans="1:9" x14ac:dyDescent="0.2">
      <c r="A17" s="15"/>
      <c r="B17"/>
      <c r="C17"/>
      <c r="D17"/>
      <c r="E17"/>
      <c r="F17"/>
      <c r="G17"/>
      <c r="H17"/>
      <c r="I17"/>
    </row>
    <row r="18" spans="1:9" x14ac:dyDescent="0.2">
      <c r="A18" s="15">
        <v>2</v>
      </c>
      <c r="B18" s="18" t="s">
        <v>11</v>
      </c>
      <c r="C18"/>
      <c r="D18" s="12" t="s">
        <v>12</v>
      </c>
      <c r="E18"/>
      <c r="F18" s="24">
        <v>-30290094</v>
      </c>
      <c r="G18"/>
      <c r="H18"/>
      <c r="I18"/>
    </row>
    <row r="19" spans="1:9" x14ac:dyDescent="0.2">
      <c r="A19" s="15"/>
      <c r="B19" s="18"/>
      <c r="C19"/>
      <c r="D19"/>
      <c r="E19"/>
      <c r="F19" s="24"/>
      <c r="G19"/>
      <c r="H19"/>
      <c r="I19"/>
    </row>
    <row r="20" spans="1:9" x14ac:dyDescent="0.2">
      <c r="A20" s="15">
        <v>3</v>
      </c>
      <c r="B20" s="19" t="s">
        <v>13</v>
      </c>
      <c r="C20"/>
      <c r="D20"/>
      <c r="E20"/>
      <c r="F20" s="24"/>
      <c r="G20"/>
      <c r="H20"/>
      <c r="I20"/>
    </row>
    <row r="21" spans="1:9" x14ac:dyDescent="0.2">
      <c r="A21" s="15">
        <v>4</v>
      </c>
      <c r="B21" s="20" t="s">
        <v>14</v>
      </c>
      <c r="C21"/>
      <c r="D21" s="21" t="s">
        <v>15</v>
      </c>
      <c r="E21"/>
      <c r="F21" s="24">
        <v>-3870302</v>
      </c>
      <c r="G21"/>
      <c r="H21"/>
      <c r="I21"/>
    </row>
    <row r="22" spans="1:9" x14ac:dyDescent="0.2">
      <c r="A22" s="15">
        <v>5</v>
      </c>
      <c r="B22" s="20" t="s">
        <v>16</v>
      </c>
      <c r="C22"/>
      <c r="D22" s="12" t="s">
        <v>17</v>
      </c>
      <c r="E22"/>
      <c r="F22" s="24">
        <v>-43295511</v>
      </c>
      <c r="G22"/>
      <c r="H22"/>
      <c r="I22"/>
    </row>
    <row r="23" spans="1:9" x14ac:dyDescent="0.2">
      <c r="A23" s="15">
        <v>6</v>
      </c>
      <c r="B23" s="20" t="s">
        <v>18</v>
      </c>
      <c r="C23"/>
      <c r="D23" s="21" t="s">
        <v>15</v>
      </c>
      <c r="E23"/>
      <c r="F23" s="24">
        <v>-1565797</v>
      </c>
      <c r="G23"/>
      <c r="H23"/>
      <c r="I23"/>
    </row>
    <row r="24" spans="1:9" x14ac:dyDescent="0.2">
      <c r="A24" s="15">
        <v>7</v>
      </c>
      <c r="B24" s="20" t="s">
        <v>19</v>
      </c>
      <c r="C24"/>
      <c r="D24" s="21" t="s">
        <v>15</v>
      </c>
      <c r="E24"/>
      <c r="F24" s="24">
        <v>762716</v>
      </c>
      <c r="G24"/>
      <c r="H24"/>
      <c r="I24"/>
    </row>
    <row r="25" spans="1:9" x14ac:dyDescent="0.2">
      <c r="A25" s="15">
        <v>8</v>
      </c>
      <c r="B25" s="20" t="s">
        <v>20</v>
      </c>
      <c r="C25"/>
      <c r="D25" s="21" t="s">
        <v>15</v>
      </c>
      <c r="E25"/>
      <c r="F25" s="24">
        <v>-34252699</v>
      </c>
      <c r="G25"/>
      <c r="H25"/>
      <c r="I25"/>
    </row>
    <row r="26" spans="1:9" x14ac:dyDescent="0.2">
      <c r="A26" s="15">
        <v>9</v>
      </c>
      <c r="B26" s="20" t="s">
        <v>21</v>
      </c>
      <c r="C26"/>
      <c r="D26" s="21" t="s">
        <v>15</v>
      </c>
      <c r="E26"/>
      <c r="F26" s="88">
        <v>-35799443</v>
      </c>
      <c r="G26"/>
      <c r="H26"/>
      <c r="I26"/>
    </row>
    <row r="27" spans="1:9" x14ac:dyDescent="0.2">
      <c r="A27" s="15">
        <v>10</v>
      </c>
      <c r="B27" s="22" t="s">
        <v>22</v>
      </c>
      <c r="C27"/>
      <c r="D27"/>
      <c r="E27"/>
      <c r="F27" s="17">
        <f>SUM(F21:F26)</f>
        <v>-118021036</v>
      </c>
      <c r="G27"/>
      <c r="H27"/>
      <c r="I27"/>
    </row>
    <row r="28" spans="1:9" x14ac:dyDescent="0.2">
      <c r="A28" s="15"/>
      <c r="B28"/>
      <c r="C28"/>
      <c r="D28"/>
      <c r="E28"/>
      <c r="F28"/>
      <c r="G28"/>
      <c r="H28"/>
      <c r="I28"/>
    </row>
    <row r="29" spans="1:9" x14ac:dyDescent="0.2">
      <c r="A29" s="15">
        <v>11</v>
      </c>
      <c r="B29" s="23" t="s">
        <v>23</v>
      </c>
      <c r="C29"/>
      <c r="D29"/>
      <c r="E29"/>
      <c r="F29"/>
      <c r="G29"/>
      <c r="H29"/>
      <c r="I29"/>
    </row>
    <row r="30" spans="1:9" x14ac:dyDescent="0.2">
      <c r="A30" s="15">
        <v>12</v>
      </c>
      <c r="B30" s="20" t="s">
        <v>24</v>
      </c>
      <c r="C30"/>
      <c r="D30" s="21" t="s">
        <v>15</v>
      </c>
      <c r="E30"/>
      <c r="F30" s="24">
        <v>21096602</v>
      </c>
      <c r="G30"/>
      <c r="H30"/>
      <c r="I30"/>
    </row>
    <row r="31" spans="1:9" x14ac:dyDescent="0.2">
      <c r="A31" s="15">
        <v>13</v>
      </c>
      <c r="B31" s="20" t="s">
        <v>25</v>
      </c>
      <c r="C31"/>
      <c r="D31" s="21" t="s">
        <v>15</v>
      </c>
      <c r="E31"/>
      <c r="F31" s="24">
        <v>29773921</v>
      </c>
      <c r="G31"/>
      <c r="H31"/>
      <c r="I31"/>
    </row>
    <row r="32" spans="1:9" x14ac:dyDescent="0.2">
      <c r="A32" s="15">
        <v>14</v>
      </c>
      <c r="B32" s="20" t="s">
        <v>26</v>
      </c>
      <c r="C32"/>
      <c r="D32" s="21" t="s">
        <v>15</v>
      </c>
      <c r="E32"/>
      <c r="F32" s="88">
        <v>54573925</v>
      </c>
      <c r="G32"/>
      <c r="H32"/>
      <c r="I32"/>
    </row>
    <row r="33" spans="1:9" x14ac:dyDescent="0.2">
      <c r="A33" s="15">
        <v>15</v>
      </c>
      <c r="B33" s="22" t="s">
        <v>22</v>
      </c>
      <c r="C33"/>
      <c r="D33"/>
      <c r="E33"/>
      <c r="F33" s="17">
        <f>SUM(F30:F32)</f>
        <v>105444448</v>
      </c>
      <c r="G33"/>
      <c r="H33"/>
      <c r="I33"/>
    </row>
    <row r="34" spans="1:9" x14ac:dyDescent="0.2">
      <c r="A34" s="15"/>
      <c r="B34" s="22"/>
      <c r="C34"/>
      <c r="D34"/>
      <c r="E34"/>
      <c r="F34" s="17"/>
      <c r="G34"/>
      <c r="H34"/>
      <c r="I34"/>
    </row>
    <row r="35" spans="1:9" x14ac:dyDescent="0.2">
      <c r="A35" s="15">
        <v>16</v>
      </c>
      <c r="B35" s="23" t="s">
        <v>27</v>
      </c>
      <c r="C35"/>
      <c r="D35"/>
      <c r="E35"/>
      <c r="F35" s="17"/>
      <c r="G35"/>
      <c r="H35"/>
      <c r="I35"/>
    </row>
    <row r="36" spans="1:9" x14ac:dyDescent="0.2">
      <c r="A36" s="15">
        <v>17</v>
      </c>
      <c r="B36" s="20" t="s">
        <v>28</v>
      </c>
      <c r="C36"/>
      <c r="D36" s="15" t="s">
        <v>29</v>
      </c>
      <c r="E36"/>
      <c r="F36" s="24">
        <v>0</v>
      </c>
      <c r="G36"/>
      <c r="H36"/>
      <c r="I36"/>
    </row>
    <row r="37" spans="1:9" x14ac:dyDescent="0.2">
      <c r="A37" s="15">
        <v>18</v>
      </c>
      <c r="B37" s="20" t="s">
        <v>30</v>
      </c>
      <c r="C37"/>
      <c r="D37"/>
      <c r="E37"/>
      <c r="F37" s="88">
        <v>43049875</v>
      </c>
      <c r="G37"/>
      <c r="H37"/>
      <c r="I37"/>
    </row>
    <row r="38" spans="1:9" x14ac:dyDescent="0.2">
      <c r="A38" s="15">
        <v>19</v>
      </c>
      <c r="B38" s="22" t="s">
        <v>22</v>
      </c>
      <c r="C38"/>
      <c r="D38"/>
      <c r="E38"/>
      <c r="F38" s="17">
        <f>SUM(F36:F37)</f>
        <v>43049875</v>
      </c>
      <c r="G38"/>
      <c r="H38"/>
      <c r="I38"/>
    </row>
    <row r="39" spans="1:9" x14ac:dyDescent="0.2">
      <c r="A39" s="15"/>
      <c r="B39" s="22"/>
      <c r="C39"/>
      <c r="D39"/>
      <c r="E39"/>
      <c r="F39" s="17"/>
      <c r="G39"/>
      <c r="H39"/>
      <c r="I39"/>
    </row>
    <row r="40" spans="1:9" x14ac:dyDescent="0.2">
      <c r="A40" s="15">
        <v>20</v>
      </c>
      <c r="B40" s="18" t="s">
        <v>31</v>
      </c>
      <c r="C40"/>
      <c r="D40"/>
      <c r="E40"/>
      <c r="F40" s="17">
        <f>+F18+F27+F33+F38</f>
        <v>183193</v>
      </c>
      <c r="G40"/>
      <c r="H40"/>
      <c r="I40"/>
    </row>
    <row r="41" spans="1:9" x14ac:dyDescent="0.2">
      <c r="A41" s="15"/>
      <c r="B41"/>
      <c r="C41"/>
      <c r="D41"/>
      <c r="E41"/>
      <c r="F41"/>
      <c r="G41"/>
      <c r="H41"/>
      <c r="I41"/>
    </row>
    <row r="42" spans="1:9" x14ac:dyDescent="0.2">
      <c r="A42" s="15">
        <v>21</v>
      </c>
      <c r="B42" s="18" t="s">
        <v>32</v>
      </c>
      <c r="C42"/>
      <c r="D42" s="12" t="s">
        <v>33</v>
      </c>
      <c r="E42"/>
      <c r="F42" s="17">
        <f>F16+F40</f>
        <v>425221454</v>
      </c>
      <c r="G42"/>
      <c r="H42"/>
      <c r="I42"/>
    </row>
    <row r="43" spans="1:9" x14ac:dyDescent="0.2">
      <c r="A43" s="15"/>
      <c r="B43"/>
      <c r="C43"/>
      <c r="D43"/>
      <c r="E43"/>
      <c r="F43"/>
      <c r="G43"/>
      <c r="H43"/>
      <c r="I43"/>
    </row>
    <row r="44" spans="1:9" x14ac:dyDescent="0.2">
      <c r="A44" s="15"/>
      <c r="B44"/>
      <c r="C44"/>
      <c r="D44"/>
      <c r="E44"/>
      <c r="F44"/>
      <c r="G44"/>
      <c r="H44"/>
      <c r="I44"/>
    </row>
  </sheetData>
  <pageMargins left="1" right="0.7" top="1" bottom="0.75" header="0.3" footer="0.3"/>
  <pageSetup scale="72" fitToWidth="0" fitToHeight="0" orientation="portrait" r:id="rId1"/>
  <headerFooter>
    <oddHeader>&amp;R&amp;"Times New Roman,Bold"KyPSC Case No. 2021-00190
STAFF-DR-01-022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8E4F-C724-4DC9-B5BF-9B8DEE9B758C}">
  <sheetPr codeName="Sheet1">
    <tabColor rgb="FF00B0F0"/>
  </sheetPr>
  <dimension ref="A1:H39"/>
  <sheetViews>
    <sheetView view="pageLayout" zoomScaleNormal="100" workbookViewId="0">
      <selection activeCell="B4" sqref="B4"/>
    </sheetView>
  </sheetViews>
  <sheetFormatPr defaultRowHeight="12.75" x14ac:dyDescent="0.2"/>
  <cols>
    <col min="1" max="1" width="7.5703125" customWidth="1"/>
    <col min="3" max="3" width="32.5703125" customWidth="1"/>
    <col min="5" max="5" width="14.140625" customWidth="1"/>
    <col min="6" max="6" width="5.42578125" customWidth="1"/>
    <col min="7" max="7" width="17.42578125" customWidth="1"/>
  </cols>
  <sheetData>
    <row r="1" spans="1:8" x14ac:dyDescent="0.2">
      <c r="A1" s="25" t="s">
        <v>138</v>
      </c>
      <c r="B1" s="26"/>
      <c r="C1" s="26"/>
      <c r="D1" s="26"/>
      <c r="E1" s="26"/>
      <c r="F1" s="26"/>
      <c r="G1" s="26"/>
      <c r="H1" s="26"/>
    </row>
    <row r="2" spans="1:8" x14ac:dyDescent="0.2">
      <c r="A2" s="25" t="s">
        <v>139</v>
      </c>
      <c r="B2" s="26"/>
      <c r="C2" s="26"/>
      <c r="D2" s="26"/>
      <c r="E2" s="26"/>
      <c r="F2" s="26"/>
      <c r="G2" s="26"/>
      <c r="H2" s="26"/>
    </row>
    <row r="3" spans="1:8" x14ac:dyDescent="0.2">
      <c r="A3" s="1" t="s">
        <v>0</v>
      </c>
      <c r="B3" s="26"/>
      <c r="C3" s="26"/>
      <c r="D3" s="26"/>
      <c r="E3" s="26"/>
      <c r="F3" s="26"/>
      <c r="G3" s="26"/>
      <c r="H3" s="26"/>
    </row>
    <row r="4" spans="1:8" x14ac:dyDescent="0.2">
      <c r="A4" s="25" t="s">
        <v>140</v>
      </c>
      <c r="B4" s="26"/>
      <c r="C4" s="26"/>
      <c r="D4" s="26"/>
      <c r="E4" s="26"/>
      <c r="F4" s="26"/>
      <c r="G4" s="26"/>
      <c r="H4" s="26"/>
    </row>
    <row r="6" spans="1:8" x14ac:dyDescent="0.2">
      <c r="B6" s="27"/>
      <c r="C6" s="27"/>
      <c r="D6" s="27"/>
      <c r="E6" s="27"/>
      <c r="F6" s="27"/>
      <c r="G6" s="28" t="s">
        <v>136</v>
      </c>
      <c r="H6" s="27"/>
    </row>
    <row r="7" spans="1:8" x14ac:dyDescent="0.2">
      <c r="B7" s="27"/>
      <c r="C7" s="27"/>
      <c r="D7" s="27"/>
      <c r="E7" s="27"/>
      <c r="F7" s="27"/>
      <c r="G7" s="8" t="s">
        <v>34</v>
      </c>
      <c r="H7" s="27"/>
    </row>
    <row r="8" spans="1:8" x14ac:dyDescent="0.2">
      <c r="B8" s="27"/>
      <c r="C8" s="27"/>
      <c r="D8" s="27"/>
      <c r="E8" s="27"/>
      <c r="F8" s="27"/>
      <c r="G8" s="28" t="s">
        <v>3</v>
      </c>
      <c r="H8" s="27"/>
    </row>
    <row r="9" spans="1:8" x14ac:dyDescent="0.2">
      <c r="B9" s="27"/>
      <c r="C9" s="27"/>
      <c r="D9" s="27"/>
      <c r="E9" s="27"/>
      <c r="F9" s="27"/>
      <c r="G9" s="29" t="s">
        <v>143</v>
      </c>
      <c r="H9" s="27"/>
    </row>
    <row r="10" spans="1:8" x14ac:dyDescent="0.2">
      <c r="B10" s="27"/>
      <c r="C10" s="27"/>
      <c r="D10" s="27"/>
      <c r="E10" s="27"/>
      <c r="F10" s="27"/>
      <c r="G10" s="27"/>
      <c r="H10" s="27"/>
    </row>
    <row r="11" spans="1:8" x14ac:dyDescent="0.2">
      <c r="B11" s="30"/>
      <c r="C11" s="27"/>
      <c r="D11" s="27"/>
      <c r="E11" s="27"/>
      <c r="F11" s="27"/>
      <c r="G11" s="27"/>
      <c r="H11" s="27"/>
    </row>
    <row r="12" spans="1:8" x14ac:dyDescent="0.2">
      <c r="A12" s="27"/>
      <c r="B12" s="27"/>
      <c r="C12" s="27"/>
      <c r="D12" s="27"/>
      <c r="E12" s="27"/>
      <c r="F12" s="27"/>
      <c r="G12" s="27"/>
      <c r="H12" s="27"/>
    </row>
    <row r="13" spans="1:8" x14ac:dyDescent="0.2">
      <c r="A13" s="27"/>
      <c r="B13" s="27"/>
      <c r="C13" s="27"/>
      <c r="D13" s="27"/>
      <c r="E13" s="27"/>
      <c r="F13" s="27"/>
      <c r="G13" s="27"/>
      <c r="H13" s="27"/>
    </row>
    <row r="14" spans="1:8" x14ac:dyDescent="0.2">
      <c r="A14" s="27"/>
      <c r="B14" s="27"/>
      <c r="C14" s="27"/>
      <c r="D14" s="27"/>
      <c r="E14" s="25"/>
      <c r="F14" s="25"/>
      <c r="G14" s="25"/>
      <c r="H14" s="27"/>
    </row>
    <row r="15" spans="1:8" x14ac:dyDescent="0.2">
      <c r="A15" s="31" t="s">
        <v>4</v>
      </c>
      <c r="B15" s="31"/>
      <c r="C15" s="31"/>
      <c r="D15" s="31"/>
      <c r="E15" s="32" t="s">
        <v>35</v>
      </c>
      <c r="F15" s="32"/>
      <c r="G15" s="32"/>
      <c r="H15" s="33"/>
    </row>
    <row r="16" spans="1:8" x14ac:dyDescent="0.2">
      <c r="A16" s="33" t="s">
        <v>5</v>
      </c>
      <c r="B16" s="33"/>
      <c r="C16" s="33" t="s">
        <v>6</v>
      </c>
      <c r="D16" s="33"/>
      <c r="E16" s="33" t="s">
        <v>36</v>
      </c>
      <c r="F16" s="33"/>
      <c r="G16" s="33" t="s">
        <v>37</v>
      </c>
      <c r="H16" s="33"/>
    </row>
    <row r="17" spans="1:8" x14ac:dyDescent="0.2">
      <c r="A17" s="27"/>
      <c r="B17" s="27"/>
      <c r="C17" s="27"/>
      <c r="D17" s="27"/>
      <c r="E17" s="27"/>
      <c r="F17" s="27"/>
      <c r="G17" s="27"/>
      <c r="H17" s="27"/>
    </row>
    <row r="18" spans="1:8" x14ac:dyDescent="0.2">
      <c r="A18" s="31">
        <v>1</v>
      </c>
      <c r="B18" s="27" t="s">
        <v>38</v>
      </c>
      <c r="C18" s="16"/>
      <c r="D18" s="34" t="s">
        <v>39</v>
      </c>
      <c r="E18" s="89">
        <v>1606716834</v>
      </c>
      <c r="F18" s="27"/>
      <c r="G18" s="27"/>
      <c r="H18" s="27"/>
    </row>
    <row r="19" spans="1:8" x14ac:dyDescent="0.2">
      <c r="A19" s="31">
        <v>2</v>
      </c>
      <c r="B19" s="31"/>
      <c r="C19" s="27"/>
      <c r="D19" s="27"/>
      <c r="E19" s="27"/>
      <c r="F19" s="27"/>
      <c r="G19" s="27"/>
      <c r="H19" s="27"/>
    </row>
    <row r="20" spans="1:8" x14ac:dyDescent="0.2">
      <c r="A20" s="31">
        <v>3</v>
      </c>
      <c r="B20" s="27" t="s">
        <v>40</v>
      </c>
      <c r="C20" s="16" t="s">
        <v>41</v>
      </c>
      <c r="D20" s="34" t="s">
        <v>42</v>
      </c>
      <c r="E20" s="35">
        <f>'RB vs Cap BP Staff DR, pg3'!H52</f>
        <v>27223186</v>
      </c>
      <c r="F20" s="27"/>
      <c r="G20" s="27"/>
      <c r="H20" s="27"/>
    </row>
    <row r="21" spans="1:8" x14ac:dyDescent="0.2">
      <c r="A21" s="31">
        <v>4</v>
      </c>
      <c r="B21" s="16"/>
      <c r="C21" s="27" t="s">
        <v>43</v>
      </c>
      <c r="D21" s="34" t="s">
        <v>42</v>
      </c>
      <c r="E21" s="35">
        <f>'RB vs Cap BP Staff DR, pg3'!L52</f>
        <v>103188297</v>
      </c>
      <c r="F21" s="27"/>
      <c r="G21" s="27"/>
      <c r="H21" s="27"/>
    </row>
    <row r="22" spans="1:8" x14ac:dyDescent="0.2">
      <c r="A22" s="31">
        <v>5</v>
      </c>
      <c r="B22" s="16"/>
      <c r="C22" s="27" t="s">
        <v>44</v>
      </c>
      <c r="D22" s="34" t="s">
        <v>42</v>
      </c>
      <c r="E22" s="35">
        <f>'RB vs Cap BP Staff DR, pg3'!M52</f>
        <v>-23697504</v>
      </c>
      <c r="F22" s="27"/>
      <c r="G22" s="27"/>
      <c r="H22" s="27"/>
    </row>
    <row r="23" spans="1:8" x14ac:dyDescent="0.2">
      <c r="A23" s="31">
        <v>6</v>
      </c>
      <c r="B23" s="31"/>
      <c r="C23" s="27"/>
      <c r="D23" s="27"/>
      <c r="E23" s="27"/>
      <c r="F23" s="27"/>
      <c r="G23" s="27"/>
      <c r="H23" s="27"/>
    </row>
    <row r="24" spans="1:8" x14ac:dyDescent="0.2">
      <c r="A24" s="31">
        <v>7</v>
      </c>
      <c r="B24" s="27" t="s">
        <v>45</v>
      </c>
      <c r="C24" s="16"/>
      <c r="D24" s="27"/>
      <c r="E24" s="35">
        <f>E18-E20-E21-E22</f>
        <v>1500002855</v>
      </c>
      <c r="F24" s="27"/>
      <c r="G24" s="27"/>
      <c r="H24" s="27"/>
    </row>
    <row r="25" spans="1:8" x14ac:dyDescent="0.2">
      <c r="A25" s="31">
        <v>8</v>
      </c>
      <c r="B25" s="27"/>
      <c r="C25" s="16"/>
      <c r="D25" s="27"/>
      <c r="E25" s="27"/>
      <c r="F25" s="27"/>
      <c r="G25" s="27"/>
      <c r="H25" s="27"/>
    </row>
    <row r="26" spans="1:8" x14ac:dyDescent="0.2">
      <c r="A26" s="31">
        <v>9</v>
      </c>
      <c r="B26" s="27" t="s">
        <v>46</v>
      </c>
      <c r="C26" s="16"/>
      <c r="D26" s="34" t="s">
        <v>42</v>
      </c>
      <c r="E26" s="36">
        <f>GRBR_BP</f>
        <v>0.28314</v>
      </c>
      <c r="F26" s="27"/>
      <c r="G26" s="35">
        <f>ROUND(E24*E26,0)</f>
        <v>424710808</v>
      </c>
      <c r="H26" s="35"/>
    </row>
    <row r="27" spans="1:8" x14ac:dyDescent="0.2">
      <c r="A27" s="31">
        <v>10</v>
      </c>
      <c r="B27" s="27"/>
      <c r="C27" s="16"/>
      <c r="D27" s="27"/>
      <c r="E27" s="37"/>
      <c r="F27" s="27"/>
      <c r="G27" s="35"/>
      <c r="H27" s="35"/>
    </row>
    <row r="28" spans="1:8" x14ac:dyDescent="0.2">
      <c r="A28" s="31">
        <v>11</v>
      </c>
      <c r="B28" s="27" t="s">
        <v>47</v>
      </c>
      <c r="C28" s="16"/>
      <c r="D28" s="34" t="s">
        <v>48</v>
      </c>
      <c r="E28" s="36"/>
      <c r="F28" s="27"/>
      <c r="G28" s="90">
        <v>327453</v>
      </c>
      <c r="H28" s="35"/>
    </row>
    <row r="29" spans="1:8" x14ac:dyDescent="0.2">
      <c r="A29" s="31">
        <v>12</v>
      </c>
      <c r="B29" s="27"/>
      <c r="C29" s="16"/>
      <c r="D29" s="27"/>
      <c r="E29" s="27"/>
      <c r="F29" s="27"/>
      <c r="G29" s="35"/>
      <c r="H29" s="35"/>
    </row>
    <row r="30" spans="1:8" x14ac:dyDescent="0.2">
      <c r="A30" s="31">
        <v>13</v>
      </c>
      <c r="B30" s="27" t="s">
        <v>49</v>
      </c>
      <c r="C30" s="16"/>
      <c r="D30" s="27"/>
      <c r="E30" s="35"/>
      <c r="F30" s="27"/>
      <c r="G30" s="38">
        <f>SUM(G26:G28)</f>
        <v>425038261</v>
      </c>
      <c r="H30" s="35"/>
    </row>
    <row r="31" spans="1:8" x14ac:dyDescent="0.2">
      <c r="A31" s="31"/>
      <c r="B31" s="31"/>
      <c r="C31" s="27"/>
      <c r="D31" s="27"/>
      <c r="E31" s="27"/>
      <c r="F31" s="27"/>
      <c r="G31" s="27"/>
      <c r="H31" s="27"/>
    </row>
    <row r="32" spans="1:8" x14ac:dyDescent="0.2">
      <c r="A32" s="31"/>
      <c r="B32" s="31"/>
      <c r="C32" s="27"/>
      <c r="D32" s="27"/>
      <c r="E32" s="27"/>
      <c r="F32" s="27"/>
      <c r="G32" s="27"/>
      <c r="H32" s="27"/>
    </row>
    <row r="33" spans="1:8" x14ac:dyDescent="0.2">
      <c r="A33" s="31"/>
      <c r="B33" s="31"/>
      <c r="C33" s="27"/>
      <c r="D33" s="27"/>
      <c r="E33" s="27"/>
      <c r="F33" s="31"/>
      <c r="G33" s="31"/>
      <c r="H33" s="27"/>
    </row>
    <row r="34" spans="1:8" x14ac:dyDescent="0.2">
      <c r="A34" s="31"/>
      <c r="B34" s="31"/>
      <c r="C34" s="27"/>
      <c r="D34" s="27"/>
      <c r="E34" s="27"/>
      <c r="F34" s="31"/>
      <c r="G34" s="27"/>
      <c r="H34" s="27"/>
    </row>
    <row r="35" spans="1:8" x14ac:dyDescent="0.2">
      <c r="A35" s="31"/>
      <c r="B35" s="31"/>
      <c r="C35" s="27"/>
      <c r="D35" s="27"/>
      <c r="E35" s="27"/>
      <c r="F35" s="31"/>
      <c r="G35" s="27"/>
      <c r="H35" s="27"/>
    </row>
    <row r="36" spans="1:8" x14ac:dyDescent="0.2">
      <c r="A36" s="27"/>
      <c r="B36" s="27" t="s">
        <v>50</v>
      </c>
      <c r="C36" s="16"/>
      <c r="D36" s="27"/>
      <c r="E36" s="27"/>
      <c r="F36" s="27"/>
      <c r="G36" s="31"/>
      <c r="H36" s="27"/>
    </row>
    <row r="37" spans="1:8" x14ac:dyDescent="0.2">
      <c r="A37" s="27"/>
      <c r="B37" s="39" t="s">
        <v>51</v>
      </c>
      <c r="C37" s="16"/>
      <c r="D37" s="27"/>
      <c r="E37" s="27"/>
      <c r="F37" s="27"/>
      <c r="G37" s="31"/>
      <c r="H37" s="27"/>
    </row>
    <row r="38" spans="1:8" x14ac:dyDescent="0.2">
      <c r="A38" s="27"/>
      <c r="B38" s="39" t="s">
        <v>137</v>
      </c>
      <c r="C38" s="16"/>
      <c r="D38" s="27"/>
      <c r="E38" s="27"/>
      <c r="F38" s="27"/>
      <c r="G38" s="27"/>
      <c r="H38" s="27"/>
    </row>
    <row r="39" spans="1:8" x14ac:dyDescent="0.2">
      <c r="A39" s="27"/>
      <c r="B39" s="39" t="s">
        <v>52</v>
      </c>
      <c r="C39" s="16"/>
      <c r="D39" s="27"/>
      <c r="E39" s="27"/>
      <c r="F39" s="27"/>
      <c r="G39" s="27"/>
      <c r="H39" s="27"/>
    </row>
  </sheetData>
  <pageMargins left="1" right="0.7" top="1" bottom="0.75" header="0.3" footer="0.3"/>
  <pageSetup scale="83" fitToWidth="0" fitToHeight="0" orientation="portrait" verticalDpi="1200" r:id="rId1"/>
  <headerFooter>
    <oddHeader>&amp;R&amp;"Times New Roman,Bold"KyPSC Case No. 2021-00190
STAFF-DR-01-022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E151-6C43-4CD3-B8DD-A88E9FBC1CB1}">
  <sheetPr codeName="Sheet39">
    <tabColor rgb="FF00B0F0"/>
    <pageSetUpPr fitToPage="1"/>
  </sheetPr>
  <dimension ref="A1:M63"/>
  <sheetViews>
    <sheetView view="pageLayout" topLeftCell="B1" zoomScaleNormal="100" workbookViewId="0">
      <selection activeCell="B4" sqref="B4"/>
    </sheetView>
  </sheetViews>
  <sheetFormatPr defaultRowHeight="12.75" x14ac:dyDescent="0.2"/>
  <cols>
    <col min="2" max="2" width="52.5703125" customWidth="1"/>
    <col min="3" max="3" width="15.42578125" customWidth="1"/>
    <col min="4" max="4" width="3.140625" customWidth="1"/>
    <col min="5" max="5" width="14.42578125" customWidth="1"/>
    <col min="6" max="6" width="14" customWidth="1"/>
    <col min="7" max="7" width="5.5703125" customWidth="1"/>
    <col min="8" max="8" width="13.5703125" customWidth="1"/>
    <col min="9" max="9" width="6.5703125" customWidth="1"/>
    <col min="10" max="10" width="14.5703125" customWidth="1"/>
    <col min="11" max="11" width="2.85546875" customWidth="1"/>
    <col min="12" max="13" width="15.5703125" customWidth="1"/>
  </cols>
  <sheetData>
    <row r="1" spans="1:13" x14ac:dyDescent="0.2">
      <c r="A1" s="40" t="s">
        <v>138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">
      <c r="A2" s="40" t="s">
        <v>139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">
      <c r="A3" s="1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">
      <c r="A4" s="25" t="s">
        <v>140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2">
      <c r="A5" s="41"/>
    </row>
    <row r="6" spans="1:13" x14ac:dyDescent="0.2">
      <c r="B6" s="42"/>
      <c r="C6" s="42"/>
      <c r="D6" s="42"/>
      <c r="E6" s="27"/>
      <c r="F6" s="27"/>
      <c r="G6" s="27"/>
      <c r="H6" s="27"/>
      <c r="I6" s="27"/>
      <c r="K6" s="43"/>
      <c r="L6" s="27" t="s">
        <v>136</v>
      </c>
      <c r="M6" s="27"/>
    </row>
    <row r="7" spans="1:13" x14ac:dyDescent="0.2">
      <c r="B7" s="42"/>
      <c r="C7" s="42"/>
      <c r="D7" s="42"/>
      <c r="E7" s="27"/>
      <c r="F7" s="27"/>
      <c r="G7" s="27"/>
      <c r="H7" s="27"/>
      <c r="I7" s="27"/>
      <c r="K7" s="42"/>
      <c r="L7" s="43" t="s">
        <v>53</v>
      </c>
      <c r="M7" s="27"/>
    </row>
    <row r="8" spans="1:13" x14ac:dyDescent="0.2">
      <c r="B8" s="42"/>
      <c r="C8" s="42"/>
      <c r="D8" s="42"/>
      <c r="E8" s="27"/>
      <c r="F8" s="27"/>
      <c r="G8" s="27"/>
      <c r="H8" s="27"/>
      <c r="I8" s="27"/>
      <c r="J8" s="27"/>
      <c r="K8" s="27"/>
      <c r="L8" s="43" t="s">
        <v>3</v>
      </c>
      <c r="M8" s="27"/>
    </row>
    <row r="9" spans="1:13" x14ac:dyDescent="0.2">
      <c r="B9" s="42"/>
      <c r="C9" s="42"/>
      <c r="D9" s="42"/>
      <c r="E9" s="42"/>
      <c r="F9" s="42"/>
      <c r="G9" s="42"/>
      <c r="H9" s="27"/>
      <c r="I9" s="27"/>
      <c r="J9" s="27"/>
      <c r="K9" s="27"/>
      <c r="L9" s="42" t="s">
        <v>143</v>
      </c>
      <c r="M9" s="27"/>
    </row>
    <row r="10" spans="1:13" x14ac:dyDescent="0.2">
      <c r="B10" s="42"/>
      <c r="C10" s="42"/>
      <c r="D10" s="42"/>
      <c r="E10" s="42"/>
      <c r="F10" s="42"/>
      <c r="G10" s="42"/>
      <c r="H10" s="27"/>
      <c r="I10" s="27"/>
      <c r="J10" s="27"/>
      <c r="K10" s="27"/>
      <c r="L10" s="42"/>
      <c r="M10" s="27"/>
    </row>
    <row r="11" spans="1:13" x14ac:dyDescent="0.2">
      <c r="B11" s="42"/>
      <c r="C11" s="42"/>
      <c r="D11" s="42"/>
      <c r="E11" s="42"/>
      <c r="F11" s="42"/>
      <c r="G11" s="42"/>
      <c r="H11" s="27"/>
      <c r="I11" s="27"/>
      <c r="J11" s="27"/>
      <c r="K11" s="27"/>
      <c r="L11" s="27"/>
      <c r="M11" s="27"/>
    </row>
    <row r="12" spans="1:13" x14ac:dyDescent="0.2">
      <c r="A12" s="42"/>
      <c r="B12" s="42"/>
      <c r="C12" s="42"/>
      <c r="D12" s="42"/>
      <c r="E12" s="42"/>
      <c r="F12" s="44" t="s">
        <v>54</v>
      </c>
      <c r="G12" s="44"/>
      <c r="H12" s="27"/>
      <c r="I12" s="27"/>
      <c r="J12" s="44"/>
      <c r="K12" s="44"/>
      <c r="L12" s="27"/>
      <c r="M12" s="27"/>
    </row>
    <row r="13" spans="1:13" x14ac:dyDescent="0.2">
      <c r="A13" s="42"/>
      <c r="B13" s="42"/>
      <c r="C13" s="42"/>
      <c r="D13" s="42"/>
      <c r="E13" s="42"/>
      <c r="F13" s="44" t="s">
        <v>55</v>
      </c>
      <c r="G13" s="44"/>
      <c r="H13" s="27"/>
      <c r="I13" s="27"/>
      <c r="J13" s="44"/>
      <c r="K13" s="44"/>
      <c r="L13" s="27"/>
      <c r="M13" s="27"/>
    </row>
    <row r="14" spans="1:13" x14ac:dyDescent="0.2">
      <c r="A14" s="44" t="s">
        <v>4</v>
      </c>
      <c r="B14" s="42"/>
      <c r="C14" s="44" t="s">
        <v>56</v>
      </c>
      <c r="D14" s="42"/>
      <c r="E14" s="44" t="s">
        <v>36</v>
      </c>
      <c r="F14" s="44" t="s">
        <v>57</v>
      </c>
      <c r="G14" s="44"/>
      <c r="H14" s="44" t="s">
        <v>37</v>
      </c>
      <c r="I14" s="44"/>
      <c r="J14" s="44" t="s">
        <v>58</v>
      </c>
      <c r="K14" s="44"/>
      <c r="L14" s="44" t="s">
        <v>58</v>
      </c>
      <c r="M14" s="44" t="s">
        <v>59</v>
      </c>
    </row>
    <row r="15" spans="1:13" x14ac:dyDescent="0.2">
      <c r="A15" s="45" t="s">
        <v>5</v>
      </c>
      <c r="B15" s="46" t="s">
        <v>6</v>
      </c>
      <c r="C15" s="45" t="s">
        <v>60</v>
      </c>
      <c r="D15" s="47"/>
      <c r="E15" s="45" t="s">
        <v>61</v>
      </c>
      <c r="F15" s="45" t="s">
        <v>62</v>
      </c>
      <c r="G15" s="45"/>
      <c r="H15" s="45" t="s">
        <v>63</v>
      </c>
      <c r="I15" s="45"/>
      <c r="J15" s="45" t="s">
        <v>64</v>
      </c>
      <c r="K15" s="45"/>
      <c r="L15" s="45" t="s">
        <v>63</v>
      </c>
      <c r="M15" s="45" t="s">
        <v>64</v>
      </c>
    </row>
    <row r="16" spans="1:13" x14ac:dyDescent="0.2">
      <c r="A16" s="44"/>
      <c r="B16" s="42"/>
      <c r="C16" s="42"/>
      <c r="D16" s="42"/>
      <c r="E16" s="42"/>
      <c r="F16" s="42"/>
      <c r="G16" s="42"/>
      <c r="H16" s="27"/>
      <c r="I16" s="27"/>
      <c r="J16" s="27"/>
      <c r="K16" s="27"/>
      <c r="L16" s="27"/>
      <c r="M16" s="27"/>
    </row>
    <row r="17" spans="1:13" x14ac:dyDescent="0.2">
      <c r="A17" s="44">
        <v>1</v>
      </c>
      <c r="B17" s="43" t="s">
        <v>65</v>
      </c>
      <c r="C17" s="44" t="s">
        <v>66</v>
      </c>
      <c r="D17" s="42"/>
      <c r="E17" s="48">
        <f>SUM(F17:M17)</f>
        <v>2990528588</v>
      </c>
      <c r="F17" s="50">
        <v>720302797</v>
      </c>
      <c r="G17" s="49" t="s">
        <v>67</v>
      </c>
      <c r="H17" s="50">
        <v>39059957</v>
      </c>
      <c r="I17" s="49" t="s">
        <v>67</v>
      </c>
      <c r="J17" s="50">
        <v>2094007200</v>
      </c>
      <c r="K17" s="50"/>
      <c r="L17" s="50">
        <v>137158634</v>
      </c>
      <c r="M17" s="50">
        <v>0</v>
      </c>
    </row>
    <row r="18" spans="1:13" x14ac:dyDescent="0.2">
      <c r="A18" s="44">
        <v>2</v>
      </c>
      <c r="B18" s="43"/>
      <c r="C18" s="44"/>
      <c r="D18" s="42"/>
      <c r="E18" s="48"/>
      <c r="F18" s="50"/>
      <c r="G18" s="48"/>
      <c r="H18" s="50"/>
      <c r="I18" s="51"/>
      <c r="J18" s="50"/>
      <c r="K18" s="50"/>
      <c r="L18" s="50"/>
      <c r="M18" s="50"/>
    </row>
    <row r="19" spans="1:13" x14ac:dyDescent="0.2">
      <c r="A19" s="44">
        <v>3</v>
      </c>
      <c r="B19" s="43" t="s">
        <v>68</v>
      </c>
      <c r="C19" s="42"/>
      <c r="D19" s="42"/>
      <c r="E19" s="48"/>
      <c r="F19" s="50"/>
      <c r="G19" s="48"/>
      <c r="H19" s="50"/>
      <c r="I19" s="51"/>
      <c r="J19" s="50"/>
      <c r="K19" s="50"/>
      <c r="L19" s="50"/>
      <c r="M19" s="50"/>
    </row>
    <row r="20" spans="1:13" x14ac:dyDescent="0.2">
      <c r="A20" s="44">
        <v>4</v>
      </c>
      <c r="B20" s="43" t="s">
        <v>69</v>
      </c>
      <c r="C20" s="52" t="s">
        <v>70</v>
      </c>
      <c r="D20" s="42"/>
      <c r="E20" s="48">
        <f>SUM(F20:M20)</f>
        <v>0</v>
      </c>
      <c r="F20" s="50">
        <v>0</v>
      </c>
      <c r="G20" s="48"/>
      <c r="H20" s="50">
        <v>0</v>
      </c>
      <c r="I20" s="51"/>
      <c r="J20" s="50">
        <v>0</v>
      </c>
      <c r="K20" s="50"/>
      <c r="L20" s="50">
        <v>0</v>
      </c>
      <c r="M20" s="50">
        <v>0</v>
      </c>
    </row>
    <row r="21" spans="1:13" x14ac:dyDescent="0.2">
      <c r="A21" s="44">
        <v>5</v>
      </c>
      <c r="B21" s="42"/>
      <c r="C21" s="42"/>
      <c r="D21" s="42"/>
      <c r="E21" s="53"/>
      <c r="F21" s="55"/>
      <c r="G21" s="42"/>
      <c r="H21" s="55"/>
      <c r="I21" s="54"/>
      <c r="J21" s="55"/>
      <c r="K21" s="54"/>
      <c r="L21" s="55"/>
      <c r="M21" s="55"/>
    </row>
    <row r="22" spans="1:13" x14ac:dyDescent="0.2">
      <c r="A22" s="44">
        <v>6</v>
      </c>
      <c r="B22" s="42" t="s">
        <v>71</v>
      </c>
      <c r="C22" s="44" t="s">
        <v>72</v>
      </c>
      <c r="D22" s="42"/>
      <c r="E22" s="48">
        <f>SUM(F22:M22)</f>
        <v>24959560</v>
      </c>
      <c r="F22" s="50">
        <v>0</v>
      </c>
      <c r="G22" s="42"/>
      <c r="H22" s="50">
        <v>0</v>
      </c>
      <c r="I22" s="54"/>
      <c r="J22" s="50">
        <v>24959560</v>
      </c>
      <c r="K22" s="48"/>
      <c r="L22" s="50">
        <v>0</v>
      </c>
      <c r="M22" s="55"/>
    </row>
    <row r="23" spans="1:13" x14ac:dyDescent="0.2">
      <c r="A23" s="44">
        <v>7</v>
      </c>
      <c r="B23" s="42"/>
      <c r="C23" s="42"/>
      <c r="D23" s="42"/>
      <c r="E23" s="53"/>
      <c r="F23" s="55"/>
      <c r="G23" s="42"/>
      <c r="H23" s="55"/>
      <c r="I23" s="54"/>
      <c r="J23" s="55"/>
      <c r="K23" s="54"/>
      <c r="L23" s="55"/>
      <c r="M23" s="55"/>
    </row>
    <row r="24" spans="1:13" x14ac:dyDescent="0.2">
      <c r="A24" s="44">
        <v>8</v>
      </c>
      <c r="B24" s="43" t="s">
        <v>73</v>
      </c>
      <c r="C24" s="42"/>
      <c r="D24" s="42"/>
      <c r="E24" s="57"/>
      <c r="F24" s="50"/>
      <c r="G24" s="48"/>
      <c r="H24" s="50"/>
      <c r="I24" s="51"/>
      <c r="J24" s="50"/>
      <c r="K24" s="51"/>
      <c r="L24" s="50"/>
      <c r="M24" s="50"/>
    </row>
    <row r="25" spans="1:13" x14ac:dyDescent="0.2">
      <c r="A25" s="44">
        <v>9</v>
      </c>
      <c r="B25" s="43" t="s">
        <v>74</v>
      </c>
      <c r="C25" s="44" t="s">
        <v>75</v>
      </c>
      <c r="D25" s="42"/>
      <c r="E25" s="48">
        <f>SUM(F25:M25)</f>
        <v>4986469</v>
      </c>
      <c r="F25" s="50">
        <v>1785156</v>
      </c>
      <c r="G25" s="48"/>
      <c r="H25" s="50">
        <v>3201313</v>
      </c>
      <c r="I25" s="48"/>
      <c r="J25" s="50">
        <v>0</v>
      </c>
      <c r="K25" s="56"/>
      <c r="L25" s="50">
        <v>0</v>
      </c>
      <c r="M25" s="50">
        <v>0</v>
      </c>
    </row>
    <row r="26" spans="1:13" x14ac:dyDescent="0.2">
      <c r="A26" s="44">
        <v>10</v>
      </c>
      <c r="B26" s="43" t="s">
        <v>76</v>
      </c>
      <c r="C26" s="44" t="s">
        <v>77</v>
      </c>
      <c r="D26" s="42"/>
      <c r="E26" s="48">
        <f>SUM(F26:M26)</f>
        <v>17560015</v>
      </c>
      <c r="F26" s="50">
        <v>422179</v>
      </c>
      <c r="G26" s="51"/>
      <c r="H26" s="50">
        <v>0</v>
      </c>
      <c r="I26" s="51"/>
      <c r="J26" s="50">
        <v>17137836</v>
      </c>
      <c r="K26" s="48"/>
      <c r="L26" s="50">
        <v>0</v>
      </c>
      <c r="M26" s="50">
        <v>0</v>
      </c>
    </row>
    <row r="27" spans="1:13" x14ac:dyDescent="0.2">
      <c r="A27" s="44">
        <v>11</v>
      </c>
      <c r="B27" s="44" t="s">
        <v>78</v>
      </c>
      <c r="C27" s="42"/>
      <c r="D27" s="42"/>
      <c r="E27" s="58">
        <f>E25+E26</f>
        <v>22546484</v>
      </c>
      <c r="F27" s="58">
        <f>F25+F26</f>
        <v>2207335</v>
      </c>
      <c r="G27" s="48"/>
      <c r="H27" s="58">
        <f>H25+H26</f>
        <v>3201313</v>
      </c>
      <c r="I27" s="48"/>
      <c r="J27" s="58">
        <f>J25+J26</f>
        <v>17137836</v>
      </c>
      <c r="K27" s="58"/>
      <c r="L27" s="58">
        <f>L25+L26</f>
        <v>0</v>
      </c>
      <c r="M27" s="58">
        <f>M25+M26</f>
        <v>0</v>
      </c>
    </row>
    <row r="28" spans="1:13" x14ac:dyDescent="0.2">
      <c r="A28" s="44">
        <v>12</v>
      </c>
      <c r="B28" s="42"/>
      <c r="C28" s="42"/>
      <c r="D28" s="42"/>
      <c r="E28" s="48"/>
      <c r="F28" s="48"/>
      <c r="G28" s="48"/>
      <c r="H28" s="48"/>
      <c r="I28" s="48"/>
      <c r="J28" s="48"/>
      <c r="K28" s="48"/>
      <c r="L28" s="27"/>
      <c r="M28" s="27"/>
    </row>
    <row r="29" spans="1:13" x14ac:dyDescent="0.2">
      <c r="A29" s="44">
        <v>13</v>
      </c>
      <c r="B29" s="43" t="s">
        <v>79</v>
      </c>
      <c r="C29" s="44" t="s">
        <v>80</v>
      </c>
      <c r="D29" s="42"/>
      <c r="E29" s="48">
        <f>SUM(F29:M29)</f>
        <v>1692954</v>
      </c>
      <c r="F29" s="50">
        <v>1692954</v>
      </c>
      <c r="G29" s="51"/>
      <c r="H29" s="50">
        <v>0</v>
      </c>
      <c r="I29" s="51"/>
      <c r="J29" s="50">
        <v>0</v>
      </c>
      <c r="K29" s="50"/>
      <c r="L29" s="50">
        <v>0</v>
      </c>
      <c r="M29" s="50">
        <v>0</v>
      </c>
    </row>
    <row r="30" spans="1:13" x14ac:dyDescent="0.2">
      <c r="A30" s="44">
        <v>14</v>
      </c>
      <c r="B30" s="42"/>
      <c r="C30" s="42"/>
      <c r="D30" s="42"/>
      <c r="E30" s="57"/>
      <c r="F30" s="50"/>
      <c r="G30" s="51"/>
      <c r="H30" s="50"/>
      <c r="I30" s="51"/>
      <c r="J30" s="50"/>
      <c r="K30" s="50"/>
      <c r="L30" s="50"/>
      <c r="M30" s="50"/>
    </row>
    <row r="31" spans="1:13" x14ac:dyDescent="0.2">
      <c r="A31" s="44">
        <v>15</v>
      </c>
      <c r="B31" s="43" t="s">
        <v>81</v>
      </c>
      <c r="C31" s="44" t="s">
        <v>82</v>
      </c>
      <c r="D31" s="42"/>
      <c r="E31" s="48">
        <f>SUM(F31:M31)</f>
        <v>1998259</v>
      </c>
      <c r="F31" s="50">
        <v>101112</v>
      </c>
      <c r="G31" s="51"/>
      <c r="H31" s="50">
        <v>140856</v>
      </c>
      <c r="I31" s="51"/>
      <c r="J31" s="50">
        <v>935719</v>
      </c>
      <c r="K31" s="50"/>
      <c r="L31" s="50">
        <v>820572</v>
      </c>
      <c r="M31" s="50">
        <v>0</v>
      </c>
    </row>
    <row r="32" spans="1:13" x14ac:dyDescent="0.2">
      <c r="A32" s="44">
        <v>16</v>
      </c>
      <c r="B32" s="42"/>
      <c r="C32" s="42"/>
      <c r="D32" s="42"/>
      <c r="E32" s="57"/>
      <c r="F32" s="50"/>
      <c r="G32" s="51"/>
      <c r="H32" s="50"/>
      <c r="I32" s="51"/>
      <c r="J32" s="50"/>
      <c r="K32" s="50"/>
      <c r="L32" s="50"/>
      <c r="M32" s="50"/>
    </row>
    <row r="33" spans="1:13" x14ac:dyDescent="0.2">
      <c r="A33" s="44">
        <v>17</v>
      </c>
      <c r="B33" s="42" t="s">
        <v>83</v>
      </c>
      <c r="C33" s="44" t="s">
        <v>84</v>
      </c>
      <c r="D33" s="42"/>
      <c r="E33" s="48">
        <f>SUM(F33:M33)</f>
        <v>0</v>
      </c>
      <c r="F33" s="50">
        <v>0</v>
      </c>
      <c r="G33" s="50"/>
      <c r="H33" s="50">
        <v>0</v>
      </c>
      <c r="I33" s="51"/>
      <c r="J33" s="50">
        <v>0</v>
      </c>
      <c r="K33" s="50"/>
      <c r="L33" s="50"/>
      <c r="M33" s="50"/>
    </row>
    <row r="34" spans="1:13" x14ac:dyDescent="0.2">
      <c r="A34" s="44">
        <v>18</v>
      </c>
      <c r="B34" s="42"/>
      <c r="C34" s="42"/>
      <c r="D34" s="42"/>
      <c r="E34" s="57"/>
      <c r="F34" s="50"/>
      <c r="G34" s="51"/>
      <c r="H34" s="50"/>
      <c r="I34" s="51"/>
      <c r="J34" s="50"/>
      <c r="K34" s="50"/>
      <c r="L34" s="50"/>
      <c r="M34" s="50"/>
    </row>
    <row r="35" spans="1:13" x14ac:dyDescent="0.2">
      <c r="A35" s="44">
        <v>19</v>
      </c>
      <c r="B35" s="43" t="s">
        <v>85</v>
      </c>
      <c r="C35" s="44" t="s">
        <v>86</v>
      </c>
      <c r="D35" s="42"/>
      <c r="E35" s="48">
        <f>SUM(F35:M35)</f>
        <v>0</v>
      </c>
      <c r="F35" s="50">
        <v>0</v>
      </c>
      <c r="G35" s="51"/>
      <c r="H35" s="50">
        <v>0</v>
      </c>
      <c r="I35" s="51"/>
      <c r="J35" s="50">
        <v>0</v>
      </c>
      <c r="K35" s="50"/>
      <c r="L35" s="50">
        <v>0</v>
      </c>
      <c r="M35" s="50">
        <v>0</v>
      </c>
    </row>
    <row r="36" spans="1:13" x14ac:dyDescent="0.2">
      <c r="A36" s="44">
        <v>20</v>
      </c>
      <c r="B36" s="43"/>
      <c r="C36" s="44"/>
      <c r="D36" s="42"/>
      <c r="E36" s="48"/>
      <c r="F36" s="50"/>
      <c r="G36" s="51"/>
      <c r="H36" s="50"/>
      <c r="I36" s="51"/>
      <c r="J36" s="50"/>
      <c r="K36" s="50"/>
      <c r="L36" s="50"/>
      <c r="M36" s="50"/>
    </row>
    <row r="37" spans="1:13" x14ac:dyDescent="0.2">
      <c r="A37" s="44">
        <v>21</v>
      </c>
      <c r="B37" s="43" t="s">
        <v>87</v>
      </c>
      <c r="C37" s="44" t="s">
        <v>88</v>
      </c>
      <c r="D37" s="42"/>
      <c r="E37" s="48">
        <f>SUM(F37:M37)</f>
        <v>0</v>
      </c>
      <c r="F37" s="50">
        <v>0</v>
      </c>
      <c r="G37" s="51"/>
      <c r="H37" s="50">
        <v>0</v>
      </c>
      <c r="I37" s="51"/>
      <c r="J37" s="50">
        <v>0</v>
      </c>
      <c r="K37" s="50"/>
      <c r="L37" s="50">
        <v>0</v>
      </c>
      <c r="M37" s="50">
        <v>0</v>
      </c>
    </row>
    <row r="38" spans="1:13" x14ac:dyDescent="0.2">
      <c r="A38" s="44">
        <v>22</v>
      </c>
      <c r="B38" s="44" t="s">
        <v>89</v>
      </c>
      <c r="C38" s="42"/>
      <c r="D38" s="42"/>
      <c r="E38" s="59">
        <f>E20+E22+E27+E29+E31+E33+E35+E37</f>
        <v>51197257</v>
      </c>
      <c r="F38" s="59">
        <f>F20+F22+F27+F29+F31+F33+F35+F37</f>
        <v>4001401</v>
      </c>
      <c r="G38" s="48"/>
      <c r="H38" s="59">
        <f>H20+H22+H27+H29+H31+H33+H35+H37</f>
        <v>3342169</v>
      </c>
      <c r="I38" s="48"/>
      <c r="J38" s="59">
        <f>J20+J22+J27+J29+J31+J33+J35+J37</f>
        <v>43033115</v>
      </c>
      <c r="K38" s="59"/>
      <c r="L38" s="59">
        <f>L20+L22+L27+L29+L31+L33+L35+L37</f>
        <v>820572</v>
      </c>
      <c r="M38" s="59">
        <f>M20+M22+M27+M29+M31+M33+M35+M37</f>
        <v>0</v>
      </c>
    </row>
    <row r="39" spans="1:13" x14ac:dyDescent="0.2">
      <c r="A39" s="44">
        <v>23</v>
      </c>
      <c r="B39" s="42"/>
      <c r="C39" s="42"/>
      <c r="D39" s="42"/>
      <c r="E39" s="48"/>
      <c r="F39" s="48"/>
      <c r="G39" s="48"/>
      <c r="H39" s="48"/>
      <c r="I39" s="48"/>
      <c r="J39" s="48"/>
      <c r="K39" s="48"/>
      <c r="L39" s="27"/>
      <c r="M39" s="27"/>
    </row>
    <row r="40" spans="1:13" x14ac:dyDescent="0.2">
      <c r="A40" s="44">
        <v>24</v>
      </c>
      <c r="B40" s="43" t="s">
        <v>90</v>
      </c>
      <c r="C40" s="42"/>
      <c r="D40" s="42"/>
      <c r="E40" s="48"/>
      <c r="F40" s="48"/>
      <c r="G40" s="48"/>
      <c r="H40" s="48"/>
      <c r="I40" s="48"/>
      <c r="J40" s="48"/>
      <c r="K40" s="48"/>
      <c r="L40" s="27"/>
      <c r="M40" s="27"/>
    </row>
    <row r="41" spans="1:13" x14ac:dyDescent="0.2">
      <c r="A41" s="44">
        <v>25</v>
      </c>
      <c r="B41" s="43" t="s">
        <v>91</v>
      </c>
      <c r="C41" s="44" t="s">
        <v>92</v>
      </c>
      <c r="D41" s="42"/>
      <c r="E41" s="48">
        <f>SUM(F41:M41)</f>
        <v>1066580159</v>
      </c>
      <c r="F41" s="50">
        <v>199279972</v>
      </c>
      <c r="G41" s="49" t="s">
        <v>67</v>
      </c>
      <c r="H41" s="50">
        <v>10718062</v>
      </c>
      <c r="I41" s="49" t="s">
        <v>67</v>
      </c>
      <c r="J41" s="50">
        <v>825026900</v>
      </c>
      <c r="K41" s="50"/>
      <c r="L41" s="50">
        <v>31555225</v>
      </c>
      <c r="M41" s="50">
        <v>0</v>
      </c>
    </row>
    <row r="42" spans="1:13" x14ac:dyDescent="0.2">
      <c r="A42" s="44">
        <v>26</v>
      </c>
      <c r="B42" s="42"/>
      <c r="C42" s="42"/>
      <c r="D42" s="42"/>
      <c r="E42" s="57"/>
      <c r="F42" s="50"/>
      <c r="G42" s="51"/>
      <c r="H42" s="50"/>
      <c r="I42" s="51"/>
      <c r="J42" s="50"/>
      <c r="K42" s="50"/>
      <c r="L42" s="50"/>
      <c r="M42" s="50"/>
    </row>
    <row r="43" spans="1:13" x14ac:dyDescent="0.2">
      <c r="A43" s="44">
        <v>27</v>
      </c>
      <c r="B43" s="43" t="s">
        <v>93</v>
      </c>
      <c r="C43" s="44" t="s">
        <v>94</v>
      </c>
      <c r="D43" s="42"/>
      <c r="E43" s="48">
        <f>SUM(F43:M43)</f>
        <v>267432340.78164142</v>
      </c>
      <c r="F43" s="50">
        <v>68241938.781641409</v>
      </c>
      <c r="G43" s="60" t="s">
        <v>95</v>
      </c>
      <c r="H43" s="50">
        <v>2541284</v>
      </c>
      <c r="I43" s="60" t="s">
        <v>96</v>
      </c>
      <c r="J43" s="50">
        <v>172951614</v>
      </c>
      <c r="K43" s="50"/>
      <c r="L43" s="50">
        <v>0</v>
      </c>
      <c r="M43" s="50">
        <v>23697504</v>
      </c>
    </row>
    <row r="44" spans="1:13" x14ac:dyDescent="0.2">
      <c r="A44" s="44">
        <v>28</v>
      </c>
      <c r="B44" s="27"/>
      <c r="C44" s="27"/>
      <c r="D44" s="42"/>
      <c r="E44" s="57"/>
      <c r="F44" s="50"/>
      <c r="G44" s="51"/>
      <c r="H44" s="50"/>
      <c r="I44" s="51"/>
      <c r="J44" s="50"/>
      <c r="K44" s="50"/>
      <c r="L44" s="50"/>
      <c r="M44" s="50"/>
    </row>
    <row r="45" spans="1:13" x14ac:dyDescent="0.2">
      <c r="A45" s="44">
        <v>29</v>
      </c>
      <c r="B45" s="43" t="s">
        <v>97</v>
      </c>
      <c r="C45" s="44" t="s">
        <v>88</v>
      </c>
      <c r="D45" s="42"/>
      <c r="E45" s="48">
        <f>SUM(F45:M45)</f>
        <v>1643017</v>
      </c>
      <c r="F45" s="50">
        <v>1643017</v>
      </c>
      <c r="G45" s="51"/>
      <c r="H45" s="50">
        <v>0</v>
      </c>
      <c r="I45" s="51"/>
      <c r="J45" s="50">
        <v>0</v>
      </c>
      <c r="K45" s="50"/>
      <c r="L45" s="50">
        <v>0</v>
      </c>
      <c r="M45" s="50">
        <v>0</v>
      </c>
    </row>
    <row r="46" spans="1:13" x14ac:dyDescent="0.2">
      <c r="A46" s="44">
        <v>30</v>
      </c>
      <c r="B46" s="43"/>
      <c r="C46" s="44"/>
      <c r="D46" s="42"/>
      <c r="E46" s="48"/>
      <c r="F46" s="50"/>
      <c r="G46" s="51"/>
      <c r="H46" s="50"/>
      <c r="I46" s="51"/>
      <c r="J46" s="50"/>
      <c r="K46" s="50"/>
      <c r="L46" s="50"/>
      <c r="M46" s="50"/>
    </row>
    <row r="47" spans="1:13" x14ac:dyDescent="0.2">
      <c r="A47" s="44">
        <v>31</v>
      </c>
      <c r="B47" s="43" t="s">
        <v>98</v>
      </c>
      <c r="C47" s="44" t="s">
        <v>88</v>
      </c>
      <c r="D47" s="42"/>
      <c r="E47" s="48">
        <f>SUM(F47:M47)</f>
        <v>93980800</v>
      </c>
      <c r="F47" s="50">
        <v>29917816</v>
      </c>
      <c r="G47" s="48"/>
      <c r="H47" s="50">
        <v>1592141</v>
      </c>
      <c r="I47" s="51"/>
      <c r="J47" s="50">
        <v>62470843</v>
      </c>
      <c r="K47" s="50"/>
      <c r="L47" s="50">
        <v>0</v>
      </c>
      <c r="M47" s="50">
        <v>0</v>
      </c>
    </row>
    <row r="48" spans="1:13" x14ac:dyDescent="0.2">
      <c r="A48" s="44">
        <v>32</v>
      </c>
      <c r="B48" s="43"/>
      <c r="C48" s="44"/>
      <c r="D48" s="42"/>
      <c r="E48" s="48"/>
      <c r="F48" s="50"/>
      <c r="G48" s="51"/>
      <c r="H48" s="50"/>
      <c r="I48" s="51"/>
      <c r="J48" s="50"/>
      <c r="K48" s="50"/>
      <c r="L48" s="50"/>
      <c r="M48" s="50"/>
    </row>
    <row r="49" spans="1:13" x14ac:dyDescent="0.2">
      <c r="A49" s="44">
        <v>33</v>
      </c>
      <c r="B49" s="43" t="s">
        <v>99</v>
      </c>
      <c r="C49" s="44" t="s">
        <v>100</v>
      </c>
      <c r="D49" s="42"/>
      <c r="E49" s="48">
        <f>SUM(F49:M49)</f>
        <v>3563137</v>
      </c>
      <c r="F49" s="50">
        <v>0</v>
      </c>
      <c r="G49" s="48"/>
      <c r="H49" s="50">
        <v>327453</v>
      </c>
      <c r="I49" s="60" t="s">
        <v>70</v>
      </c>
      <c r="J49" s="50">
        <v>0</v>
      </c>
      <c r="K49" s="50"/>
      <c r="L49" s="50">
        <v>3235684</v>
      </c>
      <c r="M49" s="50">
        <v>0</v>
      </c>
    </row>
    <row r="50" spans="1:13" x14ac:dyDescent="0.2">
      <c r="A50" s="44">
        <v>34</v>
      </c>
      <c r="B50" s="44" t="s">
        <v>101</v>
      </c>
      <c r="C50" s="42"/>
      <c r="D50" s="42"/>
      <c r="E50" s="59">
        <f>SUM(E41:E49)</f>
        <v>1433199453.7816415</v>
      </c>
      <c r="F50" s="59">
        <f>SUM(F41:F49)</f>
        <v>299082743.78164142</v>
      </c>
      <c r="G50" s="48"/>
      <c r="H50" s="59">
        <f>SUM(H41:H49)</f>
        <v>15178940</v>
      </c>
      <c r="I50" s="48"/>
      <c r="J50" s="59">
        <f>SUM(J41:J49)</f>
        <v>1060449357</v>
      </c>
      <c r="K50" s="59"/>
      <c r="L50" s="59">
        <f>SUM(L41:L49)</f>
        <v>34790909</v>
      </c>
      <c r="M50" s="59">
        <f>SUM(M41:M49)</f>
        <v>23697504</v>
      </c>
    </row>
    <row r="51" spans="1:13" x14ac:dyDescent="0.2">
      <c r="A51" s="44">
        <v>35</v>
      </c>
      <c r="B51" s="42"/>
      <c r="C51" s="42"/>
      <c r="D51" s="42"/>
      <c r="E51" s="48"/>
      <c r="F51" s="48"/>
      <c r="G51" s="48"/>
      <c r="H51" s="48"/>
      <c r="I51" s="48"/>
      <c r="J51" s="48"/>
      <c r="K51" s="48"/>
      <c r="L51" s="27"/>
      <c r="M51" s="27"/>
    </row>
    <row r="52" spans="1:13" ht="13.5" thickBot="1" x14ac:dyDescent="0.25">
      <c r="A52" s="44">
        <v>36</v>
      </c>
      <c r="B52" s="43" t="s">
        <v>102</v>
      </c>
      <c r="C52" s="42"/>
      <c r="D52" s="42"/>
      <c r="E52" s="61">
        <f>E17+E38-E50</f>
        <v>1608526391.2183585</v>
      </c>
      <c r="F52" s="61">
        <f>F17+F38-F50</f>
        <v>425221454.21835858</v>
      </c>
      <c r="G52" s="48"/>
      <c r="H52" s="61">
        <f>H17+H38-H50</f>
        <v>27223186</v>
      </c>
      <c r="I52" s="48"/>
      <c r="J52" s="61">
        <f>J17+J38-J50</f>
        <v>1076590958</v>
      </c>
      <c r="K52" s="61"/>
      <c r="L52" s="61">
        <f>L17+L38-L50</f>
        <v>103188297</v>
      </c>
      <c r="M52" s="61">
        <f>M17+M38-M50</f>
        <v>-23697504</v>
      </c>
    </row>
    <row r="53" spans="1:13" ht="13.5" thickTop="1" x14ac:dyDescent="0.2">
      <c r="A53" s="44">
        <v>37</v>
      </c>
      <c r="B53" s="42"/>
      <c r="C53" s="42"/>
      <c r="D53" s="42"/>
      <c r="E53" s="48"/>
      <c r="F53" s="48"/>
      <c r="G53" s="48"/>
      <c r="H53" s="48"/>
      <c r="I53" s="48"/>
      <c r="J53" s="48"/>
      <c r="K53" s="48"/>
      <c r="L53" s="27"/>
      <c r="M53" s="27"/>
    </row>
    <row r="54" spans="1:13" ht="13.5" thickBot="1" x14ac:dyDescent="0.25">
      <c r="A54" s="44">
        <v>38</v>
      </c>
      <c r="B54" s="43" t="s">
        <v>103</v>
      </c>
      <c r="C54" s="42"/>
      <c r="D54" s="42"/>
      <c r="E54" s="62">
        <v>1</v>
      </c>
      <c r="F54" s="63">
        <f>ROUND(F52/E52,5)</f>
        <v>0.26434999999999997</v>
      </c>
      <c r="G54" s="64"/>
      <c r="H54" s="63">
        <f>ROUND(H52/E52,5)</f>
        <v>1.6920000000000001E-2</v>
      </c>
      <c r="I54" s="64"/>
      <c r="J54" s="63">
        <f>E54-F54-H54-L54-M54</f>
        <v>0.66930999999999996</v>
      </c>
      <c r="K54" s="63"/>
      <c r="L54" s="63">
        <f>ROUND(L52/E52,5)</f>
        <v>6.4149999999999999E-2</v>
      </c>
      <c r="M54" s="63">
        <f>ROUND(M52/E52,5)</f>
        <v>-1.473E-2</v>
      </c>
    </row>
    <row r="55" spans="1:13" ht="13.5" thickTop="1" x14ac:dyDescent="0.2">
      <c r="A55" s="44">
        <v>39</v>
      </c>
      <c r="B55" s="42"/>
      <c r="C55" s="42"/>
      <c r="D55" s="42"/>
      <c r="E55" s="50"/>
      <c r="F55" s="48"/>
      <c r="G55" s="48"/>
      <c r="H55" s="48"/>
      <c r="I55" s="48"/>
      <c r="J55" s="48"/>
      <c r="K55" s="48"/>
      <c r="L55" s="27"/>
      <c r="M55" s="27"/>
    </row>
    <row r="56" spans="1:13" ht="13.5" thickBot="1" x14ac:dyDescent="0.25">
      <c r="A56" s="44">
        <v>40</v>
      </c>
      <c r="B56" s="43" t="s">
        <v>104</v>
      </c>
      <c r="C56" s="42"/>
      <c r="D56" s="42"/>
      <c r="E56" s="62">
        <v>1</v>
      </c>
      <c r="F56" s="63">
        <f>ROUND(F52/($F$52+$J$52),5)</f>
        <v>0.28314</v>
      </c>
      <c r="G56" s="64"/>
      <c r="H56" s="64"/>
      <c r="I56" s="64"/>
      <c r="J56" s="63">
        <f>ROUND(J52/($F$52+$J$52),5)</f>
        <v>0.71686000000000005</v>
      </c>
      <c r="K56" s="64"/>
      <c r="L56" s="64"/>
      <c r="M56" s="64"/>
    </row>
    <row r="57" spans="1:13" ht="13.5" thickTop="1" x14ac:dyDescent="0.2">
      <c r="A57" s="44"/>
      <c r="B57" s="43"/>
      <c r="C57" s="42"/>
      <c r="D57" s="42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x14ac:dyDescent="0.2">
      <c r="A59" s="44"/>
      <c r="B59" s="43" t="s">
        <v>50</v>
      </c>
      <c r="C59" s="42"/>
      <c r="D59" s="42"/>
      <c r="E59" s="42"/>
      <c r="F59" s="42"/>
      <c r="G59" s="42"/>
      <c r="H59" s="42"/>
      <c r="I59" s="42"/>
      <c r="J59" s="35"/>
      <c r="K59" s="27"/>
      <c r="L59" s="27"/>
      <c r="M59" s="27"/>
    </row>
    <row r="60" spans="1:13" x14ac:dyDescent="0.2">
      <c r="A60" s="65"/>
      <c r="B60" s="43" t="s">
        <v>105</v>
      </c>
      <c r="C60" s="42"/>
      <c r="D60" s="48"/>
      <c r="E60" s="48"/>
      <c r="F60" s="57"/>
      <c r="G60" s="57"/>
      <c r="H60" s="27"/>
      <c r="I60" s="27"/>
      <c r="J60" s="27"/>
      <c r="K60" s="27"/>
      <c r="L60" s="27"/>
      <c r="M60" s="27"/>
    </row>
    <row r="61" spans="1:13" x14ac:dyDescent="0.2">
      <c r="A61" s="65"/>
      <c r="B61" s="43" t="str">
        <f>"(B)  WPB-6c.  Includes Liberalized Depreciation of "&amp;TEXT(-'RB vs Cap BP Staff DR, pg4'!G20,"$#,###")&amp;"."</f>
        <v>(B)  WPB-6c.  Includes Liberalized Depreciation of $3,233,394.</v>
      </c>
      <c r="C61" s="42"/>
      <c r="D61" s="48"/>
      <c r="E61" s="48"/>
      <c r="F61" s="57"/>
      <c r="G61" s="57"/>
      <c r="H61" s="27"/>
      <c r="I61" s="27"/>
      <c r="J61" s="27"/>
      <c r="K61" s="27"/>
      <c r="L61" s="27"/>
      <c r="M61" s="27"/>
    </row>
    <row r="62" spans="1:13" x14ac:dyDescent="0.2">
      <c r="A62" s="65"/>
      <c r="B62" s="43" t="s">
        <v>106</v>
      </c>
      <c r="C62" s="42"/>
      <c r="D62" s="48"/>
      <c r="E62" s="48"/>
      <c r="F62" s="42"/>
      <c r="G62" s="42"/>
      <c r="H62" s="27"/>
      <c r="I62" s="27"/>
      <c r="J62" s="27"/>
      <c r="K62" s="27"/>
      <c r="L62" s="27"/>
      <c r="M62" s="27"/>
    </row>
    <row r="63" spans="1:13" x14ac:dyDescent="0.2">
      <c r="A63" s="65"/>
      <c r="B63" s="43" t="s">
        <v>107</v>
      </c>
      <c r="C63" s="42"/>
      <c r="D63" s="48"/>
      <c r="E63" s="48"/>
      <c r="F63" s="48"/>
      <c r="G63" s="48"/>
      <c r="H63" s="27"/>
      <c r="I63" s="27"/>
      <c r="J63" s="27"/>
      <c r="K63" s="27"/>
      <c r="L63" s="27"/>
      <c r="M63" s="27"/>
    </row>
  </sheetData>
  <pageMargins left="1" right="0.7" top="1" bottom="0.75" header="0.3" footer="0.3"/>
  <pageSetup scale="58" orientation="landscape" verticalDpi="1200" r:id="rId1"/>
  <headerFooter>
    <oddHeader>&amp;R&amp;"Times New Roman,Bold"KyPSC Case No. 2021-00190
STAFF-DR-01-022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163F-1A58-4B22-B9E6-78E9F1693F8A}">
  <sheetPr codeName="Sheet120">
    <tabColor rgb="FF00B0F0"/>
  </sheetPr>
  <dimension ref="A1:I27"/>
  <sheetViews>
    <sheetView view="pageLayout" zoomScaleNormal="100" workbookViewId="0">
      <selection activeCell="G9" sqref="G9"/>
    </sheetView>
  </sheetViews>
  <sheetFormatPr defaultRowHeight="12.75" x14ac:dyDescent="0.2"/>
  <cols>
    <col min="2" max="2" width="1.5703125" customWidth="1"/>
    <col min="3" max="3" width="31.42578125" customWidth="1"/>
    <col min="4" max="4" width="7.42578125" customWidth="1"/>
    <col min="5" max="5" width="20.85546875" customWidth="1"/>
    <col min="6" max="6" width="11.28515625" customWidth="1"/>
    <col min="7" max="7" width="14.42578125" customWidth="1"/>
  </cols>
  <sheetData>
    <row r="1" spans="1:9" x14ac:dyDescent="0.2">
      <c r="A1" s="74" t="s">
        <v>138</v>
      </c>
      <c r="B1" s="26"/>
      <c r="C1" s="26"/>
      <c r="D1" s="26"/>
      <c r="E1" s="26"/>
      <c r="F1" s="26"/>
      <c r="G1" s="26"/>
      <c r="H1" s="26"/>
    </row>
    <row r="2" spans="1:9" x14ac:dyDescent="0.2">
      <c r="A2" s="74" t="s">
        <v>139</v>
      </c>
      <c r="B2" s="26"/>
      <c r="C2" s="26"/>
      <c r="D2" s="26"/>
      <c r="E2" s="26"/>
      <c r="F2" s="26"/>
      <c r="G2" s="26"/>
      <c r="H2" s="26"/>
    </row>
    <row r="3" spans="1:9" x14ac:dyDescent="0.2">
      <c r="A3" s="1" t="s">
        <v>0</v>
      </c>
      <c r="B3" s="26"/>
      <c r="C3" s="26"/>
      <c r="D3" s="26"/>
      <c r="E3" s="26"/>
      <c r="F3" s="26"/>
      <c r="G3" s="26"/>
      <c r="H3" s="26"/>
    </row>
    <row r="4" spans="1:9" x14ac:dyDescent="0.2">
      <c r="A4" s="75" t="s">
        <v>140</v>
      </c>
      <c r="B4" s="26"/>
      <c r="C4" s="26"/>
      <c r="D4" s="26"/>
      <c r="E4" s="26"/>
      <c r="F4" s="26"/>
      <c r="G4" s="26"/>
      <c r="H4" s="26"/>
    </row>
    <row r="5" spans="1:9" x14ac:dyDescent="0.2">
      <c r="A5" s="26"/>
      <c r="B5" s="26"/>
      <c r="C5" s="26"/>
      <c r="D5" s="26"/>
      <c r="E5" s="26"/>
      <c r="F5" s="26"/>
      <c r="G5" s="26"/>
      <c r="H5" s="26"/>
    </row>
    <row r="7" spans="1:9" x14ac:dyDescent="0.2">
      <c r="B7" s="18"/>
      <c r="C7" s="18"/>
      <c r="D7" s="18"/>
      <c r="E7" s="18"/>
      <c r="F7" s="18"/>
      <c r="G7" s="76" t="s">
        <v>136</v>
      </c>
      <c r="H7" s="18"/>
      <c r="I7" s="42"/>
    </row>
    <row r="8" spans="1:9" x14ac:dyDescent="0.2">
      <c r="A8" s="22"/>
      <c r="B8" s="18"/>
      <c r="C8" s="18"/>
      <c r="D8" s="18"/>
      <c r="E8" s="18"/>
      <c r="F8" s="18"/>
      <c r="G8" s="92" t="s">
        <v>145</v>
      </c>
      <c r="H8" s="18"/>
      <c r="I8" s="42"/>
    </row>
    <row r="9" spans="1:9" x14ac:dyDescent="0.2">
      <c r="B9" s="18"/>
      <c r="C9" s="18"/>
      <c r="D9" s="18"/>
      <c r="E9" s="18"/>
      <c r="F9" s="18"/>
      <c r="G9" s="22" t="s">
        <v>3</v>
      </c>
      <c r="H9" s="18"/>
      <c r="I9" s="42"/>
    </row>
    <row r="10" spans="1:9" x14ac:dyDescent="0.2">
      <c r="A10" s="68"/>
      <c r="B10" s="77"/>
      <c r="C10" s="18"/>
      <c r="D10" s="18"/>
      <c r="E10" s="18"/>
      <c r="F10" s="18"/>
      <c r="G10" s="42" t="s">
        <v>143</v>
      </c>
      <c r="H10" s="18"/>
      <c r="I10" s="42"/>
    </row>
    <row r="11" spans="1:9" x14ac:dyDescent="0.2">
      <c r="A11" s="68"/>
      <c r="B11" s="77"/>
      <c r="C11" s="18"/>
      <c r="D11" s="18"/>
      <c r="E11" s="18"/>
      <c r="F11" s="18"/>
      <c r="G11" s="22" t="s">
        <v>123</v>
      </c>
      <c r="H11" s="18"/>
      <c r="I11" s="42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42"/>
    </row>
    <row r="13" spans="1:9" x14ac:dyDescent="0.2">
      <c r="A13" s="18"/>
      <c r="B13" s="18"/>
      <c r="C13" s="18"/>
      <c r="D13" s="18"/>
      <c r="E13" s="18"/>
      <c r="F13" s="18"/>
      <c r="G13" s="12" t="s">
        <v>124</v>
      </c>
      <c r="H13" s="18"/>
      <c r="I13" s="42"/>
    </row>
    <row r="14" spans="1:9" x14ac:dyDescent="0.2">
      <c r="A14" s="12" t="s">
        <v>125</v>
      </c>
      <c r="B14" s="18"/>
      <c r="C14" s="18"/>
      <c r="D14" s="18"/>
      <c r="E14" s="18"/>
      <c r="F14" s="78" t="s">
        <v>126</v>
      </c>
      <c r="G14" s="12" t="s">
        <v>127</v>
      </c>
      <c r="H14" s="79"/>
      <c r="I14" s="42"/>
    </row>
    <row r="15" spans="1:9" x14ac:dyDescent="0.2">
      <c r="A15" s="80" t="s">
        <v>128</v>
      </c>
      <c r="B15" s="81"/>
      <c r="C15" s="82" t="s">
        <v>6</v>
      </c>
      <c r="D15" s="81"/>
      <c r="E15" s="80" t="s">
        <v>129</v>
      </c>
      <c r="F15" s="80" t="s">
        <v>95</v>
      </c>
      <c r="G15" s="80" t="s">
        <v>130</v>
      </c>
      <c r="H15" s="18"/>
      <c r="I15" s="42"/>
    </row>
    <row r="16" spans="1:9" x14ac:dyDescent="0.2">
      <c r="A16" s="18"/>
      <c r="B16" s="18"/>
      <c r="C16" s="18"/>
      <c r="D16" s="18"/>
      <c r="E16" s="12" t="s">
        <v>39</v>
      </c>
      <c r="F16" s="83" t="s">
        <v>131</v>
      </c>
      <c r="G16" s="83" t="s">
        <v>132</v>
      </c>
      <c r="H16" s="18"/>
      <c r="I16" s="42"/>
    </row>
    <row r="17" spans="1:9" x14ac:dyDescent="0.2">
      <c r="A17" s="18"/>
      <c r="B17" s="18"/>
      <c r="C17" s="84"/>
      <c r="D17" s="18"/>
      <c r="E17" s="18"/>
      <c r="F17" s="18"/>
      <c r="G17" s="18"/>
      <c r="H17" s="18"/>
      <c r="I17" s="42"/>
    </row>
    <row r="18" spans="1:9" x14ac:dyDescent="0.2">
      <c r="A18" s="12">
        <v>1</v>
      </c>
      <c r="B18" s="18"/>
      <c r="C18" s="22" t="s">
        <v>133</v>
      </c>
      <c r="D18" s="18"/>
      <c r="E18" s="24">
        <v>0</v>
      </c>
      <c r="F18" s="86">
        <f>'RB vs CAP BP Staff DR, pg5'!F28</f>
        <v>5.16E-2</v>
      </c>
      <c r="G18" s="85">
        <f>ROUND(F18*E18,0)</f>
        <v>0</v>
      </c>
      <c r="H18" s="18"/>
      <c r="I18" s="42"/>
    </row>
    <row r="19" spans="1:9" x14ac:dyDescent="0.2">
      <c r="A19" s="12">
        <v>2</v>
      </c>
      <c r="B19" s="18"/>
      <c r="C19" s="22"/>
      <c r="D19" s="18"/>
      <c r="E19" s="91"/>
      <c r="F19" s="18"/>
      <c r="G19" s="18"/>
      <c r="H19" s="18"/>
      <c r="I19" s="42"/>
    </row>
    <row r="20" spans="1:9" x14ac:dyDescent="0.2">
      <c r="A20" s="12">
        <f>A19+1</f>
        <v>3</v>
      </c>
      <c r="B20" s="18"/>
      <c r="C20" s="22" t="s">
        <v>134</v>
      </c>
      <c r="D20" s="18"/>
      <c r="E20" s="24">
        <v>-62662666</v>
      </c>
      <c r="F20" s="86">
        <f>F18</f>
        <v>5.16E-2</v>
      </c>
      <c r="G20" s="85">
        <f>ROUND(F20*E20,0)</f>
        <v>-3233394</v>
      </c>
      <c r="H20" s="18"/>
      <c r="I20" s="42"/>
    </row>
    <row r="21" spans="1:9" x14ac:dyDescent="0.2">
      <c r="A21" s="12">
        <f>A20+1</f>
        <v>4</v>
      </c>
      <c r="B21" s="18"/>
      <c r="C21" s="22"/>
      <c r="D21" s="18"/>
      <c r="E21" s="24"/>
      <c r="F21" s="86"/>
      <c r="G21" s="85"/>
      <c r="H21" s="18"/>
      <c r="I21" s="42"/>
    </row>
    <row r="22" spans="1:9" x14ac:dyDescent="0.2">
      <c r="A22" s="12">
        <f>A21+1</f>
        <v>5</v>
      </c>
      <c r="B22" s="18"/>
      <c r="C22" s="22" t="s">
        <v>135</v>
      </c>
      <c r="D22" s="18"/>
      <c r="E22" s="24">
        <v>-30855441</v>
      </c>
      <c r="F22" s="86">
        <f>F18</f>
        <v>5.16E-2</v>
      </c>
      <c r="G22" s="85">
        <f>ROUND(F22*E22,0)</f>
        <v>-1592141</v>
      </c>
      <c r="H22" s="18"/>
      <c r="I22" s="42"/>
    </row>
    <row r="23" spans="1:9" x14ac:dyDescent="0.2">
      <c r="A23" s="12"/>
      <c r="B23" s="18"/>
      <c r="C23" s="22"/>
      <c r="D23" s="18"/>
      <c r="E23" s="91"/>
      <c r="F23" s="18"/>
      <c r="G23" s="18"/>
      <c r="H23" s="18"/>
      <c r="I23" s="42"/>
    </row>
    <row r="24" spans="1:9" x14ac:dyDescent="0.2">
      <c r="A24" s="12"/>
      <c r="B24" s="18"/>
      <c r="C24" s="22"/>
      <c r="D24" s="18"/>
      <c r="E24" s="18"/>
      <c r="F24" s="18"/>
      <c r="G24" s="18"/>
      <c r="H24" s="18"/>
      <c r="I24" s="42"/>
    </row>
    <row r="25" spans="1:9" x14ac:dyDescent="0.2">
      <c r="A25" s="12"/>
      <c r="B25" s="18"/>
      <c r="C25" s="39" t="s">
        <v>144</v>
      </c>
      <c r="D25" s="18"/>
      <c r="E25" s="18"/>
      <c r="F25" s="18"/>
      <c r="G25" s="18"/>
      <c r="H25" s="18"/>
      <c r="I25" s="42"/>
    </row>
    <row r="26" spans="1:9" x14ac:dyDescent="0.2">
      <c r="A26" s="12"/>
      <c r="B26" s="18"/>
      <c r="C26" s="22"/>
      <c r="D26" s="18"/>
      <c r="E26" s="18"/>
      <c r="F26" s="18"/>
      <c r="G26" s="18"/>
      <c r="H26" s="18"/>
      <c r="I26" s="42"/>
    </row>
    <row r="27" spans="1:9" x14ac:dyDescent="0.2">
      <c r="A27" s="42"/>
      <c r="B27" s="42"/>
      <c r="C27" s="42"/>
      <c r="D27" s="42"/>
      <c r="E27" s="42"/>
      <c r="F27" s="42"/>
      <c r="G27" s="42"/>
      <c r="H27" s="42"/>
      <c r="I27" s="42"/>
    </row>
  </sheetData>
  <pageMargins left="1" right="0.7" top="1" bottom="0.75" header="0.3" footer="0.3"/>
  <pageSetup fitToWidth="0" fitToHeight="0" orientation="landscape" verticalDpi="1200" r:id="rId1"/>
  <headerFooter>
    <oddHeader>&amp;R&amp;"Times New Roman,Bold"KyPSC Case No. 2021-00190
STAFF-DR-01-022 Attachment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DE79F-3239-4B2B-A5C1-70CA7F085D79}">
  <sheetPr codeName="Sheet121">
    <tabColor rgb="FF00B0F0"/>
    <pageSetUpPr fitToPage="1"/>
  </sheetPr>
  <dimension ref="A1:M31"/>
  <sheetViews>
    <sheetView view="pageLayout" zoomScaleNormal="100" workbookViewId="0">
      <selection activeCell="C9" sqref="C9"/>
    </sheetView>
  </sheetViews>
  <sheetFormatPr defaultRowHeight="12.75" x14ac:dyDescent="0.2"/>
  <cols>
    <col min="2" max="2" width="1.42578125" customWidth="1"/>
    <col min="3" max="3" width="48.5703125" customWidth="1"/>
    <col min="4" max="4" width="2.42578125" customWidth="1"/>
    <col min="5" max="5" width="19.5703125" customWidth="1"/>
    <col min="6" max="6" width="17.5703125" customWidth="1"/>
  </cols>
  <sheetData>
    <row r="1" spans="1:13" x14ac:dyDescent="0.2">
      <c r="A1" s="22" t="s">
        <v>138</v>
      </c>
      <c r="B1" s="26"/>
      <c r="C1" s="26"/>
      <c r="D1" s="26"/>
      <c r="E1" s="26"/>
      <c r="F1" s="26"/>
    </row>
    <row r="2" spans="1:13" x14ac:dyDescent="0.2">
      <c r="A2" s="22" t="s">
        <v>139</v>
      </c>
      <c r="B2" s="26"/>
      <c r="C2" s="26"/>
      <c r="D2" s="26"/>
      <c r="E2" s="26"/>
      <c r="F2" s="26"/>
    </row>
    <row r="3" spans="1:13" x14ac:dyDescent="0.2">
      <c r="A3" s="5" t="s">
        <v>0</v>
      </c>
      <c r="B3" s="26"/>
      <c r="C3" s="26"/>
      <c r="D3" s="26"/>
      <c r="E3" s="26"/>
      <c r="F3" s="26"/>
    </row>
    <row r="4" spans="1:13" x14ac:dyDescent="0.2">
      <c r="A4" s="66" t="s">
        <v>108</v>
      </c>
      <c r="B4" s="26"/>
      <c r="C4" s="26"/>
      <c r="D4" s="26"/>
      <c r="E4" s="26"/>
      <c r="F4" s="26"/>
    </row>
    <row r="5" spans="1:13" x14ac:dyDescent="0.2">
      <c r="A5" s="66" t="s">
        <v>109</v>
      </c>
      <c r="B5" s="26"/>
      <c r="C5" s="26"/>
      <c r="D5" s="26"/>
      <c r="E5" s="26"/>
      <c r="F5" s="26"/>
    </row>
    <row r="6" spans="1:13" x14ac:dyDescent="0.2">
      <c r="A6" s="8" t="s">
        <v>140</v>
      </c>
      <c r="B6" s="26"/>
      <c r="C6" s="26"/>
      <c r="D6" s="26"/>
      <c r="E6" s="26"/>
      <c r="F6" s="26"/>
    </row>
    <row r="9" spans="1:13" x14ac:dyDescent="0.2">
      <c r="B9" s="18"/>
      <c r="C9" s="18"/>
      <c r="D9" s="18"/>
      <c r="E9" s="18"/>
      <c r="F9" s="43" t="s">
        <v>136</v>
      </c>
    </row>
    <row r="10" spans="1:13" x14ac:dyDescent="0.2">
      <c r="B10" s="18"/>
      <c r="C10" s="18"/>
      <c r="D10" s="18"/>
      <c r="E10" s="18"/>
      <c r="F10" s="8" t="s">
        <v>110</v>
      </c>
      <c r="M10" s="67"/>
    </row>
    <row r="11" spans="1:13" x14ac:dyDescent="0.2">
      <c r="B11" s="18"/>
      <c r="C11" s="18"/>
      <c r="D11" s="18"/>
      <c r="E11" s="18"/>
      <c r="F11" s="22" t="s">
        <v>3</v>
      </c>
    </row>
    <row r="12" spans="1:13" x14ac:dyDescent="0.2">
      <c r="A12" s="68"/>
      <c r="B12" s="18"/>
      <c r="C12" s="18"/>
      <c r="D12" s="18"/>
      <c r="E12" s="18"/>
      <c r="F12" s="18" t="s">
        <v>143</v>
      </c>
    </row>
    <row r="14" spans="1:13" x14ac:dyDescent="0.2">
      <c r="A14" s="44" t="s">
        <v>4</v>
      </c>
      <c r="B14" s="42"/>
      <c r="C14" s="42"/>
      <c r="D14" s="42"/>
      <c r="E14" s="64"/>
      <c r="F14" s="42"/>
    </row>
    <row r="15" spans="1:13" x14ac:dyDescent="0.2">
      <c r="A15" s="45" t="s">
        <v>5</v>
      </c>
      <c r="B15" s="47"/>
      <c r="C15" s="69" t="s">
        <v>6</v>
      </c>
      <c r="D15" s="47"/>
      <c r="E15" s="47"/>
      <c r="F15" s="69" t="s">
        <v>111</v>
      </c>
    </row>
    <row r="17" spans="1:8" x14ac:dyDescent="0.2">
      <c r="A17" s="44">
        <v>1</v>
      </c>
      <c r="B17" s="42"/>
      <c r="C17" s="43" t="s">
        <v>112</v>
      </c>
      <c r="D17" s="42"/>
      <c r="E17" s="42"/>
    </row>
    <row r="18" spans="1:8" x14ac:dyDescent="0.2">
      <c r="A18" s="44">
        <f t="shared" ref="A18:A28" si="0">A17+1</f>
        <v>2</v>
      </c>
      <c r="B18" s="42"/>
      <c r="C18" s="43" t="s">
        <v>113</v>
      </c>
      <c r="D18" s="42"/>
      <c r="E18" s="42" t="s">
        <v>114</v>
      </c>
      <c r="F18" s="70">
        <f>'RB vs Cap BP Staff DR, pg3'!F17+'RB vs Cap BP Staff DR, pg3'!H17</f>
        <v>759362754</v>
      </c>
      <c r="H18" s="42"/>
    </row>
    <row r="19" spans="1:8" x14ac:dyDescent="0.2">
      <c r="A19" s="44">
        <f t="shared" si="0"/>
        <v>3</v>
      </c>
      <c r="B19" s="42"/>
      <c r="C19" s="43" t="s">
        <v>115</v>
      </c>
      <c r="D19" s="42"/>
      <c r="E19" s="42" t="s">
        <v>116</v>
      </c>
      <c r="F19" s="71">
        <f>'RB vs Cap BP Staff DR, pg3'!F41+'RB vs Cap BP Staff DR, pg3'!H41</f>
        <v>209998034</v>
      </c>
      <c r="H19" s="42"/>
    </row>
    <row r="20" spans="1:8" x14ac:dyDescent="0.2">
      <c r="A20" s="44">
        <f t="shared" si="0"/>
        <v>4</v>
      </c>
      <c r="B20" s="42"/>
      <c r="C20" s="43"/>
      <c r="D20" s="42"/>
      <c r="E20" s="42" t="s">
        <v>117</v>
      </c>
      <c r="F20" s="72">
        <f>F18-F19</f>
        <v>549364720</v>
      </c>
      <c r="H20" s="42"/>
    </row>
    <row r="21" spans="1:8" x14ac:dyDescent="0.2">
      <c r="A21" s="44">
        <f t="shared" si="0"/>
        <v>5</v>
      </c>
      <c r="B21" s="42"/>
      <c r="C21" s="43"/>
      <c r="D21" s="42"/>
      <c r="E21" s="42"/>
      <c r="F21" s="42"/>
      <c r="H21" s="42"/>
    </row>
    <row r="22" spans="1:8" x14ac:dyDescent="0.2">
      <c r="A22" s="44">
        <f t="shared" si="0"/>
        <v>6</v>
      </c>
      <c r="B22" s="42"/>
      <c r="C22" s="43" t="s">
        <v>118</v>
      </c>
      <c r="D22" s="42"/>
      <c r="E22" s="42" t="s">
        <v>114</v>
      </c>
      <c r="F22" s="70">
        <f>'RB vs Cap BP Staff DR, pg3'!H17</f>
        <v>39059957</v>
      </c>
      <c r="H22" s="42"/>
    </row>
    <row r="23" spans="1:8" x14ac:dyDescent="0.2">
      <c r="A23" s="44">
        <f t="shared" si="0"/>
        <v>7</v>
      </c>
      <c r="B23" s="42"/>
      <c r="C23" s="43" t="s">
        <v>119</v>
      </c>
      <c r="D23" s="42"/>
      <c r="E23" s="42" t="s">
        <v>116</v>
      </c>
      <c r="F23" s="71">
        <f>'RB vs Cap BP Staff DR, pg3'!H41</f>
        <v>10718062</v>
      </c>
      <c r="H23" s="42"/>
    </row>
    <row r="24" spans="1:8" x14ac:dyDescent="0.2">
      <c r="A24" s="44">
        <f t="shared" si="0"/>
        <v>8</v>
      </c>
      <c r="B24" s="42"/>
      <c r="C24" s="43"/>
      <c r="D24" s="42"/>
      <c r="E24" s="42" t="s">
        <v>117</v>
      </c>
      <c r="F24" s="72">
        <f>F22-F23</f>
        <v>28341895</v>
      </c>
    </row>
    <row r="25" spans="1:8" x14ac:dyDescent="0.2">
      <c r="A25" s="44">
        <f t="shared" si="0"/>
        <v>9</v>
      </c>
      <c r="B25" s="42"/>
      <c r="C25" s="43"/>
      <c r="D25" s="42"/>
      <c r="E25" s="42"/>
    </row>
    <row r="26" spans="1:8" x14ac:dyDescent="0.2">
      <c r="A26" s="44">
        <f t="shared" si="0"/>
        <v>10</v>
      </c>
      <c r="B26" s="42"/>
      <c r="C26" s="43"/>
      <c r="D26" s="42"/>
      <c r="E26" s="42"/>
    </row>
    <row r="27" spans="1:8" x14ac:dyDescent="0.2">
      <c r="A27" s="44">
        <f t="shared" si="0"/>
        <v>11</v>
      </c>
      <c r="B27" s="42"/>
      <c r="C27" s="43" t="s">
        <v>120</v>
      </c>
      <c r="D27" s="42"/>
      <c r="E27" s="42"/>
    </row>
    <row r="28" spans="1:8" x14ac:dyDescent="0.2">
      <c r="A28" s="44">
        <f t="shared" si="0"/>
        <v>12</v>
      </c>
      <c r="B28" s="42"/>
      <c r="C28" s="43" t="s">
        <v>121</v>
      </c>
      <c r="D28" s="42"/>
      <c r="E28" s="42"/>
      <c r="F28" s="73">
        <f>ROUND(F24/F20,4)</f>
        <v>5.16E-2</v>
      </c>
    </row>
    <row r="29" spans="1:8" x14ac:dyDescent="0.2">
      <c r="A29" s="42"/>
      <c r="B29" s="42"/>
      <c r="C29" s="43"/>
      <c r="D29" s="42"/>
      <c r="E29" s="42"/>
    </row>
    <row r="30" spans="1:8" x14ac:dyDescent="0.2">
      <c r="A30" s="42"/>
      <c r="B30" s="42"/>
      <c r="C30" s="42"/>
      <c r="D30" s="42"/>
      <c r="E30" s="42"/>
    </row>
    <row r="31" spans="1:8" x14ac:dyDescent="0.2">
      <c r="A31" s="42"/>
      <c r="B31" s="42"/>
      <c r="C31" s="29" t="s">
        <v>122</v>
      </c>
      <c r="D31" s="42"/>
      <c r="E31" s="42"/>
    </row>
  </sheetData>
  <pageMargins left="1" right="0.7" top="1" bottom="0.75" header="0.3" footer="0.3"/>
  <pageSetup scale="80" orientation="portrait" verticalDpi="1200" r:id="rId1"/>
  <headerFooter>
    <oddHeader>&amp;R&amp;"Times New Roman,Bold"KyPSC Case No. 2021-00190
STAFF-DR-01-022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>Brown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40B88-6715-4F7A-861A-A9991F90943E}">
  <ds:schemaRefs>
    <ds:schemaRef ds:uri="http://purl.org/dc/elements/1.1/"/>
    <ds:schemaRef ds:uri="http://schemas.microsoft.com/office/2006/metadata/properties"/>
    <ds:schemaRef ds:uri="cf0100b5-1501-4fd1-abc2-4edbffacf3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48392ff-e111-4ddb-bb98-e239aebbaf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035269-A0A2-40A0-8A04-8E7DBFC60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225799-8864-4FBD-920A-B2EB72A68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RB vs Cap BP Staff DR, pg1</vt:lpstr>
      <vt:lpstr>RB vs Cap BP Staff DR, pg2</vt:lpstr>
      <vt:lpstr>RB vs Cap BP Staff DR, pg3</vt:lpstr>
      <vt:lpstr>RB vs Cap BP Staff DR, pg4</vt:lpstr>
      <vt:lpstr>RB vs CAP BP Staff DR, pg5</vt:lpstr>
      <vt:lpstr>GRBR_BP</vt:lpstr>
      <vt:lpstr>'RB vs Cap BP Staff DR, pg2'!Print_Area</vt:lpstr>
      <vt:lpstr>'RB vs Cap BP Staff DR, pg3'!Print_Area</vt:lpstr>
      <vt:lpstr>'RB vs Cap BP Staff DR, pg4'!Print_Area</vt:lpstr>
      <vt:lpstr>'RB vs CAP BP Staff DR, pg5'!Print_Area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Rate Base vs Cap - Base Period</dc:subject>
  <dc:creator>Czupik, Ted</dc:creator>
  <cp:lastModifiedBy>D'Ascenzo, Rocco</cp:lastModifiedBy>
  <cp:lastPrinted>2021-06-15T16:20:31Z</cp:lastPrinted>
  <dcterms:created xsi:type="dcterms:W3CDTF">2021-06-01T12:21:56Z</dcterms:created>
  <dcterms:modified xsi:type="dcterms:W3CDTF">2021-06-15T16:21:40Z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0x010100C8EFACE5D00A1E4A87E09B004D05D64D</vt:lpwstr>
  </property>
</Properties>
</file>