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 defaultThemeVersion="124226"/>
  <xr:revisionPtr revIDLastSave="0" documentId="8_{E88D074D-AC70-49FF-BFB7-E52D5FDD0990}" xr6:coauthVersionLast="36" xr6:coauthVersionMax="36" xr10:uidLastSave="{00000000-0000-0000-0000-000000000000}"/>
  <bookViews>
    <workbookView xWindow="0" yWindow="0" windowWidth="19200" windowHeight="10785" firstSheet="1" activeTab="2" xr2:uid="{00000000-000D-0000-FFFF-FFFF00000000}"/>
  </bookViews>
  <sheets>
    <sheet name="A216810396964DCDB399904ED81BA8E" sheetId="31" state="veryHidden" r:id="rId1"/>
    <sheet name="General Inputs" sheetId="30" r:id="rId2"/>
    <sheet name="Lead Lag Days Summary" sheetId="58" r:id="rId3"/>
    <sheet name="Revenue Lag" sheetId="2" r:id="rId4"/>
    <sheet name="Billing Lag" sheetId="6" r:id="rId5"/>
    <sheet name="Collection Lag" sheetId="4" r:id="rId6"/>
    <sheet name="Avg Daily AR Balance" sheetId="5" r:id="rId7"/>
    <sheet name="Uncollectibles" sheetId="13" r:id="rId8"/>
    <sheet name="Purchased Gas and Transportatio" sheetId="8" r:id="rId9"/>
    <sheet name="Other O&amp;M" sheetId="36" r:id="rId10"/>
    <sheet name="Affiliate Lead Days" sheetId="63" r:id="rId11"/>
    <sheet name="Payroll" sheetId="10" r:id="rId12"/>
    <sheet name="Perf Incentives" sheetId="32" r:id="rId13"/>
    <sheet name="Payroll Tax" sheetId="15" r:id="rId14"/>
    <sheet name="Income Tax" sheetId="45" r:id="rId15"/>
    <sheet name="Property Tax" sheetId="64" r:id="rId16"/>
    <sheet name="Misc Tax" sheetId="65" r:id="rId17"/>
    <sheet name="Interest on Debt" sheetId="20" r:id="rId18"/>
    <sheet name="Sales Tax (Pass-through)" sheetId="66" r:id="rId19"/>
    <sheet name="School Tax (Pass-through)" sheetId="67" r:id="rId20"/>
    <sheet name="Franchise Fees (Pass-through)" sheetId="68" r:id="rId21"/>
    <sheet name="Cust Utility Tax (Pass-through)" sheetId="21" state="hidden" r:id="rId22"/>
    <sheet name="Consumption Tax (Pass-through)" sheetId="34" state="hidden" r:id="rId23"/>
    <sheet name="Interest on Cust Deposits" sheetId="19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B" localSheetId="10" hidden="1">'[1]9 30 BS'!#REF!</definedName>
    <definedName name="__123Graph_B" localSheetId="20" hidden="1">'[1]9 30 BS'!#REF!</definedName>
    <definedName name="__123Graph_B" localSheetId="2" hidden="1">'[1]9 30 BS'!#REF!</definedName>
    <definedName name="__123Graph_B" localSheetId="16" hidden="1">'[1]9 30 BS'!#REF!</definedName>
    <definedName name="__123Graph_B" localSheetId="15" hidden="1">'[1]9 30 BS'!#REF!</definedName>
    <definedName name="__123Graph_B" localSheetId="19" hidden="1">'[1]9 30 BS'!#REF!</definedName>
    <definedName name="__123Graph_B" hidden="1">'[1]9 30 BS'!#REF!</definedName>
    <definedName name="__123Graph_F" localSheetId="2" hidden="1">'[1]9 30 BS'!#REF!</definedName>
    <definedName name="__123Graph_F" localSheetId="16" hidden="1">'[1]9 30 BS'!#REF!</definedName>
    <definedName name="__123Graph_F" localSheetId="19" hidden="1">'[1]9 30 BS'!#REF!</definedName>
    <definedName name="__123Graph_F" hidden="1">'[1]9 30 BS'!#REF!</definedName>
    <definedName name="__key3" localSheetId="20" hidden="1">#REF!</definedName>
    <definedName name="__key3" localSheetId="2" hidden="1">#REF!</definedName>
    <definedName name="__key3" localSheetId="16" hidden="1">#REF!</definedName>
    <definedName name="__key3" localSheetId="19" hidden="1">#REF!</definedName>
    <definedName name="__key3" hidden="1">#REF!</definedName>
    <definedName name="_36__123Graph_BCHART_1" localSheetId="10" hidden="1">'[2]HOSPICE OPSUM'!#REF!</definedName>
    <definedName name="_36__123Graph_BCHART_1" localSheetId="2" hidden="1">'[2]HOSPICE OPSUM'!#REF!</definedName>
    <definedName name="_36__123Graph_BCHART_1" localSheetId="16" hidden="1">'[2]HOSPICE OPSUM'!#REF!</definedName>
    <definedName name="_36__123Graph_BCHART_1" localSheetId="15" hidden="1">'[2]HOSPICE OPSUM'!#REF!</definedName>
    <definedName name="_36__123Graph_BCHART_1" localSheetId="19" hidden="1">'[2]HOSPICE OPSUM'!#REF!</definedName>
    <definedName name="_36__123Graph_BCHART_1" hidden="1">'[2]HOSPICE OPSUM'!#REF!</definedName>
    <definedName name="_Fill" localSheetId="20" hidden="1">#REF!</definedName>
    <definedName name="_Fill" localSheetId="2" hidden="1">#REF!</definedName>
    <definedName name="_Fill" localSheetId="16" hidden="1">#REF!</definedName>
    <definedName name="_Fill" localSheetId="19" hidden="1">#REF!</definedName>
    <definedName name="_Fill" hidden="1">#REF!</definedName>
    <definedName name="_xlnm._FilterDatabase" localSheetId="10" hidden="1">'Affiliate Lead Days'!#REF!</definedName>
    <definedName name="_xlnm._FilterDatabase" localSheetId="9" hidden="1">'Other O&amp;M'!$A$7:$L$200</definedName>
    <definedName name="_Key1" localSheetId="20" hidden="1">#REF!</definedName>
    <definedName name="_Key1" localSheetId="2" hidden="1">#REF!</definedName>
    <definedName name="_Key1" localSheetId="16" hidden="1">#REF!</definedName>
    <definedName name="_Key1" localSheetId="19" hidden="1">#REF!</definedName>
    <definedName name="_Key1" hidden="1">#REF!</definedName>
    <definedName name="_Key2" localSheetId="20" hidden="1">#REF!</definedName>
    <definedName name="_Key2" localSheetId="2" hidden="1">#REF!</definedName>
    <definedName name="_Key2" localSheetId="16" hidden="1">#REF!</definedName>
    <definedName name="_Key2" localSheetId="19" hidden="1">#REF!</definedName>
    <definedName name="_Key2" hidden="1">#REF!</definedName>
    <definedName name="_Key3" localSheetId="20" hidden="1">#REF!</definedName>
    <definedName name="_Key3" localSheetId="2" hidden="1">#REF!</definedName>
    <definedName name="_Key3" localSheetId="16" hidden="1">#REF!</definedName>
    <definedName name="_Key3" localSheetId="19" hidden="1">#REF!</definedName>
    <definedName name="_Key3" hidden="1">#REF!</definedName>
    <definedName name="_key4" localSheetId="20" hidden="1">#REF!</definedName>
    <definedName name="_key4" localSheetId="2" hidden="1">#REF!</definedName>
    <definedName name="_key4" localSheetId="16" hidden="1">#REF!</definedName>
    <definedName name="_key4" localSheetId="19" hidden="1">#REF!</definedName>
    <definedName name="_key4" hidden="1">#REF!</definedName>
    <definedName name="_Order1" hidden="1">255</definedName>
    <definedName name="_Order1a" hidden="1">0</definedName>
    <definedName name="_Order2" hidden="1">255</definedName>
    <definedName name="_Order2a" hidden="1">0</definedName>
    <definedName name="_Sort" localSheetId="20" hidden="1">#REF!</definedName>
    <definedName name="_Sort" localSheetId="2" hidden="1">#REF!</definedName>
    <definedName name="_Sort" localSheetId="16" hidden="1">#REF!</definedName>
    <definedName name="_Sort" localSheetId="19" hidden="1">#REF!</definedName>
    <definedName name="_Sort" hidden="1">#REF!</definedName>
    <definedName name="_Table1_In1" localSheetId="20" hidden="1">#REF!</definedName>
    <definedName name="_Table1_In1" localSheetId="2" hidden="1">#REF!</definedName>
    <definedName name="_Table1_In1" localSheetId="16" hidden="1">#REF!</definedName>
    <definedName name="_Table1_In1" localSheetId="19" hidden="1">#REF!</definedName>
    <definedName name="_Table1_In1" hidden="1">#REF!</definedName>
    <definedName name="_Table1_Out" localSheetId="20" hidden="1">#REF!</definedName>
    <definedName name="_Table1_Out" localSheetId="2" hidden="1">#REF!</definedName>
    <definedName name="_Table1_Out" localSheetId="16" hidden="1">#REF!</definedName>
    <definedName name="_Table1_Out" localSheetId="19" hidden="1">#REF!</definedName>
    <definedName name="_Table1_Out" hidden="1">#REF!</definedName>
    <definedName name="_Table1_Out_2" localSheetId="20" hidden="1">#REF!</definedName>
    <definedName name="_Table1_Out_2" localSheetId="2" hidden="1">#REF!</definedName>
    <definedName name="_Table1_Out_2" localSheetId="16" hidden="1">#REF!</definedName>
    <definedName name="_Table1_Out_2" localSheetId="19" hidden="1">#REF!</definedName>
    <definedName name="_Table1_Out_2" hidden="1">#REF!</definedName>
    <definedName name="_Table2_In1" localSheetId="10" hidden="1">'[3]Bank Model'!#REF!</definedName>
    <definedName name="_Table2_In1" localSheetId="2" hidden="1">'[3]Bank Model'!#REF!</definedName>
    <definedName name="_Table2_In1" localSheetId="16" hidden="1">'[3]Bank Model'!#REF!</definedName>
    <definedName name="_Table2_In1" localSheetId="15" hidden="1">'[3]Bank Model'!#REF!</definedName>
    <definedName name="_Table2_In1" localSheetId="19" hidden="1">'[3]Bank Model'!#REF!</definedName>
    <definedName name="_Table2_In1" hidden="1">'[3]Bank Model'!#REF!</definedName>
    <definedName name="_Table2_In2" localSheetId="2" hidden="1">'[3]Bank Model'!#REF!</definedName>
    <definedName name="_Table2_In2" localSheetId="16" hidden="1">'[3]Bank Model'!#REF!</definedName>
    <definedName name="_Table2_In2" localSheetId="19" hidden="1">'[3]Bank Model'!#REF!</definedName>
    <definedName name="_Table2_In2" hidden="1">'[3]Bank Model'!#REF!</definedName>
    <definedName name="_Table2_Out" localSheetId="2" hidden="1">'[3]Bank Model'!#REF!</definedName>
    <definedName name="_Table2_Out" localSheetId="16" hidden="1">'[3]Bank Model'!#REF!</definedName>
    <definedName name="_Table2_Out" localSheetId="19" hidden="1">'[3]Bank Model'!#REF!</definedName>
    <definedName name="_Table2_Out" hidden="1">'[3]Bank Model'!#REF!</definedName>
    <definedName name="_Table2_Out_2" localSheetId="20" hidden="1">#REF!</definedName>
    <definedName name="_Table2_Out_2" localSheetId="2" hidden="1">#REF!</definedName>
    <definedName name="_Table2_Out_2" localSheetId="16" hidden="1">#REF!</definedName>
    <definedName name="_Table2_Out_2" localSheetId="19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20" hidden="1">#REF!</definedName>
    <definedName name="asdfasdfasdfas" localSheetId="2" hidden="1">#REF!</definedName>
    <definedName name="asdfasdfasdfas" localSheetId="16" hidden="1">#REF!</definedName>
    <definedName name="asdfasdfasdfas" localSheetId="19" hidden="1">#REF!</definedName>
    <definedName name="asdfasdfasdfas" hidden="1">#REF!</definedName>
    <definedName name="BLPH1" hidden="1">'[4]Natural gas'!$A$3</definedName>
    <definedName name="BLPR1020040129204514642" localSheetId="2" hidden="1">'[5]Spread Sheet'!#REF!</definedName>
    <definedName name="BLPR1020040129204514642" localSheetId="16" hidden="1">'[5]Spread Sheet'!#REF!</definedName>
    <definedName name="BLPR1020040129204514642" localSheetId="19" hidden="1">'[5]Spread Sheet'!#REF!</definedName>
    <definedName name="BLPR1020040129204514642" hidden="1">'[5]Spread Sheet'!#REF!</definedName>
    <definedName name="BLPR1020040129204514642_1_5" localSheetId="2" hidden="1">'[5]Spread Sheet'!#REF!</definedName>
    <definedName name="BLPR1020040129204514642_1_5" localSheetId="16" hidden="1">'[5]Spread Sheet'!#REF!</definedName>
    <definedName name="BLPR1020040129204514642_1_5" localSheetId="19" hidden="1">'[5]Spread Sheet'!#REF!</definedName>
    <definedName name="BLPR1020040129204514642_1_5" hidden="1">'[5]Spread Sheet'!#REF!</definedName>
    <definedName name="BLPR1020040129204514642_2_5" localSheetId="2" hidden="1">'[5]Spread Sheet'!#REF!</definedName>
    <definedName name="BLPR1020040129204514642_2_5" localSheetId="16" hidden="1">'[5]Spread Sheet'!#REF!</definedName>
    <definedName name="BLPR1020040129204514642_2_5" localSheetId="19" hidden="1">'[5]Spread Sheet'!#REF!</definedName>
    <definedName name="BLPR1020040129204514642_2_5" hidden="1">'[5]Spread Sheet'!#REF!</definedName>
    <definedName name="BLPR1020040129204514642_3_5" localSheetId="2" hidden="1">'[5]Spread Sheet'!#REF!</definedName>
    <definedName name="BLPR1020040129204514642_3_5" localSheetId="16" hidden="1">'[5]Spread Sheet'!#REF!</definedName>
    <definedName name="BLPR1020040129204514642_3_5" localSheetId="19" hidden="1">'[5]Spread Sheet'!#REF!</definedName>
    <definedName name="BLPR1020040129204514642_3_5" hidden="1">'[5]Spread Sheet'!#REF!</definedName>
    <definedName name="BLPR1020040129204514642_4_5" localSheetId="2" hidden="1">'[5]Spread Sheet'!#REF!</definedName>
    <definedName name="BLPR1020040129204514642_4_5" localSheetId="16" hidden="1">'[5]Spread Sheet'!#REF!</definedName>
    <definedName name="BLPR1020040129204514642_4_5" localSheetId="19" hidden="1">'[5]Spread Sheet'!#REF!</definedName>
    <definedName name="BLPR1020040129204514642_4_5" hidden="1">'[5]Spread Sheet'!#REF!</definedName>
    <definedName name="BLPR1020040129204514642_5_5" localSheetId="2" hidden="1">'[5]Spread Sheet'!#REF!</definedName>
    <definedName name="BLPR1020040129204514642_5_5" localSheetId="16" hidden="1">'[5]Spread Sheet'!#REF!</definedName>
    <definedName name="BLPR1020040129204514642_5_5" localSheetId="19" hidden="1">'[5]Spread Sheet'!#REF!</definedName>
    <definedName name="BLPR1020040129204514642_5_5" hidden="1">'[5]Spread Sheet'!#REF!</definedName>
    <definedName name="BLPR1120040129204514642" localSheetId="2" hidden="1">'[5]Spread Sheet'!#REF!</definedName>
    <definedName name="BLPR1120040129204514642" localSheetId="16" hidden="1">'[5]Spread Sheet'!#REF!</definedName>
    <definedName name="BLPR1120040129204514642" localSheetId="19" hidden="1">'[5]Spread Sheet'!#REF!</definedName>
    <definedName name="BLPR1120040129204514642" hidden="1">'[5]Spread Sheet'!#REF!</definedName>
    <definedName name="BLPR1120040129204514642_1_5" localSheetId="2" hidden="1">'[5]Spread Sheet'!#REF!</definedName>
    <definedName name="BLPR1120040129204514642_1_5" localSheetId="16" hidden="1">'[5]Spread Sheet'!#REF!</definedName>
    <definedName name="BLPR1120040129204514642_1_5" localSheetId="19" hidden="1">'[5]Spread Sheet'!#REF!</definedName>
    <definedName name="BLPR1120040129204514642_1_5" hidden="1">'[5]Spread Sheet'!#REF!</definedName>
    <definedName name="BLPR1120040129204514642_2_5" localSheetId="2" hidden="1">'[5]Spread Sheet'!#REF!</definedName>
    <definedName name="BLPR1120040129204514642_2_5" localSheetId="16" hidden="1">'[5]Spread Sheet'!#REF!</definedName>
    <definedName name="BLPR1120040129204514642_2_5" localSheetId="19" hidden="1">'[5]Spread Sheet'!#REF!</definedName>
    <definedName name="BLPR1120040129204514642_2_5" hidden="1">'[5]Spread Sheet'!#REF!</definedName>
    <definedName name="BLPR1120040129204514642_3_5" localSheetId="2" hidden="1">'[5]Spread Sheet'!#REF!</definedName>
    <definedName name="BLPR1120040129204514642_3_5" localSheetId="16" hidden="1">'[5]Spread Sheet'!#REF!</definedName>
    <definedName name="BLPR1120040129204514642_3_5" localSheetId="19" hidden="1">'[5]Spread Sheet'!#REF!</definedName>
    <definedName name="BLPR1120040129204514642_3_5" hidden="1">'[5]Spread Sheet'!#REF!</definedName>
    <definedName name="BLPR1120040129204514642_4_5" localSheetId="2" hidden="1">'[5]Spread Sheet'!#REF!</definedName>
    <definedName name="BLPR1120040129204514642_4_5" localSheetId="16" hidden="1">'[5]Spread Sheet'!#REF!</definedName>
    <definedName name="BLPR1120040129204514642_4_5" localSheetId="19" hidden="1">'[5]Spread Sheet'!#REF!</definedName>
    <definedName name="BLPR1120040129204514642_4_5" hidden="1">'[5]Spread Sheet'!#REF!</definedName>
    <definedName name="BLPR1120040129204514642_5_5" localSheetId="2" hidden="1">'[5]Spread Sheet'!#REF!</definedName>
    <definedName name="BLPR1120040129204514642_5_5" localSheetId="16" hidden="1">'[5]Spread Sheet'!#REF!</definedName>
    <definedName name="BLPR1120040129204514642_5_5" localSheetId="19" hidden="1">'[5]Spread Sheet'!#REF!</definedName>
    <definedName name="BLPR1120040129204514642_5_5" hidden="1">'[5]Spread Sheet'!#REF!</definedName>
    <definedName name="BLPR120040129203645421" localSheetId="2" hidden="1">'[5]Spread Sheet'!#REF!</definedName>
    <definedName name="BLPR120040129203645421" localSheetId="16" hidden="1">'[5]Spread Sheet'!#REF!</definedName>
    <definedName name="BLPR120040129203645421" localSheetId="19" hidden="1">'[5]Spread Sheet'!#REF!</definedName>
    <definedName name="BLPR120040129203645421" hidden="1">'[5]Spread Sheet'!#REF!</definedName>
    <definedName name="BLPR120040129203645421_1_4" localSheetId="2" hidden="1">'[5]Spread Sheet'!#REF!</definedName>
    <definedName name="BLPR120040129203645421_1_4" localSheetId="16" hidden="1">'[5]Spread Sheet'!#REF!</definedName>
    <definedName name="BLPR120040129203645421_1_4" localSheetId="19" hidden="1">'[5]Spread Sheet'!#REF!</definedName>
    <definedName name="BLPR120040129203645421_1_4" hidden="1">'[5]Spread Sheet'!#REF!</definedName>
    <definedName name="BLPR120040129203645421_2_4" localSheetId="2" hidden="1">'[5]Spread Sheet'!#REF!</definedName>
    <definedName name="BLPR120040129203645421_2_4" localSheetId="16" hidden="1">'[5]Spread Sheet'!#REF!</definedName>
    <definedName name="BLPR120040129203645421_2_4" localSheetId="19" hidden="1">'[5]Spread Sheet'!#REF!</definedName>
    <definedName name="BLPR120040129203645421_2_4" hidden="1">'[5]Spread Sheet'!#REF!</definedName>
    <definedName name="BLPR120040129203645421_3_4" localSheetId="2" hidden="1">'[5]Spread Sheet'!#REF!</definedName>
    <definedName name="BLPR120040129203645421_3_4" localSheetId="16" hidden="1">'[5]Spread Sheet'!#REF!</definedName>
    <definedName name="BLPR120040129203645421_3_4" localSheetId="19" hidden="1">'[5]Spread Sheet'!#REF!</definedName>
    <definedName name="BLPR120040129203645421_3_4" hidden="1">'[5]Spread Sheet'!#REF!</definedName>
    <definedName name="BLPR120040129203645421_4_4" localSheetId="2" hidden="1">'[5]Spread Sheet'!#REF!</definedName>
    <definedName name="BLPR120040129203645421_4_4" localSheetId="16" hidden="1">'[5]Spread Sheet'!#REF!</definedName>
    <definedName name="BLPR120040129203645421_4_4" localSheetId="19" hidden="1">'[5]Spread Sheet'!#REF!</definedName>
    <definedName name="BLPR120040129203645421_4_4" hidden="1">'[5]Spread Sheet'!#REF!</definedName>
    <definedName name="BLPR1220040129204514642" localSheetId="2" hidden="1">'[5]Spread Sheet'!#REF!</definedName>
    <definedName name="BLPR1220040129204514642" localSheetId="16" hidden="1">'[5]Spread Sheet'!#REF!</definedName>
    <definedName name="BLPR1220040129204514642" localSheetId="19" hidden="1">'[5]Spread Sheet'!#REF!</definedName>
    <definedName name="BLPR1220040129204514642" hidden="1">'[5]Spread Sheet'!#REF!</definedName>
    <definedName name="BLPR1220040129204514642_1_5" localSheetId="2" hidden="1">'[5]Spread Sheet'!#REF!</definedName>
    <definedName name="BLPR1220040129204514642_1_5" localSheetId="16" hidden="1">'[5]Spread Sheet'!#REF!</definedName>
    <definedName name="BLPR1220040129204514642_1_5" localSheetId="19" hidden="1">'[5]Spread Sheet'!#REF!</definedName>
    <definedName name="BLPR1220040129204514642_1_5" hidden="1">'[5]Spread Sheet'!#REF!</definedName>
    <definedName name="BLPR1220040129204514642_2_5" localSheetId="2" hidden="1">'[5]Spread Sheet'!#REF!</definedName>
    <definedName name="BLPR1220040129204514642_2_5" localSheetId="16" hidden="1">'[5]Spread Sheet'!#REF!</definedName>
    <definedName name="BLPR1220040129204514642_2_5" localSheetId="19" hidden="1">'[5]Spread Sheet'!#REF!</definedName>
    <definedName name="BLPR1220040129204514642_2_5" hidden="1">'[5]Spread Sheet'!#REF!</definedName>
    <definedName name="BLPR1220040129204514642_3_5" localSheetId="2" hidden="1">'[5]Spread Sheet'!#REF!</definedName>
    <definedName name="BLPR1220040129204514642_3_5" localSheetId="16" hidden="1">'[5]Spread Sheet'!#REF!</definedName>
    <definedName name="BLPR1220040129204514642_3_5" localSheetId="19" hidden="1">'[5]Spread Sheet'!#REF!</definedName>
    <definedName name="BLPR1220040129204514642_3_5" hidden="1">'[5]Spread Sheet'!#REF!</definedName>
    <definedName name="BLPR1220040129204514642_4_5" localSheetId="2" hidden="1">'[5]Spread Sheet'!#REF!</definedName>
    <definedName name="BLPR1220040129204514642_4_5" localSheetId="16" hidden="1">'[5]Spread Sheet'!#REF!</definedName>
    <definedName name="BLPR1220040129204514642_4_5" localSheetId="19" hidden="1">'[5]Spread Sheet'!#REF!</definedName>
    <definedName name="BLPR1220040129204514642_4_5" hidden="1">'[5]Spread Sheet'!#REF!</definedName>
    <definedName name="BLPR1220040129204514642_5_5" localSheetId="2" hidden="1">'[5]Spread Sheet'!#REF!</definedName>
    <definedName name="BLPR1220040129204514642_5_5" localSheetId="16" hidden="1">'[5]Spread Sheet'!#REF!</definedName>
    <definedName name="BLPR1220040129204514642_5_5" localSheetId="19" hidden="1">'[5]Spread Sheet'!#REF!</definedName>
    <definedName name="BLPR1220040129204514642_5_5" hidden="1">'[5]Spread Sheet'!#REF!</definedName>
    <definedName name="BLPR1320040129204514642" localSheetId="2" hidden="1">'[5]Spread Sheet'!#REF!</definedName>
    <definedName name="BLPR1320040129204514642" localSheetId="16" hidden="1">'[5]Spread Sheet'!#REF!</definedName>
    <definedName name="BLPR1320040129204514642" localSheetId="19" hidden="1">'[5]Spread Sheet'!#REF!</definedName>
    <definedName name="BLPR1320040129204514642" hidden="1">'[5]Spread Sheet'!#REF!</definedName>
    <definedName name="BLPR1320040129204514642_1_5" localSheetId="2" hidden="1">'[5]Spread Sheet'!#REF!</definedName>
    <definedName name="BLPR1320040129204514642_1_5" localSheetId="16" hidden="1">'[5]Spread Sheet'!#REF!</definedName>
    <definedName name="BLPR1320040129204514642_1_5" localSheetId="19" hidden="1">'[5]Spread Sheet'!#REF!</definedName>
    <definedName name="BLPR1320040129204514642_1_5" hidden="1">'[5]Spread Sheet'!#REF!</definedName>
    <definedName name="BLPR1320040129204514642_2_5" localSheetId="2" hidden="1">'[5]Spread Sheet'!#REF!</definedName>
    <definedName name="BLPR1320040129204514642_2_5" localSheetId="16" hidden="1">'[5]Spread Sheet'!#REF!</definedName>
    <definedName name="BLPR1320040129204514642_2_5" localSheetId="19" hidden="1">'[5]Spread Sheet'!#REF!</definedName>
    <definedName name="BLPR1320040129204514642_2_5" hidden="1">'[5]Spread Sheet'!#REF!</definedName>
    <definedName name="BLPR1320040129204514642_3_5" localSheetId="2" hidden="1">'[5]Spread Sheet'!#REF!</definedName>
    <definedName name="BLPR1320040129204514642_3_5" localSheetId="16" hidden="1">'[5]Spread Sheet'!#REF!</definedName>
    <definedName name="BLPR1320040129204514642_3_5" localSheetId="19" hidden="1">'[5]Spread Sheet'!#REF!</definedName>
    <definedName name="BLPR1320040129204514642_3_5" hidden="1">'[5]Spread Sheet'!#REF!</definedName>
    <definedName name="BLPR1320040129204514642_4_5" localSheetId="2" hidden="1">'[5]Spread Sheet'!#REF!</definedName>
    <definedName name="BLPR1320040129204514642_4_5" localSheetId="16" hidden="1">'[5]Spread Sheet'!#REF!</definedName>
    <definedName name="BLPR1320040129204514642_4_5" localSheetId="19" hidden="1">'[5]Spread Sheet'!#REF!</definedName>
    <definedName name="BLPR1320040129204514642_4_5" hidden="1">'[5]Spread Sheet'!#REF!</definedName>
    <definedName name="BLPR1320040129204514642_5_5" localSheetId="2" hidden="1">'[5]Spread Sheet'!#REF!</definedName>
    <definedName name="BLPR1320040129204514642_5_5" localSheetId="16" hidden="1">'[5]Spread Sheet'!#REF!</definedName>
    <definedName name="BLPR1320040129204514642_5_5" localSheetId="19" hidden="1">'[5]Spread Sheet'!#REF!</definedName>
    <definedName name="BLPR1320040129204514642_5_5" hidden="1">'[5]Spread Sheet'!#REF!</definedName>
    <definedName name="BLPR1420040129204514642" localSheetId="2" hidden="1">'[5]Spread Sheet'!#REF!</definedName>
    <definedName name="BLPR1420040129204514642" localSheetId="16" hidden="1">'[5]Spread Sheet'!#REF!</definedName>
    <definedName name="BLPR1420040129204514642" localSheetId="19" hidden="1">'[5]Spread Sheet'!#REF!</definedName>
    <definedName name="BLPR1420040129204514642" hidden="1">'[5]Spread Sheet'!#REF!</definedName>
    <definedName name="BLPR1420040129204514642_1_5" localSheetId="2" hidden="1">'[5]Spread Sheet'!#REF!</definedName>
    <definedName name="BLPR1420040129204514642_1_5" localSheetId="16" hidden="1">'[5]Spread Sheet'!#REF!</definedName>
    <definedName name="BLPR1420040129204514642_1_5" localSheetId="19" hidden="1">'[5]Spread Sheet'!#REF!</definedName>
    <definedName name="BLPR1420040129204514642_1_5" hidden="1">'[5]Spread Sheet'!#REF!</definedName>
    <definedName name="BLPR1420040129204514642_2_5" localSheetId="2" hidden="1">'[5]Spread Sheet'!#REF!</definedName>
    <definedName name="BLPR1420040129204514642_2_5" localSheetId="16" hidden="1">'[5]Spread Sheet'!#REF!</definedName>
    <definedName name="BLPR1420040129204514642_2_5" localSheetId="19" hidden="1">'[5]Spread Sheet'!#REF!</definedName>
    <definedName name="BLPR1420040129204514642_2_5" hidden="1">'[5]Spread Sheet'!#REF!</definedName>
    <definedName name="BLPR1420040129204514642_3_5" localSheetId="2" hidden="1">'[5]Spread Sheet'!#REF!</definedName>
    <definedName name="BLPR1420040129204514642_3_5" localSheetId="16" hidden="1">'[5]Spread Sheet'!#REF!</definedName>
    <definedName name="BLPR1420040129204514642_3_5" localSheetId="19" hidden="1">'[5]Spread Sheet'!#REF!</definedName>
    <definedName name="BLPR1420040129204514642_3_5" hidden="1">'[5]Spread Sheet'!#REF!</definedName>
    <definedName name="BLPR1420040129204514642_4_5" localSheetId="2" hidden="1">'[5]Spread Sheet'!#REF!</definedName>
    <definedName name="BLPR1420040129204514642_4_5" localSheetId="16" hidden="1">'[5]Spread Sheet'!#REF!</definedName>
    <definedName name="BLPR1420040129204514642_4_5" localSheetId="19" hidden="1">'[5]Spread Sheet'!#REF!</definedName>
    <definedName name="BLPR1420040129204514642_4_5" hidden="1">'[5]Spread Sheet'!#REF!</definedName>
    <definedName name="BLPR1420040129204514642_5_5" localSheetId="2" hidden="1">'[5]Spread Sheet'!#REF!</definedName>
    <definedName name="BLPR1420040129204514642_5_5" localSheetId="16" hidden="1">'[5]Spread Sheet'!#REF!</definedName>
    <definedName name="BLPR1420040129204514642_5_5" localSheetId="19" hidden="1">'[5]Spread Sheet'!#REF!</definedName>
    <definedName name="BLPR1420040129204514642_5_5" hidden="1">'[5]Spread Sheet'!#REF!</definedName>
    <definedName name="BLPR1520040129204514652" localSheetId="2" hidden="1">'[5]Spread Sheet'!#REF!</definedName>
    <definedName name="BLPR1520040129204514652" localSheetId="16" hidden="1">'[5]Spread Sheet'!#REF!</definedName>
    <definedName name="BLPR1520040129204514652" localSheetId="19" hidden="1">'[5]Spread Sheet'!#REF!</definedName>
    <definedName name="BLPR1520040129204514652" hidden="1">'[5]Spread Sheet'!#REF!</definedName>
    <definedName name="BLPR1520040129204514652_1_5" localSheetId="2" hidden="1">'[5]Spread Sheet'!#REF!</definedName>
    <definedName name="BLPR1520040129204514652_1_5" localSheetId="16" hidden="1">'[5]Spread Sheet'!#REF!</definedName>
    <definedName name="BLPR1520040129204514652_1_5" localSheetId="19" hidden="1">'[5]Spread Sheet'!#REF!</definedName>
    <definedName name="BLPR1520040129204514652_1_5" hidden="1">'[5]Spread Sheet'!#REF!</definedName>
    <definedName name="BLPR1520040129204514652_2_5" localSheetId="2" hidden="1">'[5]Spread Sheet'!#REF!</definedName>
    <definedName name="BLPR1520040129204514652_2_5" localSheetId="16" hidden="1">'[5]Spread Sheet'!#REF!</definedName>
    <definedName name="BLPR1520040129204514652_2_5" localSheetId="19" hidden="1">'[5]Spread Sheet'!#REF!</definedName>
    <definedName name="BLPR1520040129204514652_2_5" hidden="1">'[5]Spread Sheet'!#REF!</definedName>
    <definedName name="BLPR1520040129204514652_3_5" localSheetId="2" hidden="1">'[5]Spread Sheet'!#REF!</definedName>
    <definedName name="BLPR1520040129204514652_3_5" localSheetId="16" hidden="1">'[5]Spread Sheet'!#REF!</definedName>
    <definedName name="BLPR1520040129204514652_3_5" localSheetId="19" hidden="1">'[5]Spread Sheet'!#REF!</definedName>
    <definedName name="BLPR1520040129204514652_3_5" hidden="1">'[5]Spread Sheet'!#REF!</definedName>
    <definedName name="BLPR1520040129204514652_4_5" localSheetId="2" hidden="1">'[5]Spread Sheet'!#REF!</definedName>
    <definedName name="BLPR1520040129204514652_4_5" localSheetId="16" hidden="1">'[5]Spread Sheet'!#REF!</definedName>
    <definedName name="BLPR1520040129204514652_4_5" localSheetId="19" hidden="1">'[5]Spread Sheet'!#REF!</definedName>
    <definedName name="BLPR1520040129204514652_4_5" hidden="1">'[5]Spread Sheet'!#REF!</definedName>
    <definedName name="BLPR1520040129204514652_5_5" localSheetId="2" hidden="1">'[5]Spread Sheet'!#REF!</definedName>
    <definedName name="BLPR1520040129204514652_5_5" localSheetId="16" hidden="1">'[5]Spread Sheet'!#REF!</definedName>
    <definedName name="BLPR1520040129204514652_5_5" localSheetId="19" hidden="1">'[5]Spread Sheet'!#REF!</definedName>
    <definedName name="BLPR1520040129204514652_5_5" hidden="1">'[5]Spread Sheet'!#REF!</definedName>
    <definedName name="BLPR1620040129204514652" localSheetId="2" hidden="1">'[5]Spread Sheet'!#REF!</definedName>
    <definedName name="BLPR1620040129204514652" localSheetId="16" hidden="1">'[5]Spread Sheet'!#REF!</definedName>
    <definedName name="BLPR1620040129204514652" localSheetId="19" hidden="1">'[5]Spread Sheet'!#REF!</definedName>
    <definedName name="BLPR1620040129204514652" hidden="1">'[5]Spread Sheet'!#REF!</definedName>
    <definedName name="BLPR1620040129204514652_1_5" localSheetId="2" hidden="1">'[5]Spread Sheet'!#REF!</definedName>
    <definedName name="BLPR1620040129204514652_1_5" localSheetId="16" hidden="1">'[5]Spread Sheet'!#REF!</definedName>
    <definedName name="BLPR1620040129204514652_1_5" localSheetId="19" hidden="1">'[5]Spread Sheet'!#REF!</definedName>
    <definedName name="BLPR1620040129204514652_1_5" hidden="1">'[5]Spread Sheet'!#REF!</definedName>
    <definedName name="BLPR1620040129204514652_2_5" localSheetId="2" hidden="1">'[5]Spread Sheet'!#REF!</definedName>
    <definedName name="BLPR1620040129204514652_2_5" localSheetId="16" hidden="1">'[5]Spread Sheet'!#REF!</definedName>
    <definedName name="BLPR1620040129204514652_2_5" localSheetId="19" hidden="1">'[5]Spread Sheet'!#REF!</definedName>
    <definedName name="BLPR1620040129204514652_2_5" hidden="1">'[5]Spread Sheet'!#REF!</definedName>
    <definedName name="BLPR1620040129204514652_3_5" localSheetId="2" hidden="1">'[5]Spread Sheet'!#REF!</definedName>
    <definedName name="BLPR1620040129204514652_3_5" localSheetId="16" hidden="1">'[5]Spread Sheet'!#REF!</definedName>
    <definedName name="BLPR1620040129204514652_3_5" localSheetId="19" hidden="1">'[5]Spread Sheet'!#REF!</definedName>
    <definedName name="BLPR1620040129204514652_3_5" hidden="1">'[5]Spread Sheet'!#REF!</definedName>
    <definedName name="BLPR1620040129204514652_4_5" localSheetId="2" hidden="1">'[5]Spread Sheet'!#REF!</definedName>
    <definedName name="BLPR1620040129204514652_4_5" localSheetId="16" hidden="1">'[5]Spread Sheet'!#REF!</definedName>
    <definedName name="BLPR1620040129204514652_4_5" localSheetId="19" hidden="1">'[5]Spread Sheet'!#REF!</definedName>
    <definedName name="BLPR1620040129204514652_4_5" hidden="1">'[5]Spread Sheet'!#REF!</definedName>
    <definedName name="BLPR1620040129204514652_5_5" localSheetId="2" hidden="1">'[5]Spread Sheet'!#REF!</definedName>
    <definedName name="BLPR1620040129204514652_5_5" localSheetId="16" hidden="1">'[5]Spread Sheet'!#REF!</definedName>
    <definedName name="BLPR1620040129204514652_5_5" localSheetId="19" hidden="1">'[5]Spread Sheet'!#REF!</definedName>
    <definedName name="BLPR1620040129204514652_5_5" hidden="1">'[5]Spread Sheet'!#REF!</definedName>
    <definedName name="BLPR1720040129204514652" localSheetId="2" hidden="1">'[5]Spread Sheet'!#REF!</definedName>
    <definedName name="BLPR1720040129204514652" localSheetId="16" hidden="1">'[5]Spread Sheet'!#REF!</definedName>
    <definedName name="BLPR1720040129204514652" localSheetId="19" hidden="1">'[5]Spread Sheet'!#REF!</definedName>
    <definedName name="BLPR1720040129204514652" hidden="1">'[5]Spread Sheet'!#REF!</definedName>
    <definedName name="BLPR1720040129204514652_1_5" localSheetId="2" hidden="1">'[5]Spread Sheet'!#REF!</definedName>
    <definedName name="BLPR1720040129204514652_1_5" localSheetId="16" hidden="1">'[5]Spread Sheet'!#REF!</definedName>
    <definedName name="BLPR1720040129204514652_1_5" localSheetId="19" hidden="1">'[5]Spread Sheet'!#REF!</definedName>
    <definedName name="BLPR1720040129204514652_1_5" hidden="1">'[5]Spread Sheet'!#REF!</definedName>
    <definedName name="BLPR1720040129204514652_2_5" localSheetId="2" hidden="1">'[5]Spread Sheet'!#REF!</definedName>
    <definedName name="BLPR1720040129204514652_2_5" localSheetId="16" hidden="1">'[5]Spread Sheet'!#REF!</definedName>
    <definedName name="BLPR1720040129204514652_2_5" localSheetId="19" hidden="1">'[5]Spread Sheet'!#REF!</definedName>
    <definedName name="BLPR1720040129204514652_2_5" hidden="1">'[5]Spread Sheet'!#REF!</definedName>
    <definedName name="BLPR1720040129204514652_3_5" localSheetId="2" hidden="1">'[5]Spread Sheet'!#REF!</definedName>
    <definedName name="BLPR1720040129204514652_3_5" localSheetId="16" hidden="1">'[5]Spread Sheet'!#REF!</definedName>
    <definedName name="BLPR1720040129204514652_3_5" localSheetId="19" hidden="1">'[5]Spread Sheet'!#REF!</definedName>
    <definedName name="BLPR1720040129204514652_3_5" hidden="1">'[5]Spread Sheet'!#REF!</definedName>
    <definedName name="BLPR1720040129204514652_4_5" localSheetId="2" hidden="1">'[5]Spread Sheet'!#REF!</definedName>
    <definedName name="BLPR1720040129204514652_4_5" localSheetId="16" hidden="1">'[5]Spread Sheet'!#REF!</definedName>
    <definedName name="BLPR1720040129204514652_4_5" localSheetId="19" hidden="1">'[5]Spread Sheet'!#REF!</definedName>
    <definedName name="BLPR1720040129204514652_4_5" hidden="1">'[5]Spread Sheet'!#REF!</definedName>
    <definedName name="BLPR1720040129204514652_5_5" localSheetId="2" hidden="1">'[5]Spread Sheet'!#REF!</definedName>
    <definedName name="BLPR1720040129204514652_5_5" localSheetId="16" hidden="1">'[5]Spread Sheet'!#REF!</definedName>
    <definedName name="BLPR1720040129204514652_5_5" localSheetId="19" hidden="1">'[5]Spread Sheet'!#REF!</definedName>
    <definedName name="BLPR1720040129204514652_5_5" hidden="1">'[5]Spread Sheet'!#REF!</definedName>
    <definedName name="BLPR1820040129204514652" localSheetId="2" hidden="1">'[5]Spread Sheet'!#REF!</definedName>
    <definedName name="BLPR1820040129204514652" localSheetId="16" hidden="1">'[5]Spread Sheet'!#REF!</definedName>
    <definedName name="BLPR1820040129204514652" localSheetId="19" hidden="1">'[5]Spread Sheet'!#REF!</definedName>
    <definedName name="BLPR1820040129204514652" hidden="1">'[5]Spread Sheet'!#REF!</definedName>
    <definedName name="BLPR1820040129204514652_1_5" localSheetId="2" hidden="1">'[5]Spread Sheet'!#REF!</definedName>
    <definedName name="BLPR1820040129204514652_1_5" localSheetId="16" hidden="1">'[5]Spread Sheet'!#REF!</definedName>
    <definedName name="BLPR1820040129204514652_1_5" localSheetId="19" hidden="1">'[5]Spread Sheet'!#REF!</definedName>
    <definedName name="BLPR1820040129204514652_1_5" hidden="1">'[5]Spread Sheet'!#REF!</definedName>
    <definedName name="BLPR1820040129204514652_2_5" localSheetId="2" hidden="1">'[5]Spread Sheet'!#REF!</definedName>
    <definedName name="BLPR1820040129204514652_2_5" localSheetId="16" hidden="1">'[5]Spread Sheet'!#REF!</definedName>
    <definedName name="BLPR1820040129204514652_2_5" localSheetId="19" hidden="1">'[5]Spread Sheet'!#REF!</definedName>
    <definedName name="BLPR1820040129204514652_2_5" hidden="1">'[5]Spread Sheet'!#REF!</definedName>
    <definedName name="BLPR1820040129204514652_3_5" localSheetId="2" hidden="1">'[5]Spread Sheet'!#REF!</definedName>
    <definedName name="BLPR1820040129204514652_3_5" localSheetId="16" hidden="1">'[5]Spread Sheet'!#REF!</definedName>
    <definedName name="BLPR1820040129204514652_3_5" localSheetId="19" hidden="1">'[5]Spread Sheet'!#REF!</definedName>
    <definedName name="BLPR1820040129204514652_3_5" hidden="1">'[5]Spread Sheet'!#REF!</definedName>
    <definedName name="BLPR1820040129204514652_4_5" localSheetId="2" hidden="1">'[5]Spread Sheet'!#REF!</definedName>
    <definedName name="BLPR1820040129204514652_4_5" localSheetId="16" hidden="1">'[5]Spread Sheet'!#REF!</definedName>
    <definedName name="BLPR1820040129204514652_4_5" localSheetId="19" hidden="1">'[5]Spread Sheet'!#REF!</definedName>
    <definedName name="BLPR1820040129204514652_4_5" hidden="1">'[5]Spread Sheet'!#REF!</definedName>
    <definedName name="BLPR1820040129204514652_5_5" localSheetId="2" hidden="1">'[5]Spread Sheet'!#REF!</definedName>
    <definedName name="BLPR1820040129204514652_5_5" localSheetId="16" hidden="1">'[5]Spread Sheet'!#REF!</definedName>
    <definedName name="BLPR1820040129204514652_5_5" localSheetId="19" hidden="1">'[5]Spread Sheet'!#REF!</definedName>
    <definedName name="BLPR1820040129204514652_5_5" hidden="1">'[5]Spread Sheet'!#REF!</definedName>
    <definedName name="BLPR1920040129204514652" localSheetId="2" hidden="1">'[5]Spread Sheet'!#REF!</definedName>
    <definedName name="BLPR1920040129204514652" localSheetId="16" hidden="1">'[5]Spread Sheet'!#REF!</definedName>
    <definedName name="BLPR1920040129204514652" localSheetId="19" hidden="1">'[5]Spread Sheet'!#REF!</definedName>
    <definedName name="BLPR1920040129204514652" hidden="1">'[5]Spread Sheet'!#REF!</definedName>
    <definedName name="BLPR1920040129204514652_1_5" localSheetId="2" hidden="1">'[5]Spread Sheet'!#REF!</definedName>
    <definedName name="BLPR1920040129204514652_1_5" localSheetId="16" hidden="1">'[5]Spread Sheet'!#REF!</definedName>
    <definedName name="BLPR1920040129204514652_1_5" localSheetId="19" hidden="1">'[5]Spread Sheet'!#REF!</definedName>
    <definedName name="BLPR1920040129204514652_1_5" hidden="1">'[5]Spread Sheet'!#REF!</definedName>
    <definedName name="BLPR1920040129204514652_2_5" localSheetId="2" hidden="1">'[5]Spread Sheet'!#REF!</definedName>
    <definedName name="BLPR1920040129204514652_2_5" localSheetId="16" hidden="1">'[5]Spread Sheet'!#REF!</definedName>
    <definedName name="BLPR1920040129204514652_2_5" localSheetId="19" hidden="1">'[5]Spread Sheet'!#REF!</definedName>
    <definedName name="BLPR1920040129204514652_2_5" hidden="1">'[5]Spread Sheet'!#REF!</definedName>
    <definedName name="BLPR1920040129204514652_3_5" localSheetId="2" hidden="1">'[5]Spread Sheet'!#REF!</definedName>
    <definedName name="BLPR1920040129204514652_3_5" localSheetId="16" hidden="1">'[5]Spread Sheet'!#REF!</definedName>
    <definedName name="BLPR1920040129204514652_3_5" localSheetId="19" hidden="1">'[5]Spread Sheet'!#REF!</definedName>
    <definedName name="BLPR1920040129204514652_3_5" hidden="1">'[5]Spread Sheet'!#REF!</definedName>
    <definedName name="BLPR1920040129204514652_4_5" localSheetId="2" hidden="1">'[5]Spread Sheet'!#REF!</definedName>
    <definedName name="BLPR1920040129204514652_4_5" localSheetId="16" hidden="1">'[5]Spread Sheet'!#REF!</definedName>
    <definedName name="BLPR1920040129204514652_4_5" localSheetId="19" hidden="1">'[5]Spread Sheet'!#REF!</definedName>
    <definedName name="BLPR1920040129204514652_4_5" hidden="1">'[5]Spread Sheet'!#REF!</definedName>
    <definedName name="BLPR1920040129204514652_5_5" localSheetId="2" hidden="1">'[5]Spread Sheet'!#REF!</definedName>
    <definedName name="BLPR1920040129204514652_5_5" localSheetId="16" hidden="1">'[5]Spread Sheet'!#REF!</definedName>
    <definedName name="BLPR1920040129204514652_5_5" localSheetId="19" hidden="1">'[5]Spread Sheet'!#REF!</definedName>
    <definedName name="BLPR1920040129204514652_5_5" hidden="1">'[5]Spread Sheet'!#REF!</definedName>
    <definedName name="BLPR2020040129204514652" localSheetId="2" hidden="1">'[5]Spread Sheet'!#REF!</definedName>
    <definedName name="BLPR2020040129204514652" localSheetId="16" hidden="1">'[5]Spread Sheet'!#REF!</definedName>
    <definedName name="BLPR2020040129204514652" localSheetId="19" hidden="1">'[5]Spread Sheet'!#REF!</definedName>
    <definedName name="BLPR2020040129204514652" hidden="1">'[5]Spread Sheet'!#REF!</definedName>
    <definedName name="BLPR2020040129204514652_1_5" localSheetId="2" hidden="1">'[5]Spread Sheet'!#REF!</definedName>
    <definedName name="BLPR2020040129204514652_1_5" localSheetId="16" hidden="1">'[5]Spread Sheet'!#REF!</definedName>
    <definedName name="BLPR2020040129204514652_1_5" localSheetId="19" hidden="1">'[5]Spread Sheet'!#REF!</definedName>
    <definedName name="BLPR2020040129204514652_1_5" hidden="1">'[5]Spread Sheet'!#REF!</definedName>
    <definedName name="BLPR2020040129204514652_2_5" localSheetId="2" hidden="1">'[5]Spread Sheet'!#REF!</definedName>
    <definedName name="BLPR2020040129204514652_2_5" localSheetId="16" hidden="1">'[5]Spread Sheet'!#REF!</definedName>
    <definedName name="BLPR2020040129204514652_2_5" localSheetId="19" hidden="1">'[5]Spread Sheet'!#REF!</definedName>
    <definedName name="BLPR2020040129204514652_2_5" hidden="1">'[5]Spread Sheet'!#REF!</definedName>
    <definedName name="BLPR2020040129204514652_3_5" localSheetId="2" hidden="1">'[5]Spread Sheet'!#REF!</definedName>
    <definedName name="BLPR2020040129204514652_3_5" localSheetId="16" hidden="1">'[5]Spread Sheet'!#REF!</definedName>
    <definedName name="BLPR2020040129204514652_3_5" localSheetId="19" hidden="1">'[5]Spread Sheet'!#REF!</definedName>
    <definedName name="BLPR2020040129204514652_3_5" hidden="1">'[5]Spread Sheet'!#REF!</definedName>
    <definedName name="BLPR2020040129204514652_4_5" localSheetId="2" hidden="1">'[5]Spread Sheet'!#REF!</definedName>
    <definedName name="BLPR2020040129204514652_4_5" localSheetId="16" hidden="1">'[5]Spread Sheet'!#REF!</definedName>
    <definedName name="BLPR2020040129204514652_4_5" localSheetId="19" hidden="1">'[5]Spread Sheet'!#REF!</definedName>
    <definedName name="BLPR2020040129204514652_4_5" hidden="1">'[5]Spread Sheet'!#REF!</definedName>
    <definedName name="BLPR2020040129204514652_5_5" localSheetId="2" hidden="1">'[5]Spread Sheet'!#REF!</definedName>
    <definedName name="BLPR2020040129204514652_5_5" localSheetId="16" hidden="1">'[5]Spread Sheet'!#REF!</definedName>
    <definedName name="BLPR2020040129204514652_5_5" localSheetId="19" hidden="1">'[5]Spread Sheet'!#REF!</definedName>
    <definedName name="BLPR2020040129204514652_5_5" hidden="1">'[5]Spread Sheet'!#REF!</definedName>
    <definedName name="BLPR2120040129204514652" localSheetId="2" hidden="1">'[5]Spread Sheet'!#REF!</definedName>
    <definedName name="BLPR2120040129204514652" localSheetId="16" hidden="1">'[5]Spread Sheet'!#REF!</definedName>
    <definedName name="BLPR2120040129204514652" localSheetId="19" hidden="1">'[5]Spread Sheet'!#REF!</definedName>
    <definedName name="BLPR2120040129204514652" hidden="1">'[5]Spread Sheet'!#REF!</definedName>
    <definedName name="BLPR2120040129204514652_1_5" localSheetId="2" hidden="1">'[5]Spread Sheet'!#REF!</definedName>
    <definedName name="BLPR2120040129204514652_1_5" localSheetId="16" hidden="1">'[5]Spread Sheet'!#REF!</definedName>
    <definedName name="BLPR2120040129204514652_1_5" localSheetId="19" hidden="1">'[5]Spread Sheet'!#REF!</definedName>
    <definedName name="BLPR2120040129204514652_1_5" hidden="1">'[5]Spread Sheet'!#REF!</definedName>
    <definedName name="BLPR2120040129204514652_2_5" localSheetId="2" hidden="1">'[5]Spread Sheet'!#REF!</definedName>
    <definedName name="BLPR2120040129204514652_2_5" localSheetId="16" hidden="1">'[5]Spread Sheet'!#REF!</definedName>
    <definedName name="BLPR2120040129204514652_2_5" localSheetId="19" hidden="1">'[5]Spread Sheet'!#REF!</definedName>
    <definedName name="BLPR2120040129204514652_2_5" hidden="1">'[5]Spread Sheet'!#REF!</definedName>
    <definedName name="BLPR2120040129204514652_3_5" localSheetId="2" hidden="1">'[5]Spread Sheet'!#REF!</definedName>
    <definedName name="BLPR2120040129204514652_3_5" localSheetId="16" hidden="1">'[5]Spread Sheet'!#REF!</definedName>
    <definedName name="BLPR2120040129204514652_3_5" localSheetId="19" hidden="1">'[5]Spread Sheet'!#REF!</definedName>
    <definedName name="BLPR2120040129204514652_3_5" hidden="1">'[5]Spread Sheet'!#REF!</definedName>
    <definedName name="BLPR2120040129204514652_4_5" localSheetId="2" hidden="1">'[5]Spread Sheet'!#REF!</definedName>
    <definedName name="BLPR2120040129204514652_4_5" localSheetId="16" hidden="1">'[5]Spread Sheet'!#REF!</definedName>
    <definedName name="BLPR2120040129204514652_4_5" localSheetId="19" hidden="1">'[5]Spread Sheet'!#REF!</definedName>
    <definedName name="BLPR2120040129204514652_4_5" hidden="1">'[5]Spread Sheet'!#REF!</definedName>
    <definedName name="BLPR2120040129204514652_5_5" localSheetId="2" hidden="1">'[5]Spread Sheet'!#REF!</definedName>
    <definedName name="BLPR2120040129204514652_5_5" localSheetId="16" hidden="1">'[5]Spread Sheet'!#REF!</definedName>
    <definedName name="BLPR2120040129204514652_5_5" localSheetId="19" hidden="1">'[5]Spread Sheet'!#REF!</definedName>
    <definedName name="BLPR2120040129204514652_5_5" hidden="1">'[5]Spread Sheet'!#REF!</definedName>
    <definedName name="BLPR220040129203645421" localSheetId="2" hidden="1">'[5]Spread Sheet'!#REF!</definedName>
    <definedName name="BLPR220040129203645421" localSheetId="16" hidden="1">'[5]Spread Sheet'!#REF!</definedName>
    <definedName name="BLPR220040129203645421" localSheetId="19" hidden="1">'[5]Spread Sheet'!#REF!</definedName>
    <definedName name="BLPR220040129203645421" hidden="1">'[5]Spread Sheet'!#REF!</definedName>
    <definedName name="BLPR220040129203645421_1_4" localSheetId="2" hidden="1">'[5]Spread Sheet'!#REF!</definedName>
    <definedName name="BLPR220040129203645421_1_4" localSheetId="16" hidden="1">'[5]Spread Sheet'!#REF!</definedName>
    <definedName name="BLPR220040129203645421_1_4" localSheetId="19" hidden="1">'[5]Spread Sheet'!#REF!</definedName>
    <definedName name="BLPR220040129203645421_1_4" hidden="1">'[5]Spread Sheet'!#REF!</definedName>
    <definedName name="BLPR220040129203645421_2_4" localSheetId="2" hidden="1">'[5]Spread Sheet'!#REF!</definedName>
    <definedName name="BLPR220040129203645421_2_4" localSheetId="16" hidden="1">'[5]Spread Sheet'!#REF!</definedName>
    <definedName name="BLPR220040129203645421_2_4" localSheetId="19" hidden="1">'[5]Spread Sheet'!#REF!</definedName>
    <definedName name="BLPR220040129203645421_2_4" hidden="1">'[5]Spread Sheet'!#REF!</definedName>
    <definedName name="BLPR220040129203645421_3_4" localSheetId="2" hidden="1">'[5]Spread Sheet'!#REF!</definedName>
    <definedName name="BLPR220040129203645421_3_4" localSheetId="16" hidden="1">'[5]Spread Sheet'!#REF!</definedName>
    <definedName name="BLPR220040129203645421_3_4" localSheetId="19" hidden="1">'[5]Spread Sheet'!#REF!</definedName>
    <definedName name="BLPR220040129203645421_3_4" hidden="1">'[5]Spread Sheet'!#REF!</definedName>
    <definedName name="BLPR220040129203645421_4_4" localSheetId="2" hidden="1">'[5]Spread Sheet'!#REF!</definedName>
    <definedName name="BLPR220040129203645421_4_4" localSheetId="16" hidden="1">'[5]Spread Sheet'!#REF!</definedName>
    <definedName name="BLPR220040129203645421_4_4" localSheetId="19" hidden="1">'[5]Spread Sheet'!#REF!</definedName>
    <definedName name="BLPR220040129203645421_4_4" hidden="1">'[5]Spread Sheet'!#REF!</definedName>
    <definedName name="BLPR2220040129204514652" localSheetId="2" hidden="1">'[5]Spread Sheet'!#REF!</definedName>
    <definedName name="BLPR2220040129204514652" localSheetId="16" hidden="1">'[5]Spread Sheet'!#REF!</definedName>
    <definedName name="BLPR2220040129204514652" localSheetId="19" hidden="1">'[5]Spread Sheet'!#REF!</definedName>
    <definedName name="BLPR2220040129204514652" hidden="1">'[5]Spread Sheet'!#REF!</definedName>
    <definedName name="BLPR2220040129204514652_1_5" localSheetId="2" hidden="1">'[5]Spread Sheet'!#REF!</definedName>
    <definedName name="BLPR2220040129204514652_1_5" localSheetId="16" hidden="1">'[5]Spread Sheet'!#REF!</definedName>
    <definedName name="BLPR2220040129204514652_1_5" localSheetId="19" hidden="1">'[5]Spread Sheet'!#REF!</definedName>
    <definedName name="BLPR2220040129204514652_1_5" hidden="1">'[5]Spread Sheet'!#REF!</definedName>
    <definedName name="BLPR2220040129204514652_2_5" localSheetId="2" hidden="1">'[5]Spread Sheet'!#REF!</definedName>
    <definedName name="BLPR2220040129204514652_2_5" localSheetId="16" hidden="1">'[5]Spread Sheet'!#REF!</definedName>
    <definedName name="BLPR2220040129204514652_2_5" localSheetId="19" hidden="1">'[5]Spread Sheet'!#REF!</definedName>
    <definedName name="BLPR2220040129204514652_2_5" hidden="1">'[5]Spread Sheet'!#REF!</definedName>
    <definedName name="BLPR2220040129204514652_3_5" localSheetId="2" hidden="1">'[5]Spread Sheet'!#REF!</definedName>
    <definedName name="BLPR2220040129204514652_3_5" localSheetId="16" hidden="1">'[5]Spread Sheet'!#REF!</definedName>
    <definedName name="BLPR2220040129204514652_3_5" localSheetId="19" hidden="1">'[5]Spread Sheet'!#REF!</definedName>
    <definedName name="BLPR2220040129204514652_3_5" hidden="1">'[5]Spread Sheet'!#REF!</definedName>
    <definedName name="BLPR2220040129204514652_4_5" localSheetId="2" hidden="1">'[5]Spread Sheet'!#REF!</definedName>
    <definedName name="BLPR2220040129204514652_4_5" localSheetId="16" hidden="1">'[5]Spread Sheet'!#REF!</definedName>
    <definedName name="BLPR2220040129204514652_4_5" localSheetId="19" hidden="1">'[5]Spread Sheet'!#REF!</definedName>
    <definedName name="BLPR2220040129204514652_4_5" hidden="1">'[5]Spread Sheet'!#REF!</definedName>
    <definedName name="BLPR2220040129204514652_5_5" localSheetId="2" hidden="1">'[5]Spread Sheet'!#REF!</definedName>
    <definedName name="BLPR2220040129204514652_5_5" localSheetId="16" hidden="1">'[5]Spread Sheet'!#REF!</definedName>
    <definedName name="BLPR2220040129204514652_5_5" localSheetId="19" hidden="1">'[5]Spread Sheet'!#REF!</definedName>
    <definedName name="BLPR2220040129204514652_5_5" hidden="1">'[5]Spread Sheet'!#REF!</definedName>
    <definedName name="BLPR2320040129204514662" localSheetId="2" hidden="1">'[5]Spread Sheet'!#REF!</definedName>
    <definedName name="BLPR2320040129204514662" localSheetId="16" hidden="1">'[5]Spread Sheet'!#REF!</definedName>
    <definedName name="BLPR2320040129204514662" localSheetId="19" hidden="1">'[5]Spread Sheet'!#REF!</definedName>
    <definedName name="BLPR2320040129204514662" hidden="1">'[5]Spread Sheet'!#REF!</definedName>
    <definedName name="BLPR2320040129204514662_1_5" localSheetId="2" hidden="1">'[5]Spread Sheet'!#REF!</definedName>
    <definedName name="BLPR2320040129204514662_1_5" localSheetId="16" hidden="1">'[5]Spread Sheet'!#REF!</definedName>
    <definedName name="BLPR2320040129204514662_1_5" localSheetId="19" hidden="1">'[5]Spread Sheet'!#REF!</definedName>
    <definedName name="BLPR2320040129204514662_1_5" hidden="1">'[5]Spread Sheet'!#REF!</definedName>
    <definedName name="BLPR2320040129204514662_2_5" localSheetId="2" hidden="1">'[5]Spread Sheet'!#REF!</definedName>
    <definedName name="BLPR2320040129204514662_2_5" localSheetId="16" hidden="1">'[5]Spread Sheet'!#REF!</definedName>
    <definedName name="BLPR2320040129204514662_2_5" localSheetId="19" hidden="1">'[5]Spread Sheet'!#REF!</definedName>
    <definedName name="BLPR2320040129204514662_2_5" hidden="1">'[5]Spread Sheet'!#REF!</definedName>
    <definedName name="BLPR2320040129204514662_3_5" localSheetId="2" hidden="1">'[5]Spread Sheet'!#REF!</definedName>
    <definedName name="BLPR2320040129204514662_3_5" localSheetId="16" hidden="1">'[5]Spread Sheet'!#REF!</definedName>
    <definedName name="BLPR2320040129204514662_3_5" localSheetId="19" hidden="1">'[5]Spread Sheet'!#REF!</definedName>
    <definedName name="BLPR2320040129204514662_3_5" hidden="1">'[5]Spread Sheet'!#REF!</definedName>
    <definedName name="BLPR2320040129204514662_4_5" localSheetId="2" hidden="1">'[5]Spread Sheet'!#REF!</definedName>
    <definedName name="BLPR2320040129204514662_4_5" localSheetId="16" hidden="1">'[5]Spread Sheet'!#REF!</definedName>
    <definedName name="BLPR2320040129204514662_4_5" localSheetId="19" hidden="1">'[5]Spread Sheet'!#REF!</definedName>
    <definedName name="BLPR2320040129204514662_4_5" hidden="1">'[5]Spread Sheet'!#REF!</definedName>
    <definedName name="BLPR2320040129204514662_5_5" localSheetId="2" hidden="1">'[5]Spread Sheet'!#REF!</definedName>
    <definedName name="BLPR2320040129204514662_5_5" localSheetId="16" hidden="1">'[5]Spread Sheet'!#REF!</definedName>
    <definedName name="BLPR2320040129204514662_5_5" localSheetId="19" hidden="1">'[5]Spread Sheet'!#REF!</definedName>
    <definedName name="BLPR2320040129204514662_5_5" hidden="1">'[5]Spread Sheet'!#REF!</definedName>
    <definedName name="BLPR2420040129204514662" localSheetId="2" hidden="1">'[5]Spread Sheet'!#REF!</definedName>
    <definedName name="BLPR2420040129204514662" localSheetId="16" hidden="1">'[5]Spread Sheet'!#REF!</definedName>
    <definedName name="BLPR2420040129204514662" localSheetId="19" hidden="1">'[5]Spread Sheet'!#REF!</definedName>
    <definedName name="BLPR2420040129204514662" hidden="1">'[5]Spread Sheet'!#REF!</definedName>
    <definedName name="BLPR2420040129204514662_1_5" localSheetId="2" hidden="1">'[5]Spread Sheet'!#REF!</definedName>
    <definedName name="BLPR2420040129204514662_1_5" localSheetId="16" hidden="1">'[5]Spread Sheet'!#REF!</definedName>
    <definedName name="BLPR2420040129204514662_1_5" localSheetId="19" hidden="1">'[5]Spread Sheet'!#REF!</definedName>
    <definedName name="BLPR2420040129204514662_1_5" hidden="1">'[5]Spread Sheet'!#REF!</definedName>
    <definedName name="BLPR2420040129204514662_2_5" localSheetId="2" hidden="1">'[5]Spread Sheet'!#REF!</definedName>
    <definedName name="BLPR2420040129204514662_2_5" localSheetId="16" hidden="1">'[5]Spread Sheet'!#REF!</definedName>
    <definedName name="BLPR2420040129204514662_2_5" localSheetId="19" hidden="1">'[5]Spread Sheet'!#REF!</definedName>
    <definedName name="BLPR2420040129204514662_2_5" hidden="1">'[5]Spread Sheet'!#REF!</definedName>
    <definedName name="BLPR2420040129204514662_3_5" localSheetId="2" hidden="1">'[5]Spread Sheet'!#REF!</definedName>
    <definedName name="BLPR2420040129204514662_3_5" localSheetId="16" hidden="1">'[5]Spread Sheet'!#REF!</definedName>
    <definedName name="BLPR2420040129204514662_3_5" localSheetId="19" hidden="1">'[5]Spread Sheet'!#REF!</definedName>
    <definedName name="BLPR2420040129204514662_3_5" hidden="1">'[5]Spread Sheet'!#REF!</definedName>
    <definedName name="BLPR2420040129204514662_4_5" localSheetId="2" hidden="1">'[5]Spread Sheet'!#REF!</definedName>
    <definedName name="BLPR2420040129204514662_4_5" localSheetId="16" hidden="1">'[5]Spread Sheet'!#REF!</definedName>
    <definedName name="BLPR2420040129204514662_4_5" localSheetId="19" hidden="1">'[5]Spread Sheet'!#REF!</definedName>
    <definedName name="BLPR2420040129204514662_4_5" hidden="1">'[5]Spread Sheet'!#REF!</definedName>
    <definedName name="BLPR2420040129204514662_5_5" localSheetId="2" hidden="1">'[5]Spread Sheet'!#REF!</definedName>
    <definedName name="BLPR2420040129204514662_5_5" localSheetId="16" hidden="1">'[5]Spread Sheet'!#REF!</definedName>
    <definedName name="BLPR2420040129204514662_5_5" localSheetId="19" hidden="1">'[5]Spread Sheet'!#REF!</definedName>
    <definedName name="BLPR2420040129204514662_5_5" hidden="1">'[5]Spread Sheet'!#REF!</definedName>
    <definedName name="BLPR2520040129204514662" localSheetId="2" hidden="1">'[5]Spread Sheet'!#REF!</definedName>
    <definedName name="BLPR2520040129204514662" localSheetId="16" hidden="1">'[5]Spread Sheet'!#REF!</definedName>
    <definedName name="BLPR2520040129204514662" localSheetId="19" hidden="1">'[5]Spread Sheet'!#REF!</definedName>
    <definedName name="BLPR2520040129204514662" hidden="1">'[5]Spread Sheet'!#REF!</definedName>
    <definedName name="BLPR2520040129204514662_1_5" localSheetId="2" hidden="1">'[5]Spread Sheet'!#REF!</definedName>
    <definedName name="BLPR2520040129204514662_1_5" localSheetId="16" hidden="1">'[5]Spread Sheet'!#REF!</definedName>
    <definedName name="BLPR2520040129204514662_1_5" localSheetId="19" hidden="1">'[5]Spread Sheet'!#REF!</definedName>
    <definedName name="BLPR2520040129204514662_1_5" hidden="1">'[5]Spread Sheet'!#REF!</definedName>
    <definedName name="BLPR2520040129204514662_2_5" localSheetId="2" hidden="1">'[5]Spread Sheet'!#REF!</definedName>
    <definedName name="BLPR2520040129204514662_2_5" localSheetId="16" hidden="1">'[5]Spread Sheet'!#REF!</definedName>
    <definedName name="BLPR2520040129204514662_2_5" localSheetId="19" hidden="1">'[5]Spread Sheet'!#REF!</definedName>
    <definedName name="BLPR2520040129204514662_2_5" hidden="1">'[5]Spread Sheet'!#REF!</definedName>
    <definedName name="BLPR2520040129204514662_3_5" localSheetId="2" hidden="1">'[5]Spread Sheet'!#REF!</definedName>
    <definedName name="BLPR2520040129204514662_3_5" localSheetId="16" hidden="1">'[5]Spread Sheet'!#REF!</definedName>
    <definedName name="BLPR2520040129204514662_3_5" localSheetId="19" hidden="1">'[5]Spread Sheet'!#REF!</definedName>
    <definedName name="BLPR2520040129204514662_3_5" hidden="1">'[5]Spread Sheet'!#REF!</definedName>
    <definedName name="BLPR2520040129204514662_4_5" localSheetId="2" hidden="1">'[5]Spread Sheet'!#REF!</definedName>
    <definedName name="BLPR2520040129204514662_4_5" localSheetId="16" hidden="1">'[5]Spread Sheet'!#REF!</definedName>
    <definedName name="BLPR2520040129204514662_4_5" localSheetId="19" hidden="1">'[5]Spread Sheet'!#REF!</definedName>
    <definedName name="BLPR2520040129204514662_4_5" hidden="1">'[5]Spread Sheet'!#REF!</definedName>
    <definedName name="BLPR2520040129204514662_5_5" localSheetId="2" hidden="1">'[5]Spread Sheet'!#REF!</definedName>
    <definedName name="BLPR2520040129204514662_5_5" localSheetId="16" hidden="1">'[5]Spread Sheet'!#REF!</definedName>
    <definedName name="BLPR2520040129204514662_5_5" localSheetId="19" hidden="1">'[5]Spread Sheet'!#REF!</definedName>
    <definedName name="BLPR2520040129204514662_5_5" hidden="1">'[5]Spread Sheet'!#REF!</definedName>
    <definedName name="BLPR2620040129204514662" localSheetId="2" hidden="1">'[5]Spread Sheet'!#REF!</definedName>
    <definedName name="BLPR2620040129204514662" localSheetId="16" hidden="1">'[5]Spread Sheet'!#REF!</definedName>
    <definedName name="BLPR2620040129204514662" localSheetId="19" hidden="1">'[5]Spread Sheet'!#REF!</definedName>
    <definedName name="BLPR2620040129204514662" hidden="1">'[5]Spread Sheet'!#REF!</definedName>
    <definedName name="BLPR2620040129204514662_1_5" localSheetId="2" hidden="1">'[5]Spread Sheet'!#REF!</definedName>
    <definedName name="BLPR2620040129204514662_1_5" localSheetId="16" hidden="1">'[5]Spread Sheet'!#REF!</definedName>
    <definedName name="BLPR2620040129204514662_1_5" localSheetId="19" hidden="1">'[5]Spread Sheet'!#REF!</definedName>
    <definedName name="BLPR2620040129204514662_1_5" hidden="1">'[5]Spread Sheet'!#REF!</definedName>
    <definedName name="BLPR2620040129204514662_2_5" localSheetId="2" hidden="1">'[5]Spread Sheet'!#REF!</definedName>
    <definedName name="BLPR2620040129204514662_2_5" localSheetId="16" hidden="1">'[5]Spread Sheet'!#REF!</definedName>
    <definedName name="BLPR2620040129204514662_2_5" localSheetId="19" hidden="1">'[5]Spread Sheet'!#REF!</definedName>
    <definedName name="BLPR2620040129204514662_2_5" hidden="1">'[5]Spread Sheet'!#REF!</definedName>
    <definedName name="BLPR2620040129204514662_3_5" localSheetId="2" hidden="1">'[5]Spread Sheet'!#REF!</definedName>
    <definedName name="BLPR2620040129204514662_3_5" localSheetId="16" hidden="1">'[5]Spread Sheet'!#REF!</definedName>
    <definedName name="BLPR2620040129204514662_3_5" localSheetId="19" hidden="1">'[5]Spread Sheet'!#REF!</definedName>
    <definedName name="BLPR2620040129204514662_3_5" hidden="1">'[5]Spread Sheet'!#REF!</definedName>
    <definedName name="BLPR2620040129204514662_4_5" localSheetId="2" hidden="1">'[5]Spread Sheet'!#REF!</definedName>
    <definedName name="BLPR2620040129204514662_4_5" localSheetId="16" hidden="1">'[5]Spread Sheet'!#REF!</definedName>
    <definedName name="BLPR2620040129204514662_4_5" localSheetId="19" hidden="1">'[5]Spread Sheet'!#REF!</definedName>
    <definedName name="BLPR2620040129204514662_4_5" hidden="1">'[5]Spread Sheet'!#REF!</definedName>
    <definedName name="BLPR2620040129204514662_5_5" localSheetId="2" hidden="1">'[5]Spread Sheet'!#REF!</definedName>
    <definedName name="BLPR2620040129204514662_5_5" localSheetId="16" hidden="1">'[5]Spread Sheet'!#REF!</definedName>
    <definedName name="BLPR2620040129204514662_5_5" localSheetId="19" hidden="1">'[5]Spread Sheet'!#REF!</definedName>
    <definedName name="BLPR2620040129204514662_5_5" hidden="1">'[5]Spread Sheet'!#REF!</definedName>
    <definedName name="BLPR2720040129204514662" localSheetId="2" hidden="1">'[5]Spread Sheet'!#REF!</definedName>
    <definedName name="BLPR2720040129204514662" localSheetId="16" hidden="1">'[5]Spread Sheet'!#REF!</definedName>
    <definedName name="BLPR2720040129204514662" localSheetId="19" hidden="1">'[5]Spread Sheet'!#REF!</definedName>
    <definedName name="BLPR2720040129204514662" hidden="1">'[5]Spread Sheet'!#REF!</definedName>
    <definedName name="BLPR2720040129204514662_1_5" localSheetId="2" hidden="1">'[5]Spread Sheet'!#REF!</definedName>
    <definedName name="BLPR2720040129204514662_1_5" localSheetId="16" hidden="1">'[5]Spread Sheet'!#REF!</definedName>
    <definedName name="BLPR2720040129204514662_1_5" localSheetId="19" hidden="1">'[5]Spread Sheet'!#REF!</definedName>
    <definedName name="BLPR2720040129204514662_1_5" hidden="1">'[5]Spread Sheet'!#REF!</definedName>
    <definedName name="BLPR2720040129204514662_2_5" localSheetId="2" hidden="1">'[5]Spread Sheet'!#REF!</definedName>
    <definedName name="BLPR2720040129204514662_2_5" localSheetId="16" hidden="1">'[5]Spread Sheet'!#REF!</definedName>
    <definedName name="BLPR2720040129204514662_2_5" localSheetId="19" hidden="1">'[5]Spread Sheet'!#REF!</definedName>
    <definedName name="BLPR2720040129204514662_2_5" hidden="1">'[5]Spread Sheet'!#REF!</definedName>
    <definedName name="BLPR2720040129204514662_3_5" localSheetId="2" hidden="1">'[5]Spread Sheet'!#REF!</definedName>
    <definedName name="BLPR2720040129204514662_3_5" localSheetId="16" hidden="1">'[5]Spread Sheet'!#REF!</definedName>
    <definedName name="BLPR2720040129204514662_3_5" localSheetId="19" hidden="1">'[5]Spread Sheet'!#REF!</definedName>
    <definedName name="BLPR2720040129204514662_3_5" hidden="1">'[5]Spread Sheet'!#REF!</definedName>
    <definedName name="BLPR2720040129204514662_4_5" localSheetId="2" hidden="1">'[5]Spread Sheet'!#REF!</definedName>
    <definedName name="BLPR2720040129204514662_4_5" localSheetId="16" hidden="1">'[5]Spread Sheet'!#REF!</definedName>
    <definedName name="BLPR2720040129204514662_4_5" localSheetId="19" hidden="1">'[5]Spread Sheet'!#REF!</definedName>
    <definedName name="BLPR2720040129204514662_4_5" hidden="1">'[5]Spread Sheet'!#REF!</definedName>
    <definedName name="BLPR2720040129204514662_5_5" localSheetId="2" hidden="1">'[5]Spread Sheet'!#REF!</definedName>
    <definedName name="BLPR2720040129204514662_5_5" localSheetId="16" hidden="1">'[5]Spread Sheet'!#REF!</definedName>
    <definedName name="BLPR2720040129204514662_5_5" localSheetId="19" hidden="1">'[5]Spread Sheet'!#REF!</definedName>
    <definedName name="BLPR2720040129204514662_5_5" hidden="1">'[5]Spread Sheet'!#REF!</definedName>
    <definedName name="BLPR2820040129204514662" localSheetId="2" hidden="1">'[5]Spread Sheet'!#REF!</definedName>
    <definedName name="BLPR2820040129204514662" localSheetId="16" hidden="1">'[5]Spread Sheet'!#REF!</definedName>
    <definedName name="BLPR2820040129204514662" localSheetId="19" hidden="1">'[5]Spread Sheet'!#REF!</definedName>
    <definedName name="BLPR2820040129204514662" hidden="1">'[5]Spread Sheet'!#REF!</definedName>
    <definedName name="BLPR2820040129204514662_1_5" localSheetId="2" hidden="1">'[5]Spread Sheet'!#REF!</definedName>
    <definedName name="BLPR2820040129204514662_1_5" localSheetId="16" hidden="1">'[5]Spread Sheet'!#REF!</definedName>
    <definedName name="BLPR2820040129204514662_1_5" localSheetId="19" hidden="1">'[5]Spread Sheet'!#REF!</definedName>
    <definedName name="BLPR2820040129204514662_1_5" hidden="1">'[5]Spread Sheet'!#REF!</definedName>
    <definedName name="BLPR2820040129204514662_2_5" localSheetId="2" hidden="1">'[5]Spread Sheet'!#REF!</definedName>
    <definedName name="BLPR2820040129204514662_2_5" localSheetId="16" hidden="1">'[5]Spread Sheet'!#REF!</definedName>
    <definedName name="BLPR2820040129204514662_2_5" localSheetId="19" hidden="1">'[5]Spread Sheet'!#REF!</definedName>
    <definedName name="BLPR2820040129204514662_2_5" hidden="1">'[5]Spread Sheet'!#REF!</definedName>
    <definedName name="BLPR2820040129204514662_3_5" localSheetId="2" hidden="1">'[5]Spread Sheet'!#REF!</definedName>
    <definedName name="BLPR2820040129204514662_3_5" localSheetId="16" hidden="1">'[5]Spread Sheet'!#REF!</definedName>
    <definedName name="BLPR2820040129204514662_3_5" localSheetId="19" hidden="1">'[5]Spread Sheet'!#REF!</definedName>
    <definedName name="BLPR2820040129204514662_3_5" hidden="1">'[5]Spread Sheet'!#REF!</definedName>
    <definedName name="BLPR2820040129204514662_4_5" localSheetId="2" hidden="1">'[5]Spread Sheet'!#REF!</definedName>
    <definedName name="BLPR2820040129204514662_4_5" localSheetId="16" hidden="1">'[5]Spread Sheet'!#REF!</definedName>
    <definedName name="BLPR2820040129204514662_4_5" localSheetId="19" hidden="1">'[5]Spread Sheet'!#REF!</definedName>
    <definedName name="BLPR2820040129204514662_4_5" hidden="1">'[5]Spread Sheet'!#REF!</definedName>
    <definedName name="BLPR2820040129204514662_5_5" localSheetId="2" hidden="1">'[5]Spread Sheet'!#REF!</definedName>
    <definedName name="BLPR2820040129204514662_5_5" localSheetId="16" hidden="1">'[5]Spread Sheet'!#REF!</definedName>
    <definedName name="BLPR2820040129204514662_5_5" localSheetId="19" hidden="1">'[5]Spread Sheet'!#REF!</definedName>
    <definedName name="BLPR2820040129204514662_5_5" hidden="1">'[5]Spread Sheet'!#REF!</definedName>
    <definedName name="BLPR2920040129204514662" localSheetId="2" hidden="1">'[5]Spread Sheet'!#REF!</definedName>
    <definedName name="BLPR2920040129204514662" localSheetId="16" hidden="1">'[5]Spread Sheet'!#REF!</definedName>
    <definedName name="BLPR2920040129204514662" localSheetId="19" hidden="1">'[5]Spread Sheet'!#REF!</definedName>
    <definedName name="BLPR2920040129204514662" hidden="1">'[5]Spread Sheet'!#REF!</definedName>
    <definedName name="BLPR2920040129204514662_1_5" localSheetId="2" hidden="1">'[5]Spread Sheet'!#REF!</definedName>
    <definedName name="BLPR2920040129204514662_1_5" localSheetId="16" hidden="1">'[5]Spread Sheet'!#REF!</definedName>
    <definedName name="BLPR2920040129204514662_1_5" localSheetId="19" hidden="1">'[5]Spread Sheet'!#REF!</definedName>
    <definedName name="BLPR2920040129204514662_1_5" hidden="1">'[5]Spread Sheet'!#REF!</definedName>
    <definedName name="BLPR2920040129204514662_2_5" localSheetId="2" hidden="1">'[5]Spread Sheet'!#REF!</definedName>
    <definedName name="BLPR2920040129204514662_2_5" localSheetId="16" hidden="1">'[5]Spread Sheet'!#REF!</definedName>
    <definedName name="BLPR2920040129204514662_2_5" localSheetId="19" hidden="1">'[5]Spread Sheet'!#REF!</definedName>
    <definedName name="BLPR2920040129204514662_2_5" hidden="1">'[5]Spread Sheet'!#REF!</definedName>
    <definedName name="BLPR2920040129204514662_3_5" localSheetId="2" hidden="1">'[5]Spread Sheet'!#REF!</definedName>
    <definedName name="BLPR2920040129204514662_3_5" localSheetId="16" hidden="1">'[5]Spread Sheet'!#REF!</definedName>
    <definedName name="BLPR2920040129204514662_3_5" localSheetId="19" hidden="1">'[5]Spread Sheet'!#REF!</definedName>
    <definedName name="BLPR2920040129204514662_3_5" hidden="1">'[5]Spread Sheet'!#REF!</definedName>
    <definedName name="BLPR2920040129204514662_4_5" localSheetId="2" hidden="1">'[5]Spread Sheet'!#REF!</definedName>
    <definedName name="BLPR2920040129204514662_4_5" localSheetId="16" hidden="1">'[5]Spread Sheet'!#REF!</definedName>
    <definedName name="BLPR2920040129204514662_4_5" localSheetId="19" hidden="1">'[5]Spread Sheet'!#REF!</definedName>
    <definedName name="BLPR2920040129204514662_4_5" hidden="1">'[5]Spread Sheet'!#REF!</definedName>
    <definedName name="BLPR2920040129204514662_5_5" localSheetId="2" hidden="1">'[5]Spread Sheet'!#REF!</definedName>
    <definedName name="BLPR2920040129204514662_5_5" localSheetId="16" hidden="1">'[5]Spread Sheet'!#REF!</definedName>
    <definedName name="BLPR2920040129204514662_5_5" localSheetId="19" hidden="1">'[5]Spread Sheet'!#REF!</definedName>
    <definedName name="BLPR2920040129204514662_5_5" hidden="1">'[5]Spread Sheet'!#REF!</definedName>
    <definedName name="BLPR3020040129204514672" localSheetId="2" hidden="1">'[5]Spread Sheet'!#REF!</definedName>
    <definedName name="BLPR3020040129204514672" localSheetId="16" hidden="1">'[5]Spread Sheet'!#REF!</definedName>
    <definedName name="BLPR3020040129204514672" localSheetId="19" hidden="1">'[5]Spread Sheet'!#REF!</definedName>
    <definedName name="BLPR3020040129204514672" hidden="1">'[5]Spread Sheet'!#REF!</definedName>
    <definedName name="BLPR3020040129204514672_1_5" localSheetId="2" hidden="1">'[5]Spread Sheet'!#REF!</definedName>
    <definedName name="BLPR3020040129204514672_1_5" localSheetId="16" hidden="1">'[5]Spread Sheet'!#REF!</definedName>
    <definedName name="BLPR3020040129204514672_1_5" localSheetId="19" hidden="1">'[5]Spread Sheet'!#REF!</definedName>
    <definedName name="BLPR3020040129204514672_1_5" hidden="1">'[5]Spread Sheet'!#REF!</definedName>
    <definedName name="BLPR3020040129204514672_2_5" localSheetId="2" hidden="1">'[5]Spread Sheet'!#REF!</definedName>
    <definedName name="BLPR3020040129204514672_2_5" localSheetId="16" hidden="1">'[5]Spread Sheet'!#REF!</definedName>
    <definedName name="BLPR3020040129204514672_2_5" localSheetId="19" hidden="1">'[5]Spread Sheet'!#REF!</definedName>
    <definedName name="BLPR3020040129204514672_2_5" hidden="1">'[5]Spread Sheet'!#REF!</definedName>
    <definedName name="BLPR3020040129204514672_3_5" localSheetId="2" hidden="1">'[5]Spread Sheet'!#REF!</definedName>
    <definedName name="BLPR3020040129204514672_3_5" localSheetId="16" hidden="1">'[5]Spread Sheet'!#REF!</definedName>
    <definedName name="BLPR3020040129204514672_3_5" localSheetId="19" hidden="1">'[5]Spread Sheet'!#REF!</definedName>
    <definedName name="BLPR3020040129204514672_3_5" hidden="1">'[5]Spread Sheet'!#REF!</definedName>
    <definedName name="BLPR3020040129204514672_4_5" localSheetId="2" hidden="1">'[5]Spread Sheet'!#REF!</definedName>
    <definedName name="BLPR3020040129204514672_4_5" localSheetId="16" hidden="1">'[5]Spread Sheet'!#REF!</definedName>
    <definedName name="BLPR3020040129204514672_4_5" localSheetId="19" hidden="1">'[5]Spread Sheet'!#REF!</definedName>
    <definedName name="BLPR3020040129204514672_4_5" hidden="1">'[5]Spread Sheet'!#REF!</definedName>
    <definedName name="BLPR3020040129204514672_5_5" localSheetId="2" hidden="1">'[5]Spread Sheet'!#REF!</definedName>
    <definedName name="BLPR3020040129204514672_5_5" localSheetId="16" hidden="1">'[5]Spread Sheet'!#REF!</definedName>
    <definedName name="BLPR3020040129204514672_5_5" localSheetId="19" hidden="1">'[5]Spread Sheet'!#REF!</definedName>
    <definedName name="BLPR3020040129204514672_5_5" hidden="1">'[5]Spread Sheet'!#REF!</definedName>
    <definedName name="BLPR3120040129204514692" localSheetId="2" hidden="1">'[5]Spread Sheet'!#REF!</definedName>
    <definedName name="BLPR3120040129204514692" localSheetId="16" hidden="1">'[5]Spread Sheet'!#REF!</definedName>
    <definedName name="BLPR3120040129204514692" localSheetId="19" hidden="1">'[5]Spread Sheet'!#REF!</definedName>
    <definedName name="BLPR3120040129204514692" hidden="1">'[5]Spread Sheet'!#REF!</definedName>
    <definedName name="BLPR3120040129204514692_1_1" localSheetId="2" hidden="1">'[5]Spread Sheet'!#REF!</definedName>
    <definedName name="BLPR3120040129204514692_1_1" localSheetId="16" hidden="1">'[5]Spread Sheet'!#REF!</definedName>
    <definedName name="BLPR3120040129204514692_1_1" localSheetId="19" hidden="1">'[5]Spread Sheet'!#REF!</definedName>
    <definedName name="BLPR3120040129204514692_1_1" hidden="1">'[5]Spread Sheet'!#REF!</definedName>
    <definedName name="BLPR320040129203645431" localSheetId="2" hidden="1">'[5]Spread Sheet'!#REF!</definedName>
    <definedName name="BLPR320040129203645431" localSheetId="16" hidden="1">'[5]Spread Sheet'!#REF!</definedName>
    <definedName name="BLPR320040129203645431" localSheetId="19" hidden="1">'[5]Spread Sheet'!#REF!</definedName>
    <definedName name="BLPR320040129203645431" hidden="1">'[5]Spread Sheet'!#REF!</definedName>
    <definedName name="BLPR320040129203645431_1_4" localSheetId="2" hidden="1">'[5]Spread Sheet'!#REF!</definedName>
    <definedName name="BLPR320040129203645431_1_4" localSheetId="16" hidden="1">'[5]Spread Sheet'!#REF!</definedName>
    <definedName name="BLPR320040129203645431_1_4" localSheetId="19" hidden="1">'[5]Spread Sheet'!#REF!</definedName>
    <definedName name="BLPR320040129203645431_1_4" hidden="1">'[5]Spread Sheet'!#REF!</definedName>
    <definedName name="BLPR320040129203645431_2_4" localSheetId="2" hidden="1">'[5]Spread Sheet'!#REF!</definedName>
    <definedName name="BLPR320040129203645431_2_4" localSheetId="16" hidden="1">'[5]Spread Sheet'!#REF!</definedName>
    <definedName name="BLPR320040129203645431_2_4" localSheetId="19" hidden="1">'[5]Spread Sheet'!#REF!</definedName>
    <definedName name="BLPR320040129203645431_2_4" hidden="1">'[5]Spread Sheet'!#REF!</definedName>
    <definedName name="BLPR320040129203645431_3_4" localSheetId="2" hidden="1">'[5]Spread Sheet'!#REF!</definedName>
    <definedName name="BLPR320040129203645431_3_4" localSheetId="16" hidden="1">'[5]Spread Sheet'!#REF!</definedName>
    <definedName name="BLPR320040129203645431_3_4" localSheetId="19" hidden="1">'[5]Spread Sheet'!#REF!</definedName>
    <definedName name="BLPR320040129203645431_3_4" hidden="1">'[5]Spread Sheet'!#REF!</definedName>
    <definedName name="BLPR320040129203645431_4_4" localSheetId="2" hidden="1">'[5]Spread Sheet'!#REF!</definedName>
    <definedName name="BLPR320040129203645431_4_4" localSheetId="16" hidden="1">'[5]Spread Sheet'!#REF!</definedName>
    <definedName name="BLPR320040129203645431_4_4" localSheetId="19" hidden="1">'[5]Spread Sheet'!#REF!</definedName>
    <definedName name="BLPR320040129203645431_4_4" hidden="1">'[5]Spread Sheet'!#REF!</definedName>
    <definedName name="BLPR3220040129204514692" localSheetId="2" hidden="1">'[5]Spread Sheet'!#REF!</definedName>
    <definedName name="BLPR3220040129204514692" localSheetId="16" hidden="1">'[5]Spread Sheet'!#REF!</definedName>
    <definedName name="BLPR3220040129204514692" localSheetId="19" hidden="1">'[5]Spread Sheet'!#REF!</definedName>
    <definedName name="BLPR3220040129204514692" hidden="1">'[5]Spread Sheet'!#REF!</definedName>
    <definedName name="BLPR3220040129204514692_1_1" localSheetId="2" hidden="1">'[5]Spread Sheet'!#REF!</definedName>
    <definedName name="BLPR3220040129204514692_1_1" localSheetId="16" hidden="1">'[5]Spread Sheet'!#REF!</definedName>
    <definedName name="BLPR3220040129204514692_1_1" localSheetId="19" hidden="1">'[5]Spread Sheet'!#REF!</definedName>
    <definedName name="BLPR3220040129204514692_1_1" hidden="1">'[5]Spread Sheet'!#REF!</definedName>
    <definedName name="BLPR3320040129204514702" localSheetId="2" hidden="1">'[5]Spread Sheet'!#REF!</definedName>
    <definedName name="BLPR3320040129204514702" localSheetId="16" hidden="1">'[5]Spread Sheet'!#REF!</definedName>
    <definedName name="BLPR3320040129204514702" localSheetId="19" hidden="1">'[5]Spread Sheet'!#REF!</definedName>
    <definedName name="BLPR3320040129204514702" hidden="1">'[5]Spread Sheet'!#REF!</definedName>
    <definedName name="BLPR3320040129204514702_1_1" localSheetId="2" hidden="1">'[5]Spread Sheet'!#REF!</definedName>
    <definedName name="BLPR3320040129204514702_1_1" localSheetId="16" hidden="1">'[5]Spread Sheet'!#REF!</definedName>
    <definedName name="BLPR3320040129204514702_1_1" localSheetId="19" hidden="1">'[5]Spread Sheet'!#REF!</definedName>
    <definedName name="BLPR3320040129204514702_1_1" hidden="1">'[5]Spread Sheet'!#REF!</definedName>
    <definedName name="BLPR3420040129204514702" localSheetId="2" hidden="1">'[5]Spread Sheet'!#REF!</definedName>
    <definedName name="BLPR3420040129204514702" localSheetId="16" hidden="1">'[5]Spread Sheet'!#REF!</definedName>
    <definedName name="BLPR3420040129204514702" localSheetId="19" hidden="1">'[5]Spread Sheet'!#REF!</definedName>
    <definedName name="BLPR3420040129204514702" hidden="1">'[5]Spread Sheet'!#REF!</definedName>
    <definedName name="BLPR3420040129204514702_1_1" localSheetId="2" hidden="1">'[5]Spread Sheet'!#REF!</definedName>
    <definedName name="BLPR3420040129204514702_1_1" localSheetId="16" hidden="1">'[5]Spread Sheet'!#REF!</definedName>
    <definedName name="BLPR3420040129204514702_1_1" localSheetId="19" hidden="1">'[5]Spread Sheet'!#REF!</definedName>
    <definedName name="BLPR3420040129204514702_1_1" hidden="1">'[5]Spread Sheet'!#REF!</definedName>
    <definedName name="BLPR3520040129204514702" localSheetId="2" hidden="1">'[5]Spread Sheet'!#REF!</definedName>
    <definedName name="BLPR3520040129204514702" localSheetId="16" hidden="1">'[5]Spread Sheet'!#REF!</definedName>
    <definedName name="BLPR3520040129204514702" localSheetId="19" hidden="1">'[5]Spread Sheet'!#REF!</definedName>
    <definedName name="BLPR3520040129204514702" hidden="1">'[5]Spread Sheet'!#REF!</definedName>
    <definedName name="BLPR3520040129204514702_1_1" localSheetId="2" hidden="1">'[5]Spread Sheet'!#REF!</definedName>
    <definedName name="BLPR3520040129204514702_1_1" localSheetId="16" hidden="1">'[5]Spread Sheet'!#REF!</definedName>
    <definedName name="BLPR3520040129204514702_1_1" localSheetId="19" hidden="1">'[5]Spread Sheet'!#REF!</definedName>
    <definedName name="BLPR3520040129204514702_1_1" hidden="1">'[5]Spread Sheet'!#REF!</definedName>
    <definedName name="BLPR420040129203645431" localSheetId="2" hidden="1">'[5]Spread Sheet'!#REF!</definedName>
    <definedName name="BLPR420040129203645431" localSheetId="16" hidden="1">'[5]Spread Sheet'!#REF!</definedName>
    <definedName name="BLPR420040129203645431" localSheetId="19" hidden="1">'[5]Spread Sheet'!#REF!</definedName>
    <definedName name="BLPR420040129203645431" hidden="1">'[5]Spread Sheet'!#REF!</definedName>
    <definedName name="BLPR420040129203645431_1_4" localSheetId="2" hidden="1">'[5]Spread Sheet'!#REF!</definedName>
    <definedName name="BLPR420040129203645431_1_4" localSheetId="16" hidden="1">'[5]Spread Sheet'!#REF!</definedName>
    <definedName name="BLPR420040129203645431_1_4" localSheetId="19" hidden="1">'[5]Spread Sheet'!#REF!</definedName>
    <definedName name="BLPR420040129203645431_1_4" hidden="1">'[5]Spread Sheet'!#REF!</definedName>
    <definedName name="BLPR420040129203645431_2_4" localSheetId="2" hidden="1">'[5]Spread Sheet'!#REF!</definedName>
    <definedName name="BLPR420040129203645431_2_4" localSheetId="16" hidden="1">'[5]Spread Sheet'!#REF!</definedName>
    <definedName name="BLPR420040129203645431_2_4" localSheetId="19" hidden="1">'[5]Spread Sheet'!#REF!</definedName>
    <definedName name="BLPR420040129203645431_2_4" hidden="1">'[5]Spread Sheet'!#REF!</definedName>
    <definedName name="BLPR420040129203645431_3_4" localSheetId="2" hidden="1">'[5]Spread Sheet'!#REF!</definedName>
    <definedName name="BLPR420040129203645431_3_4" localSheetId="16" hidden="1">'[5]Spread Sheet'!#REF!</definedName>
    <definedName name="BLPR420040129203645431_3_4" localSheetId="19" hidden="1">'[5]Spread Sheet'!#REF!</definedName>
    <definedName name="BLPR420040129203645431_3_4" hidden="1">'[5]Spread Sheet'!#REF!</definedName>
    <definedName name="BLPR420040129203645431_4_4" localSheetId="2" hidden="1">'[5]Spread Sheet'!#REF!</definedName>
    <definedName name="BLPR420040129203645431_4_4" localSheetId="16" hidden="1">'[5]Spread Sheet'!#REF!</definedName>
    <definedName name="BLPR420040129203645431_4_4" localSheetId="19" hidden="1">'[5]Spread Sheet'!#REF!</definedName>
    <definedName name="BLPR420040129203645431_4_4" hidden="1">'[5]Spread Sheet'!#REF!</definedName>
    <definedName name="BLPR520040129203645441" localSheetId="2" hidden="1">'[5]Spread Sheet'!#REF!</definedName>
    <definedName name="BLPR520040129203645441" localSheetId="16" hidden="1">'[5]Spread Sheet'!#REF!</definedName>
    <definedName name="BLPR520040129203645441" localSheetId="19" hidden="1">'[5]Spread Sheet'!#REF!</definedName>
    <definedName name="BLPR520040129203645441" hidden="1">'[5]Spread Sheet'!#REF!</definedName>
    <definedName name="BLPR520040129203645441_1_4" localSheetId="2" hidden="1">'[5]Spread Sheet'!#REF!</definedName>
    <definedName name="BLPR520040129203645441_1_4" localSheetId="16" hidden="1">'[5]Spread Sheet'!#REF!</definedName>
    <definedName name="BLPR520040129203645441_1_4" localSheetId="19" hidden="1">'[5]Spread Sheet'!#REF!</definedName>
    <definedName name="BLPR520040129203645441_1_4" hidden="1">'[5]Spread Sheet'!#REF!</definedName>
    <definedName name="BLPR520040129203645441_2_4" localSheetId="2" hidden="1">'[5]Spread Sheet'!#REF!</definedName>
    <definedName name="BLPR520040129203645441_2_4" localSheetId="16" hidden="1">'[5]Spread Sheet'!#REF!</definedName>
    <definedName name="BLPR520040129203645441_2_4" localSheetId="19" hidden="1">'[5]Spread Sheet'!#REF!</definedName>
    <definedName name="BLPR520040129203645441_2_4" hidden="1">'[5]Spread Sheet'!#REF!</definedName>
    <definedName name="BLPR520040129203645441_3_4" localSheetId="2" hidden="1">'[5]Spread Sheet'!#REF!</definedName>
    <definedName name="BLPR520040129203645441_3_4" localSheetId="16" hidden="1">'[5]Spread Sheet'!#REF!</definedName>
    <definedName name="BLPR520040129203645441_3_4" localSheetId="19" hidden="1">'[5]Spread Sheet'!#REF!</definedName>
    <definedName name="BLPR520040129203645441_3_4" hidden="1">'[5]Spread Sheet'!#REF!</definedName>
    <definedName name="BLPR520040129203645441_4_4" localSheetId="2" hidden="1">'[5]Spread Sheet'!#REF!</definedName>
    <definedName name="BLPR520040129203645441_4_4" localSheetId="16" hidden="1">'[5]Spread Sheet'!#REF!</definedName>
    <definedName name="BLPR520040129203645441_4_4" localSheetId="19" hidden="1">'[5]Spread Sheet'!#REF!</definedName>
    <definedName name="BLPR520040129203645441_4_4" hidden="1">'[5]Spread Sheet'!#REF!</definedName>
    <definedName name="BLPR620040129204149993" localSheetId="2" hidden="1">'[5]Spread Sheet'!#REF!</definedName>
    <definedName name="BLPR620040129204149993" localSheetId="16" hidden="1">'[5]Spread Sheet'!#REF!</definedName>
    <definedName name="BLPR620040129204149993" localSheetId="19" hidden="1">'[5]Spread Sheet'!#REF!</definedName>
    <definedName name="BLPR620040129204149993" hidden="1">'[5]Spread Sheet'!#REF!</definedName>
    <definedName name="BLPR620040129204149993_1_5" localSheetId="2" hidden="1">'[5]Spread Sheet'!#REF!</definedName>
    <definedName name="BLPR620040129204149993_1_5" localSheetId="16" hidden="1">'[5]Spread Sheet'!#REF!</definedName>
    <definedName name="BLPR620040129204149993_1_5" localSheetId="19" hidden="1">'[5]Spread Sheet'!#REF!</definedName>
    <definedName name="BLPR620040129204149993_1_5" hidden="1">'[5]Spread Sheet'!#REF!</definedName>
    <definedName name="BLPR620040129204149993_2_5" localSheetId="2" hidden="1">'[5]Spread Sheet'!#REF!</definedName>
    <definedName name="BLPR620040129204149993_2_5" localSheetId="16" hidden="1">'[5]Spread Sheet'!#REF!</definedName>
    <definedName name="BLPR620040129204149993_2_5" localSheetId="19" hidden="1">'[5]Spread Sheet'!#REF!</definedName>
    <definedName name="BLPR620040129204149993_2_5" hidden="1">'[5]Spread Sheet'!#REF!</definedName>
    <definedName name="BLPR620040129204149993_3_5" localSheetId="2" hidden="1">'[5]Spread Sheet'!#REF!</definedName>
    <definedName name="BLPR620040129204149993_3_5" localSheetId="16" hidden="1">'[5]Spread Sheet'!#REF!</definedName>
    <definedName name="BLPR620040129204149993_3_5" localSheetId="19" hidden="1">'[5]Spread Sheet'!#REF!</definedName>
    <definedName name="BLPR620040129204149993_3_5" hidden="1">'[5]Spread Sheet'!#REF!</definedName>
    <definedName name="BLPR620040129204149993_4_5" localSheetId="2" hidden="1">'[5]Spread Sheet'!#REF!</definedName>
    <definedName name="BLPR620040129204149993_4_5" localSheetId="16" hidden="1">'[5]Spread Sheet'!#REF!</definedName>
    <definedName name="BLPR620040129204149993_4_5" localSheetId="19" hidden="1">'[5]Spread Sheet'!#REF!</definedName>
    <definedName name="BLPR620040129204149993_4_5" hidden="1">'[5]Spread Sheet'!#REF!</definedName>
    <definedName name="BLPR620040129204149993_5_5" localSheetId="2" hidden="1">'[5]Spread Sheet'!#REF!</definedName>
    <definedName name="BLPR620040129204149993_5_5" localSheetId="16" hidden="1">'[5]Spread Sheet'!#REF!</definedName>
    <definedName name="BLPR620040129204149993_5_5" localSheetId="19" hidden="1">'[5]Spread Sheet'!#REF!</definedName>
    <definedName name="BLPR620040129204149993_5_5" hidden="1">'[5]Spread Sheet'!#REF!</definedName>
    <definedName name="BLPR720040129204514631" localSheetId="2" hidden="1">'[5]Spread Sheet'!#REF!</definedName>
    <definedName name="BLPR720040129204514631" localSheetId="16" hidden="1">'[5]Spread Sheet'!#REF!</definedName>
    <definedName name="BLPR720040129204514631" localSheetId="19" hidden="1">'[5]Spread Sheet'!#REF!</definedName>
    <definedName name="BLPR720040129204514631" hidden="1">'[5]Spread Sheet'!#REF!</definedName>
    <definedName name="BLPR720040129204514631_1_5" localSheetId="2" hidden="1">'[5]Spread Sheet'!#REF!</definedName>
    <definedName name="BLPR720040129204514631_1_5" localSheetId="16" hidden="1">'[5]Spread Sheet'!#REF!</definedName>
    <definedName name="BLPR720040129204514631_1_5" localSheetId="19" hidden="1">'[5]Spread Sheet'!#REF!</definedName>
    <definedName name="BLPR720040129204514631_1_5" hidden="1">'[5]Spread Sheet'!#REF!</definedName>
    <definedName name="BLPR720040129204514631_2_5" localSheetId="2" hidden="1">'[5]Spread Sheet'!#REF!</definedName>
    <definedName name="BLPR720040129204514631_2_5" localSheetId="16" hidden="1">'[5]Spread Sheet'!#REF!</definedName>
    <definedName name="BLPR720040129204514631_2_5" localSheetId="19" hidden="1">'[5]Spread Sheet'!#REF!</definedName>
    <definedName name="BLPR720040129204514631_2_5" hidden="1">'[5]Spread Sheet'!#REF!</definedName>
    <definedName name="BLPR720040129204514631_3_5" localSheetId="2" hidden="1">'[5]Spread Sheet'!#REF!</definedName>
    <definedName name="BLPR720040129204514631_3_5" localSheetId="16" hidden="1">'[5]Spread Sheet'!#REF!</definedName>
    <definedName name="BLPR720040129204514631_3_5" localSheetId="19" hidden="1">'[5]Spread Sheet'!#REF!</definedName>
    <definedName name="BLPR720040129204514631_3_5" hidden="1">'[5]Spread Sheet'!#REF!</definedName>
    <definedName name="BLPR720040129204514631_4_5" localSheetId="2" hidden="1">'[5]Spread Sheet'!#REF!</definedName>
    <definedName name="BLPR720040129204514631_4_5" localSheetId="16" hidden="1">'[5]Spread Sheet'!#REF!</definedName>
    <definedName name="BLPR720040129204514631_4_5" localSheetId="19" hidden="1">'[5]Spread Sheet'!#REF!</definedName>
    <definedName name="BLPR720040129204514631_4_5" hidden="1">'[5]Spread Sheet'!#REF!</definedName>
    <definedName name="BLPR720040129204514631_5_5" localSheetId="2" hidden="1">'[5]Spread Sheet'!#REF!</definedName>
    <definedName name="BLPR720040129204514631_5_5" localSheetId="16" hidden="1">'[5]Spread Sheet'!#REF!</definedName>
    <definedName name="BLPR720040129204514631_5_5" localSheetId="19" hidden="1">'[5]Spread Sheet'!#REF!</definedName>
    <definedName name="BLPR720040129204514631_5_5" hidden="1">'[5]Spread Sheet'!#REF!</definedName>
    <definedName name="BLPR820040129204514642" localSheetId="2" hidden="1">'[5]Spread Sheet'!#REF!</definedName>
    <definedName name="BLPR820040129204514642" localSheetId="16" hidden="1">'[5]Spread Sheet'!#REF!</definedName>
    <definedName name="BLPR820040129204514642" localSheetId="19" hidden="1">'[5]Spread Sheet'!#REF!</definedName>
    <definedName name="BLPR820040129204514642" hidden="1">'[5]Spread Sheet'!#REF!</definedName>
    <definedName name="BLPR820040129204514642_1_5" localSheetId="2" hidden="1">'[5]Spread Sheet'!#REF!</definedName>
    <definedName name="BLPR820040129204514642_1_5" localSheetId="16" hidden="1">'[5]Spread Sheet'!#REF!</definedName>
    <definedName name="BLPR820040129204514642_1_5" localSheetId="19" hidden="1">'[5]Spread Sheet'!#REF!</definedName>
    <definedName name="BLPR820040129204514642_1_5" hidden="1">'[5]Spread Sheet'!#REF!</definedName>
    <definedName name="BLPR820040129204514642_2_5" localSheetId="2" hidden="1">'[5]Spread Sheet'!#REF!</definedName>
    <definedName name="BLPR820040129204514642_2_5" localSheetId="16" hidden="1">'[5]Spread Sheet'!#REF!</definedName>
    <definedName name="BLPR820040129204514642_2_5" localSheetId="19" hidden="1">'[5]Spread Sheet'!#REF!</definedName>
    <definedName name="BLPR820040129204514642_2_5" hidden="1">'[5]Spread Sheet'!#REF!</definedName>
    <definedName name="BLPR820040129204514642_3_5" localSheetId="2" hidden="1">'[5]Spread Sheet'!#REF!</definedName>
    <definedName name="BLPR820040129204514642_3_5" localSheetId="16" hidden="1">'[5]Spread Sheet'!#REF!</definedName>
    <definedName name="BLPR820040129204514642_3_5" localSheetId="19" hidden="1">'[5]Spread Sheet'!#REF!</definedName>
    <definedName name="BLPR820040129204514642_3_5" hidden="1">'[5]Spread Sheet'!#REF!</definedName>
    <definedName name="BLPR820040129204514642_4_5" localSheetId="2" hidden="1">'[5]Spread Sheet'!#REF!</definedName>
    <definedName name="BLPR820040129204514642_4_5" localSheetId="16" hidden="1">'[5]Spread Sheet'!#REF!</definedName>
    <definedName name="BLPR820040129204514642_4_5" localSheetId="19" hidden="1">'[5]Spread Sheet'!#REF!</definedName>
    <definedName name="BLPR820040129204514642_4_5" hidden="1">'[5]Spread Sheet'!#REF!</definedName>
    <definedName name="BLPR820040129204514642_5_5" localSheetId="2" hidden="1">'[5]Spread Sheet'!#REF!</definedName>
    <definedName name="BLPR820040129204514642_5_5" localSheetId="16" hidden="1">'[5]Spread Sheet'!#REF!</definedName>
    <definedName name="BLPR820040129204514642_5_5" localSheetId="19" hidden="1">'[5]Spread Sheet'!#REF!</definedName>
    <definedName name="BLPR820040129204514642_5_5" hidden="1">'[5]Spread Sheet'!#REF!</definedName>
    <definedName name="BLPR920040129204514642" localSheetId="2" hidden="1">'[5]Spread Sheet'!#REF!</definedName>
    <definedName name="BLPR920040129204514642" localSheetId="16" hidden="1">'[5]Spread Sheet'!#REF!</definedName>
    <definedName name="BLPR920040129204514642" localSheetId="19" hidden="1">'[5]Spread Sheet'!#REF!</definedName>
    <definedName name="BLPR920040129204514642" hidden="1">'[5]Spread Sheet'!#REF!</definedName>
    <definedName name="BLPR920040129204514642_1_5" localSheetId="2" hidden="1">'[5]Spread Sheet'!#REF!</definedName>
    <definedName name="BLPR920040129204514642_1_5" localSheetId="16" hidden="1">'[5]Spread Sheet'!#REF!</definedName>
    <definedName name="BLPR920040129204514642_1_5" localSheetId="19" hidden="1">'[5]Spread Sheet'!#REF!</definedName>
    <definedName name="BLPR920040129204514642_1_5" hidden="1">'[5]Spread Sheet'!#REF!</definedName>
    <definedName name="BLPR920040129204514642_2_5" localSheetId="2" hidden="1">'[5]Spread Sheet'!#REF!</definedName>
    <definedName name="BLPR920040129204514642_2_5" localSheetId="16" hidden="1">'[5]Spread Sheet'!#REF!</definedName>
    <definedName name="BLPR920040129204514642_2_5" localSheetId="19" hidden="1">'[5]Spread Sheet'!#REF!</definedName>
    <definedName name="BLPR920040129204514642_2_5" hidden="1">'[5]Spread Sheet'!#REF!</definedName>
    <definedName name="BLPR920040129204514642_3_5" localSheetId="2" hidden="1">'[5]Spread Sheet'!#REF!</definedName>
    <definedName name="BLPR920040129204514642_3_5" localSheetId="16" hidden="1">'[5]Spread Sheet'!#REF!</definedName>
    <definedName name="BLPR920040129204514642_3_5" localSheetId="19" hidden="1">'[5]Spread Sheet'!#REF!</definedName>
    <definedName name="BLPR920040129204514642_3_5" hidden="1">'[5]Spread Sheet'!#REF!</definedName>
    <definedName name="BLPR920040129204514642_4_5" localSheetId="2" hidden="1">'[5]Spread Sheet'!#REF!</definedName>
    <definedName name="BLPR920040129204514642_4_5" localSheetId="16" hidden="1">'[5]Spread Sheet'!#REF!</definedName>
    <definedName name="BLPR920040129204514642_4_5" localSheetId="19" hidden="1">'[5]Spread Sheet'!#REF!</definedName>
    <definedName name="BLPR920040129204514642_4_5" hidden="1">'[5]Spread Sheet'!#REF!</definedName>
    <definedName name="BLPR920040129204514642_5_5" localSheetId="2" hidden="1">'[5]Spread Sheet'!#REF!</definedName>
    <definedName name="BLPR920040129204514642_5_5" localSheetId="16" hidden="1">'[5]Spread Sheet'!#REF!</definedName>
    <definedName name="BLPR920040129204514642_5_5" localSheetId="19" hidden="1">'[5]Spread Sheet'!#REF!</definedName>
    <definedName name="BLPR920040129204514642_5_5" hidden="1">'[5]Spread Sheet'!#REF!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10" hidden="1">{#N/A,#N/A,FALSE,"Costi per Gruppo ";#N/A,#N/A,FALSE,"New-RegularBevel";#N/A,#N/A,FALSE,"Optiva-Optiva2";#N/A,#N/A,FALSE,"Cathlon-Monoblok";#N/A,#N/A,FALSE,"Stylets";#N/A,#N/A,FALSE,"Totali"}</definedName>
    <definedName name="ccccc" localSheetId="20" hidden="1">{#N/A,#N/A,FALSE,"Costi per Gruppo ";#N/A,#N/A,FALSE,"New-RegularBevel";#N/A,#N/A,FALSE,"Optiva-Optiva2";#N/A,#N/A,FALSE,"Cathlon-Monoblok";#N/A,#N/A,FALSE,"Stylets";#N/A,#N/A,FALSE,"Totali"}</definedName>
    <definedName name="ccccc" localSheetId="16" hidden="1">{#N/A,#N/A,FALSE,"Costi per Gruppo ";#N/A,#N/A,FALSE,"New-RegularBevel";#N/A,#N/A,FALSE,"Optiva-Optiva2";#N/A,#N/A,FALSE,"Cathlon-Monoblok";#N/A,#N/A,FALSE,"Stylets";#N/A,#N/A,FALSE,"Totali"}</definedName>
    <definedName name="ccccc" localSheetId="15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localSheetId="10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localSheetId="20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localSheetId="16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localSheetId="15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localSheetId="10" hidden="1">{"'SERC'!$E$1:$M$37"}</definedName>
    <definedName name="HTML_Control" localSheetId="20" hidden="1">{"'SERC'!$E$1:$M$37"}</definedName>
    <definedName name="HTML_Control" localSheetId="16" hidden="1">{"'SERC'!$E$1:$M$37"}</definedName>
    <definedName name="HTML_Control" localSheetId="15" hidden="1">{"'SERC'!$E$1:$M$37"}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localSheetId="1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localSheetId="2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localSheetId="16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localSheetId="1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ijul" localSheetId="20" hidden="1">#REF!</definedName>
    <definedName name="jijul" localSheetId="2" hidden="1">#REF!</definedName>
    <definedName name="jijul" localSheetId="16" hidden="1">#REF!</definedName>
    <definedName name="jijul" localSheetId="19" hidden="1">#REF!</definedName>
    <definedName name="jijul" hidden="1">#REF!</definedName>
    <definedName name="p" localSheetId="10" hidden="1">{#N/A,#N/A,TRUE,"Acq-Ass";#N/A,#N/A,TRUE,"Acq-IS";#N/A,#N/A,TRUE,"Acq-BS";#N/A,#N/A,TRUE,"Acq-CF"}</definedName>
    <definedName name="p" localSheetId="20" hidden="1">{#N/A,#N/A,TRUE,"Acq-Ass";#N/A,#N/A,TRUE,"Acq-IS";#N/A,#N/A,TRUE,"Acq-BS";#N/A,#N/A,TRUE,"Acq-CF"}</definedName>
    <definedName name="p" localSheetId="16" hidden="1">{#N/A,#N/A,TRUE,"Acq-Ass";#N/A,#N/A,TRUE,"Acq-IS";#N/A,#N/A,TRUE,"Acq-BS";#N/A,#N/A,TRUE,"Acq-CF"}</definedName>
    <definedName name="p" localSheetId="15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_xlnm.Print_Area" localSheetId="5">'Collection Lag'!$A$2:$C$36</definedName>
    <definedName name="_xlnm.Print_Area" localSheetId="2">'Lead Lag Days Summary'!$A$1:$I$66</definedName>
    <definedName name="_xlnm.Print_Titles" localSheetId="16">'Misc Tax'!$1:$11</definedName>
    <definedName name="_xlnm.Print_Titles" localSheetId="9">'Other O&amp;M'!$1:$9</definedName>
    <definedName name="_xlnm.Print_Titles" localSheetId="15">'Property Tax'!$1:$11</definedName>
    <definedName name="print4" localSheetId="1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localSheetId="2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localSheetId="16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localSheetId="15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localSheetId="10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localSheetId="20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localSheetId="16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localSheetId="15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10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20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16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15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20" hidden="1">#REF!</definedName>
    <definedName name="solver_opt" localSheetId="2" hidden="1">#REF!</definedName>
    <definedName name="solver_opt" localSheetId="16" hidden="1">#REF!</definedName>
    <definedName name="solver_opt" localSheetId="19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test" localSheetId="1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test" localSheetId="2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test" localSheetId="16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test" localSheetId="1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tes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vaffas" localSheetId="10" hidden="1">{#N/A,#N/A,FALSE,"New-RegularBevel";#N/A,#N/A,FALSE,"Optiva-Optiva2";#N/A,#N/A,FALSE,"Cathlon-Monoblok";#N/A,#N/A,FALSE,"Stylets"}</definedName>
    <definedName name="vaffas" localSheetId="20" hidden="1">{#N/A,#N/A,FALSE,"New-RegularBevel";#N/A,#N/A,FALSE,"Optiva-Optiva2";#N/A,#N/A,FALSE,"Cathlon-Monoblok";#N/A,#N/A,FALSE,"Stylets"}</definedName>
    <definedName name="vaffas" localSheetId="16" hidden="1">{#N/A,#N/A,FALSE,"New-RegularBevel";#N/A,#N/A,FALSE,"Optiva-Optiva2";#N/A,#N/A,FALSE,"Cathlon-Monoblok";#N/A,#N/A,FALSE,"Stylets"}</definedName>
    <definedName name="vaffas" localSheetId="15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vvv" localSheetId="10" hidden="1">{#N/A,#N/A,FALSE,"New-RegularBevel";#N/A,#N/A,FALSE,"Optiva-Optiva2";#N/A,#N/A,FALSE,"Cathlon-Monoblok";#N/A,#N/A,FALSE,"Stylets"}</definedName>
    <definedName name="vvvv" localSheetId="20" hidden="1">{#N/A,#N/A,FALSE,"New-RegularBevel";#N/A,#N/A,FALSE,"Optiva-Optiva2";#N/A,#N/A,FALSE,"Cathlon-Monoblok";#N/A,#N/A,FALSE,"Stylets"}</definedName>
    <definedName name="vvvv" localSheetId="16" hidden="1">{#N/A,#N/A,FALSE,"New-RegularBevel";#N/A,#N/A,FALSE,"Optiva-Optiva2";#N/A,#N/A,FALSE,"Cathlon-Monoblok";#N/A,#N/A,FALSE,"Stylets"}</definedName>
    <definedName name="vvvv" localSheetId="15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10" hidden="1">{#N/A,#N/A,FALSE,"Costi per Gruppo ";#N/A,#N/A,FALSE,"New-RegularBevel";#N/A,#N/A,FALSE,"Optiva-Optiva2";#N/A,#N/A,FALSE,"Cathlon-Monoblok";#N/A,#N/A,FALSE,"Stylets";#N/A,#N/A,FALSE,"Totali"}</definedName>
    <definedName name="vvvvv" localSheetId="20" hidden="1">{#N/A,#N/A,FALSE,"Costi per Gruppo ";#N/A,#N/A,FALSE,"New-RegularBevel";#N/A,#N/A,FALSE,"Optiva-Optiva2";#N/A,#N/A,FALSE,"Cathlon-Monoblok";#N/A,#N/A,FALSE,"Stylets";#N/A,#N/A,FALSE,"Totali"}</definedName>
    <definedName name="vvvvv" localSheetId="16" hidden="1">{#N/A,#N/A,FALSE,"Costi per Gruppo ";#N/A,#N/A,FALSE,"New-RegularBevel";#N/A,#N/A,FALSE,"Optiva-Optiva2";#N/A,#N/A,FALSE,"Cathlon-Monoblok";#N/A,#N/A,FALSE,"Stylets";#N/A,#N/A,FALSE,"Totali"}</definedName>
    <definedName name="vvvvv" localSheetId="15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1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localSheetId="2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localSheetId="16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localSheetId="1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1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2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16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1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localSheetId="10" hidden="1">{#N/A,#N/A,TRUE,"Acq-Ass";#N/A,#N/A,TRUE,"Acq-IS";#N/A,#N/A,TRUE,"Acq-BS";#N/A,#N/A,TRUE,"Acq-CF"}</definedName>
    <definedName name="wrn.AcqState." localSheetId="20" hidden="1">{#N/A,#N/A,TRUE,"Acq-Ass";#N/A,#N/A,TRUE,"Acq-IS";#N/A,#N/A,TRUE,"Acq-BS";#N/A,#N/A,TRUE,"Acq-CF"}</definedName>
    <definedName name="wrn.AcqState." localSheetId="16" hidden="1">{#N/A,#N/A,TRUE,"Acq-Ass";#N/A,#N/A,TRUE,"Acq-IS";#N/A,#N/A,TRUE,"Acq-BS";#N/A,#N/A,TRUE,"Acq-CF"}</definedName>
    <definedName name="wrn.AcqState." localSheetId="15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10" hidden="1">{#N/A,#N/A,TRUE,"Acq-Ass";#N/A,#N/A,TRUE,"Acq-IS";#N/A,#N/A,TRUE,"Acq-BS";#N/A,#N/A,TRUE,"Acq-CF"}</definedName>
    <definedName name="wrn.AcqState._2" localSheetId="20" hidden="1">{#N/A,#N/A,TRUE,"Acq-Ass";#N/A,#N/A,TRUE,"Acq-IS";#N/A,#N/A,TRUE,"Acq-BS";#N/A,#N/A,TRUE,"Acq-CF"}</definedName>
    <definedName name="wrn.AcqState._2" localSheetId="16" hidden="1">{#N/A,#N/A,TRUE,"Acq-Ass";#N/A,#N/A,TRUE,"Acq-IS";#N/A,#N/A,TRUE,"Acq-BS";#N/A,#N/A,TRUE,"Acq-CF"}</definedName>
    <definedName name="wrn.AcqState._2" localSheetId="15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10" hidden="1">{#N/A,#N/A,TRUE,"Acq-Ass";#N/A,#N/A,TRUE,"Acq-IS";#N/A,#N/A,TRUE,"Acq-BS";#N/A,#N/A,TRUE,"Acq-CF"}</definedName>
    <definedName name="wrn.AcqState._22" localSheetId="20" hidden="1">{#N/A,#N/A,TRUE,"Acq-Ass";#N/A,#N/A,TRUE,"Acq-IS";#N/A,#N/A,TRUE,"Acq-BS";#N/A,#N/A,TRUE,"Acq-CF"}</definedName>
    <definedName name="wrn.AcqState._22" localSheetId="16" hidden="1">{#N/A,#N/A,TRUE,"Acq-Ass";#N/A,#N/A,TRUE,"Acq-IS";#N/A,#N/A,TRUE,"Acq-BS";#N/A,#N/A,TRUE,"Acq-CF"}</definedName>
    <definedName name="wrn.AcqState._22" localSheetId="15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10" hidden="1">{#N/A,#N/A,TRUE,"Acq-Ass";#N/A,#N/A,TRUE,"Acq-IS";#N/A,#N/A,TRUE,"Acq-BS";#N/A,#N/A,TRUE,"Acq-CF"}</definedName>
    <definedName name="wrn.AcqState.2" localSheetId="20" hidden="1">{#N/A,#N/A,TRUE,"Acq-Ass";#N/A,#N/A,TRUE,"Acq-IS";#N/A,#N/A,TRUE,"Acq-BS";#N/A,#N/A,TRUE,"Acq-CF"}</definedName>
    <definedName name="wrn.AcqState.2" localSheetId="16" hidden="1">{#N/A,#N/A,TRUE,"Acq-Ass";#N/A,#N/A,TRUE,"Acq-IS";#N/A,#N/A,TRUE,"Acq-BS";#N/A,#N/A,TRUE,"Acq-CF"}</definedName>
    <definedName name="wrn.AcqState.2" localSheetId="15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1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2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16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15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1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2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16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15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1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2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16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15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1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2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16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15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10" hidden="1">{#N/A,#N/A,FALSE,"Acq-Val";#N/A,#N/A,FALSE,"Acq-Mult Val"}</definedName>
    <definedName name="wrn.AcqVal." localSheetId="20" hidden="1">{#N/A,#N/A,FALSE,"Acq-Val";#N/A,#N/A,FALSE,"Acq-Mult Val"}</definedName>
    <definedName name="wrn.AcqVal." localSheetId="16" hidden="1">{#N/A,#N/A,FALSE,"Acq-Val";#N/A,#N/A,FALSE,"Acq-Mult Val"}</definedName>
    <definedName name="wrn.AcqVal." localSheetId="15" hidden="1">{#N/A,#N/A,FALSE,"Acq-Val";#N/A,#N/A,FALSE,"Acq-Mult Val"}</definedName>
    <definedName name="wrn.AcqVal." hidden="1">{#N/A,#N/A,FALSE,"Acq-Val";#N/A,#N/A,FALSE,"Acq-Mult Val"}</definedName>
    <definedName name="wrn.AcqVal._2" localSheetId="10" hidden="1">{#N/A,#N/A,FALSE,"Acq-Val";#N/A,#N/A,FALSE,"Acq-Mult Val"}</definedName>
    <definedName name="wrn.AcqVal._2" localSheetId="20" hidden="1">{#N/A,#N/A,FALSE,"Acq-Val";#N/A,#N/A,FALSE,"Acq-Mult Val"}</definedName>
    <definedName name="wrn.AcqVal._2" localSheetId="16" hidden="1">{#N/A,#N/A,FALSE,"Acq-Val";#N/A,#N/A,FALSE,"Acq-Mult Val"}</definedName>
    <definedName name="wrn.AcqVal._2" localSheetId="15" hidden="1">{#N/A,#N/A,FALSE,"Acq-Val";#N/A,#N/A,FALSE,"Acq-Mult Val"}</definedName>
    <definedName name="wrn.AcqVal._2" hidden="1">{#N/A,#N/A,FALSE,"Acq-Val";#N/A,#N/A,FALSE,"Acq-Mult Val"}</definedName>
    <definedName name="wrn.AcqVal._22" localSheetId="10" hidden="1">{#N/A,#N/A,FALSE,"Acq-Val";#N/A,#N/A,FALSE,"Acq-Mult Val"}</definedName>
    <definedName name="wrn.AcqVal._22" localSheetId="20" hidden="1">{#N/A,#N/A,FALSE,"Acq-Val";#N/A,#N/A,FALSE,"Acq-Mult Val"}</definedName>
    <definedName name="wrn.AcqVal._22" localSheetId="16" hidden="1">{#N/A,#N/A,FALSE,"Acq-Val";#N/A,#N/A,FALSE,"Acq-Mult Val"}</definedName>
    <definedName name="wrn.AcqVal._22" localSheetId="15" hidden="1">{#N/A,#N/A,FALSE,"Acq-Val";#N/A,#N/A,FALSE,"Acq-Mult Val"}</definedName>
    <definedName name="wrn.AcqVal._22" hidden="1">{#N/A,#N/A,FALSE,"Acq-Val";#N/A,#N/A,FALSE,"Acq-Mult Val"}</definedName>
    <definedName name="wrn.AcqVal.2" localSheetId="10" hidden="1">{#N/A,#N/A,FALSE,"Acq-Val";#N/A,#N/A,FALSE,"Acq-Mult Val"}</definedName>
    <definedName name="wrn.AcqVal.2" localSheetId="20" hidden="1">{#N/A,#N/A,FALSE,"Acq-Val";#N/A,#N/A,FALSE,"Acq-Mult Val"}</definedName>
    <definedName name="wrn.AcqVal.2" localSheetId="16" hidden="1">{#N/A,#N/A,FALSE,"Acq-Val";#N/A,#N/A,FALSE,"Acq-Mult Val"}</definedName>
    <definedName name="wrn.AcqVal.2" localSheetId="15" hidden="1">{#N/A,#N/A,FALSE,"Acq-Val";#N/A,#N/A,FALSE,"Acq-Mult Val"}</definedName>
    <definedName name="wrn.AcqVal.2" hidden="1">{#N/A,#N/A,FALSE,"Acq-Val";#N/A,#N/A,FALSE,"Acq-Mult Val"}</definedName>
    <definedName name="wrn.all." localSheetId="10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localSheetId="20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localSheetId="16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localSheetId="15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10" hidden="1">{#N/A,#N/A,TRUE,"Assumptions";#N/A,#N/A,TRUE,"Op Projection";#N/A,#N/A,TRUE,"Capital";#N/A,#N/A,TRUE,"Income";#N/A,#N/A,TRUE,"Balance";#N/A,#N/A,TRUE,"Sources&amp;Uses"}</definedName>
    <definedName name="wrn.All._.Financials." localSheetId="20" hidden="1">{#N/A,#N/A,TRUE,"Assumptions";#N/A,#N/A,TRUE,"Op Projection";#N/A,#N/A,TRUE,"Capital";#N/A,#N/A,TRUE,"Income";#N/A,#N/A,TRUE,"Balance";#N/A,#N/A,TRUE,"Sources&amp;Uses"}</definedName>
    <definedName name="wrn.All._.Financials." localSheetId="16" hidden="1">{#N/A,#N/A,TRUE,"Assumptions";#N/A,#N/A,TRUE,"Op Projection";#N/A,#N/A,TRUE,"Capital";#N/A,#N/A,TRUE,"Income";#N/A,#N/A,TRUE,"Balance";#N/A,#N/A,TRUE,"Sources&amp;Uses"}</definedName>
    <definedName name="wrn.All._.Financials." localSheetId="15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10" hidden="1">{#N/A,#N/A,FALSE,"Bal sht";"Qtrly Bal Sht",#N/A,FALSE,"Bal sht - QTR"}</definedName>
    <definedName name="wrn.Balance._.Sheets." localSheetId="20" hidden="1">{#N/A,#N/A,FALSE,"Bal sht";"Qtrly Bal Sht",#N/A,FALSE,"Bal sht - QTR"}</definedName>
    <definedName name="wrn.Balance._.Sheets." localSheetId="16" hidden="1">{#N/A,#N/A,FALSE,"Bal sht";"Qtrly Bal Sht",#N/A,FALSE,"Bal sht - QTR"}</definedName>
    <definedName name="wrn.Balance._.Sheets." localSheetId="15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10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localSheetId="20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localSheetId="16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localSheetId="15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10" hidden="1">{"BS",#N/A,FALSE;"RE",#N/A,FALSE;"IS",#N/A,FALSE;"CASH",#N/A,FALSE}</definedName>
    <definedName name="wrn.CANWEST._.GLOBAL." localSheetId="20" hidden="1">{"BS",#N/A,FALSE;"RE",#N/A,FALSE;"IS",#N/A,FALSE;"CASH",#N/A,FALSE}</definedName>
    <definedName name="wrn.CANWEST._.GLOBAL." localSheetId="16" hidden="1">{"BS",#N/A,FALSE;"RE",#N/A,FALSE;"IS",#N/A,FALSE;"CASH",#N/A,FALSE}</definedName>
    <definedName name="wrn.CANWEST._.GLOBAL." localSheetId="15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1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2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16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15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1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2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16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15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1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2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16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15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1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2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16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15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1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2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16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15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1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2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16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15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1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2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16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15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1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2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16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15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10" hidden="1">{#N/A,#N/A,FALSE,"Combo-Ass ";#N/A,#N/A,FALSE,"Combo-IS";#N/A,#N/A,FALSE,"Combo-BS";#N/A,#N/A,FALSE,"Combo-CF"}</definedName>
    <definedName name="wrn.ComboState." localSheetId="20" hidden="1">{#N/A,#N/A,FALSE,"Combo-Ass ";#N/A,#N/A,FALSE,"Combo-IS";#N/A,#N/A,FALSE,"Combo-BS";#N/A,#N/A,FALSE,"Combo-CF"}</definedName>
    <definedName name="wrn.ComboState." localSheetId="16" hidden="1">{#N/A,#N/A,FALSE,"Combo-Ass ";#N/A,#N/A,FALSE,"Combo-IS";#N/A,#N/A,FALSE,"Combo-BS";#N/A,#N/A,FALSE,"Combo-CF"}</definedName>
    <definedName name="wrn.ComboState." localSheetId="15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10" hidden="1">{#N/A,#N/A,FALSE,"Combo-Ass ";#N/A,#N/A,FALSE,"Combo-IS";#N/A,#N/A,FALSE,"Combo-BS";#N/A,#N/A,FALSE,"Combo-CF"}</definedName>
    <definedName name="wrn.ComboState._2" localSheetId="20" hidden="1">{#N/A,#N/A,FALSE,"Combo-Ass ";#N/A,#N/A,FALSE,"Combo-IS";#N/A,#N/A,FALSE,"Combo-BS";#N/A,#N/A,FALSE,"Combo-CF"}</definedName>
    <definedName name="wrn.ComboState._2" localSheetId="16" hidden="1">{#N/A,#N/A,FALSE,"Combo-Ass ";#N/A,#N/A,FALSE,"Combo-IS";#N/A,#N/A,FALSE,"Combo-BS";#N/A,#N/A,FALSE,"Combo-CF"}</definedName>
    <definedName name="wrn.ComboState._2" localSheetId="15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10" hidden="1">{#N/A,#N/A,FALSE,"Combo-Ass ";#N/A,#N/A,FALSE,"Combo-IS";#N/A,#N/A,FALSE,"Combo-BS";#N/A,#N/A,FALSE,"Combo-CF"}</definedName>
    <definedName name="wrn.ComboState._22" localSheetId="20" hidden="1">{#N/A,#N/A,FALSE,"Combo-Ass ";#N/A,#N/A,FALSE,"Combo-IS";#N/A,#N/A,FALSE,"Combo-BS";#N/A,#N/A,FALSE,"Combo-CF"}</definedName>
    <definedName name="wrn.ComboState._22" localSheetId="16" hidden="1">{#N/A,#N/A,FALSE,"Combo-Ass ";#N/A,#N/A,FALSE,"Combo-IS";#N/A,#N/A,FALSE,"Combo-BS";#N/A,#N/A,FALSE,"Combo-CF"}</definedName>
    <definedName name="wrn.ComboState._22" localSheetId="15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10" hidden="1">{#N/A,#N/A,FALSE,"Combo-Ass ";#N/A,#N/A,FALSE,"Combo-IS";#N/A,#N/A,FALSE,"Combo-BS";#N/A,#N/A,FALSE,"Combo-CF"}</definedName>
    <definedName name="wrn.ComboState.2" localSheetId="20" hidden="1">{#N/A,#N/A,FALSE,"Combo-Ass ";#N/A,#N/A,FALSE,"Combo-IS";#N/A,#N/A,FALSE,"Combo-BS";#N/A,#N/A,FALSE,"Combo-CF"}</definedName>
    <definedName name="wrn.ComboState.2" localSheetId="16" hidden="1">{#N/A,#N/A,FALSE,"Combo-Ass ";#N/A,#N/A,FALSE,"Combo-IS";#N/A,#N/A,FALSE,"Combo-BS";#N/A,#N/A,FALSE,"Combo-CF"}</definedName>
    <definedName name="wrn.ComboState.2" localSheetId="15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10" hidden="1">{#N/A,#N/A,FALSE,"Brad_DCFM";#N/A,#N/A,FALSE,"Nick_DCFM";#N/A,#N/A,FALSE,"Mobile_DCFM"}</definedName>
    <definedName name="wrn.DCF." localSheetId="20" hidden="1">{#N/A,#N/A,FALSE,"Brad_DCFM";#N/A,#N/A,FALSE,"Nick_DCFM";#N/A,#N/A,FALSE,"Mobile_DCFM"}</definedName>
    <definedName name="wrn.DCF." localSheetId="16" hidden="1">{#N/A,#N/A,FALSE,"Brad_DCFM";#N/A,#N/A,FALSE,"Nick_DCFM";#N/A,#N/A,FALSE,"Mobile_DCFM"}</definedName>
    <definedName name="wrn.DCF." localSheetId="15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10" hidden="1">{"Facility Detail",#N/A,FALSE,"P&amp;L Detail"}</definedName>
    <definedName name="wrn.Detail._.Income._.Statement." localSheetId="20" hidden="1">{"Facility Detail",#N/A,FALSE,"P&amp;L Detail"}</definedName>
    <definedName name="wrn.Detail._.Income._.Statement." localSheetId="16" hidden="1">{"Facility Detail",#N/A,FALSE,"P&amp;L Detail"}</definedName>
    <definedName name="wrn.Detail._.Income._.Statement." localSheetId="15" hidden="1">{"Facility Detail",#N/A,FALSE,"P&amp;L Detail"}</definedName>
    <definedName name="wrn.Detail._.Income._.Statement." hidden="1">{"Facility Detail",#N/A,FALSE,"P&amp;L Detail"}</definedName>
    <definedName name="wrn.Everything." localSheetId="10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localSheetId="20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localSheetId="16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localSheetId="15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10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localSheetId="20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localSheetId="16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localSheetId="15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10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localSheetId="20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localSheetId="16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localSheetId="15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10" hidden="1">{#N/A,#N/A,FALSE,"ICP Europa";#N/A,#N/A,FALSE,"ICP Francia";#N/A,#N/A,FALSE,"ICP Oriente";#N/A,#N/A,FALSE,"ICP Giappone";#N/A,#N/A,FALSE,"ICP Korea";#N/A,#N/A,FALSE,"ICP Riepilogo"}</definedName>
    <definedName name="wrn.ICP." localSheetId="20" hidden="1">{#N/A,#N/A,FALSE,"ICP Europa";#N/A,#N/A,FALSE,"ICP Francia";#N/A,#N/A,FALSE,"ICP Oriente";#N/A,#N/A,FALSE,"ICP Giappone";#N/A,#N/A,FALSE,"ICP Korea";#N/A,#N/A,FALSE,"ICP Riepilogo"}</definedName>
    <definedName name="wrn.ICP." localSheetId="16" hidden="1">{#N/A,#N/A,FALSE,"ICP Europa";#N/A,#N/A,FALSE,"ICP Francia";#N/A,#N/A,FALSE,"ICP Oriente";#N/A,#N/A,FALSE,"ICP Giappone";#N/A,#N/A,FALSE,"ICP Korea";#N/A,#N/A,FALSE,"ICP Riepilogo"}</definedName>
    <definedName name="wrn.ICP." localSheetId="15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10" hidden="1">{"Income Statement",#N/A,FALSE,"P&amp;L - $";"Quarterly Income Statement",#N/A,FALSE,"P&amp;L Detail"}</definedName>
    <definedName name="wrn.Income._.Statements." localSheetId="20" hidden="1">{"Income Statement",#N/A,FALSE,"P&amp;L - $";"Quarterly Income Statement",#N/A,FALSE,"P&amp;L Detail"}</definedName>
    <definedName name="wrn.Income._.Statements." localSheetId="16" hidden="1">{"Income Statement",#N/A,FALSE,"P&amp;L - $";"Quarterly Income Statement",#N/A,FALSE,"P&amp;L Detail"}</definedName>
    <definedName name="wrn.Income._.Statements." localSheetId="15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10" hidden="1">{"LUX_ASSET",#N/A,FALSE,"CII-Q494.XLS";"LUX_LIAB",#N/A,FALSE,"CII-Q494.XLS";"LUX_INC",#N/A,FALSE,"CII-Q494.XLS";"LUXje",#N/A,FALSE,"CII-Q494.XLS"}</definedName>
    <definedName name="wrn.LUXCOS." localSheetId="20" hidden="1">{"LUX_ASSET",#N/A,FALSE,"CII-Q494.XLS";"LUX_LIAB",#N/A,FALSE,"CII-Q494.XLS";"LUX_INC",#N/A,FALSE,"CII-Q494.XLS";"LUXje",#N/A,FALSE,"CII-Q494.XLS"}</definedName>
    <definedName name="wrn.LUXCOS." localSheetId="16" hidden="1">{"LUX_ASSET",#N/A,FALSE,"CII-Q494.XLS";"LUX_LIAB",#N/A,FALSE,"CII-Q494.XLS";"LUX_INC",#N/A,FALSE,"CII-Q494.XLS";"LUXje",#N/A,FALSE,"CII-Q494.XLS"}</definedName>
    <definedName name="wrn.LUXCOS." localSheetId="15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10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localSheetId="20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localSheetId="16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localSheetId="15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10" hidden="1">{"Phase in summary",#N/A,FALSE,"P&amp;L Phased"}</definedName>
    <definedName name="wrn.Phase._.in." localSheetId="20" hidden="1">{"Phase in summary",#N/A,FALSE,"P&amp;L Phased"}</definedName>
    <definedName name="wrn.Phase._.in." localSheetId="16" hidden="1">{"Phase in summary",#N/A,FALSE,"P&amp;L Phased"}</definedName>
    <definedName name="wrn.Phase._.in." localSheetId="15" hidden="1">{"Phase in summary",#N/A,FALSE,"P&amp;L Phased"}</definedName>
    <definedName name="wrn.Phase._.in." hidden="1">{"Phase in summary",#N/A,FALSE,"P&amp;L Phased"}</definedName>
    <definedName name="wrn.PL._.Detail." localSheetId="10" hidden="1">{#N/A,#N/A,FALSE,"P&amp;L Detail";#N/A,#N/A,FALSE,"P&amp;L Detail";#N/A,#N/A,FALSE,"P&amp;L Detail"}</definedName>
    <definedName name="wrn.PL._.Detail." localSheetId="20" hidden="1">{#N/A,#N/A,FALSE,"P&amp;L Detail";#N/A,#N/A,FALSE,"P&amp;L Detail";#N/A,#N/A,FALSE,"P&amp;L Detail"}</definedName>
    <definedName name="wrn.PL._.Detail." localSheetId="16" hidden="1">{#N/A,#N/A,FALSE,"P&amp;L Detail";#N/A,#N/A,FALSE,"P&amp;L Detail";#N/A,#N/A,FALSE,"P&amp;L Detail"}</definedName>
    <definedName name="wrn.PL._.Detail." localSheetId="15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1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localSheetId="2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localSheetId="16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localSheetId="15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10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20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16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15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1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localSheetId="2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localSheetId="16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localSheetId="15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1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2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16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15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10" hidden="1">{#N/A,#N/A,FALSE,"Op-BS";#N/A,#N/A,FALSE,"Assum";#N/A,#N/A,FALSE,"IS";#N/A,#N/A,FALSE,"Syn+Elim";#N/A,#N/A,FALSE,"BSCF";#N/A,#N/A,FALSE,"Blue_IS";#N/A,#N/A,FALSE,"Blue_BSCF";#N/A,#N/A,FALSE,"Ratings"}</definedName>
    <definedName name="wrn.printac." localSheetId="20" hidden="1">{#N/A,#N/A,FALSE,"Op-BS";#N/A,#N/A,FALSE,"Assum";#N/A,#N/A,FALSE,"IS";#N/A,#N/A,FALSE,"Syn+Elim";#N/A,#N/A,FALSE,"BSCF";#N/A,#N/A,FALSE,"Blue_IS";#N/A,#N/A,FALSE,"Blue_BSCF";#N/A,#N/A,FALSE,"Ratings"}</definedName>
    <definedName name="wrn.printac." localSheetId="16" hidden="1">{#N/A,#N/A,FALSE,"Op-BS";#N/A,#N/A,FALSE,"Assum";#N/A,#N/A,FALSE,"IS";#N/A,#N/A,FALSE,"Syn+Elim";#N/A,#N/A,FALSE,"BSCF";#N/A,#N/A,FALSE,"Blue_IS";#N/A,#N/A,FALSE,"Blue_BSCF";#N/A,#N/A,FALSE,"Ratings"}</definedName>
    <definedName name="wrn.printac." localSheetId="15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10" hidden="1">{#N/A,#N/A,FALSE,"Produzione 1";#N/A,#N/A,FALSE,"Rettifica 1";#N/A,#N/A,FALSE,"Produzione 2";#N/A,#N/A,FALSE,"Rettifica 2";#N/A,#N/A,FALSE,"Produzione 3"}</definedName>
    <definedName name="wrn.Produzione." localSheetId="20" hidden="1">{#N/A,#N/A,FALSE,"Produzione 1";#N/A,#N/A,FALSE,"Rettifica 1";#N/A,#N/A,FALSE,"Produzione 2";#N/A,#N/A,FALSE,"Rettifica 2";#N/A,#N/A,FALSE,"Produzione 3"}</definedName>
    <definedName name="wrn.Produzione." localSheetId="16" hidden="1">{#N/A,#N/A,FALSE,"Produzione 1";#N/A,#N/A,FALSE,"Rettifica 1";#N/A,#N/A,FALSE,"Produzione 2";#N/A,#N/A,FALSE,"Rettifica 2";#N/A,#N/A,FALSE,"Produzione 3"}</definedName>
    <definedName name="wrn.Produzione." localSheetId="15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10" hidden="1">{"Quarterly Income Statement",#N/A,FALSE,"P&amp;L Detail"}</definedName>
    <definedName name="wrn.Quarterly._.Income._.Statement." localSheetId="20" hidden="1">{"Quarterly Income Statement",#N/A,FALSE,"P&amp;L Detail"}</definedName>
    <definedName name="wrn.Quarterly._.Income._.Statement." localSheetId="16" hidden="1">{"Quarterly Income Statement",#N/A,FALSE,"P&amp;L Detail"}</definedName>
    <definedName name="wrn.Quarterly._.Income._.Statement." localSheetId="15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10" hidden="1">{#N/A,#N/A,FALSE,"Cost Comparison";#N/A,#N/A,FALSE,"ICP Comparison "}</definedName>
    <definedName name="wrn.Report." localSheetId="20" hidden="1">{#N/A,#N/A,FALSE,"Cost Comparison";#N/A,#N/A,FALSE,"ICP Comparison "}</definedName>
    <definedName name="wrn.Report." localSheetId="16" hidden="1">{#N/A,#N/A,FALSE,"Cost Comparison";#N/A,#N/A,FALSE,"ICP Comparison "}</definedName>
    <definedName name="wrn.Report." localSheetId="15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10" hidden="1">{#N/A,#N/A,TRUE,"Pivots-Employee";#N/A,"Scenerio2",TRUE,"Assumptions Summary"}</definedName>
    <definedName name="wrn.Report._.2." localSheetId="20" hidden="1">{#N/A,#N/A,TRUE,"Pivots-Employee";#N/A,"Scenerio2",TRUE,"Assumptions Summary"}</definedName>
    <definedName name="wrn.Report._.2." localSheetId="16" hidden="1">{#N/A,#N/A,TRUE,"Pivots-Employee";#N/A,"Scenerio2",TRUE,"Assumptions Summary"}</definedName>
    <definedName name="wrn.Report._.2." localSheetId="15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10" hidden="1">{#N/A,#N/A,TRUE,"Pivots-Employee";#N/A,"Scenario1",TRUE,"Assumptions Summary"}</definedName>
    <definedName name="wrn.Report1." localSheetId="20" hidden="1">{#N/A,#N/A,TRUE,"Pivots-Employee";#N/A,"Scenario1",TRUE,"Assumptions Summary"}</definedName>
    <definedName name="wrn.Report1." localSheetId="16" hidden="1">{#N/A,#N/A,TRUE,"Pivots-Employee";#N/A,"Scenario1",TRUE,"Assumptions Summary"}</definedName>
    <definedName name="wrn.Report1." localSheetId="15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10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localSheetId="20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localSheetId="16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localSheetId="15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10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localSheetId="20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localSheetId="16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localSheetId="15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10" hidden="1">{"review",#N/A,FALSE,"FACTSHT"}</definedName>
    <definedName name="wrn.review." localSheetId="20" hidden="1">{"review",#N/A,FALSE,"FACTSHT"}</definedName>
    <definedName name="wrn.review." localSheetId="16" hidden="1">{"review",#N/A,FALSE,"FACTSHT"}</definedName>
    <definedName name="wrn.review." localSheetId="15" hidden="1">{"review",#N/A,FALSE,"FACTSHT"}</definedName>
    <definedName name="wrn.review." hidden="1">{"review",#N/A,FALSE,"FACTSHT"}</definedName>
    <definedName name="wrn.review1." localSheetId="10" hidden="1">{"review",#N/A,FALSE,"FACTSHT"}</definedName>
    <definedName name="wrn.review1." localSheetId="20" hidden="1">{"review",#N/A,FALSE,"FACTSHT"}</definedName>
    <definedName name="wrn.review1." localSheetId="16" hidden="1">{"review",#N/A,FALSE,"FACTSHT"}</definedName>
    <definedName name="wrn.review1." localSheetId="15" hidden="1">{"review",#N/A,FALSE,"FACTSHT"}</definedName>
    <definedName name="wrn.review1." hidden="1">{"review",#N/A,FALSE,"FACTSHT"}</definedName>
    <definedName name="wrn.SBEI." localSheetId="10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localSheetId="20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localSheetId="16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localSheetId="15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10" hidden="1">{"Std Poor",#N/A,FALSE,"S&amp;P";"Sum Stats",#N/A,FALSE,"Stats"}</definedName>
    <definedName name="wrn.Statistics." localSheetId="20" hidden="1">{"Std Poor",#N/A,FALSE,"S&amp;P";"Sum Stats",#N/A,FALSE,"Stats"}</definedName>
    <definedName name="wrn.Statistics." localSheetId="16" hidden="1">{"Std Poor",#N/A,FALSE,"S&amp;P";"Sum Stats",#N/A,FALSE,"Stats"}</definedName>
    <definedName name="wrn.Statistics." localSheetId="15" hidden="1">{"Std Poor",#N/A,FALSE,"S&amp;P";"Sum Stats",#N/A,FALSE,"Stats"}</definedName>
    <definedName name="wrn.Statistics." hidden="1">{"Std Poor",#N/A,FALSE,"S&amp;P";"Sum Stats",#N/A,FALSE,"Stats"}</definedName>
    <definedName name="wrn.Target." localSheetId="1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2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16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15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1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2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16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15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1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2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16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15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1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2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16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15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1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2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16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15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1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2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16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15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1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2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16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15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1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2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16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15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10" hidden="1">{#N/A,#N/A,FALSE,"Tar-Ass";#N/A,#N/A,FALSE,"Tar-IS";#N/A,#N/A,FALSE,"Tar-BS";#N/A,#N/A,FALSE,"Tar-Adg BS";#N/A,#N/A,FALSE,"Tar-CF"}</definedName>
    <definedName name="wrn.TargetState." localSheetId="20" hidden="1">{#N/A,#N/A,FALSE,"Tar-Ass";#N/A,#N/A,FALSE,"Tar-IS";#N/A,#N/A,FALSE,"Tar-BS";#N/A,#N/A,FALSE,"Tar-Adg BS";#N/A,#N/A,FALSE,"Tar-CF"}</definedName>
    <definedName name="wrn.TargetState." localSheetId="16" hidden="1">{#N/A,#N/A,FALSE,"Tar-Ass";#N/A,#N/A,FALSE,"Tar-IS";#N/A,#N/A,FALSE,"Tar-BS";#N/A,#N/A,FALSE,"Tar-Adg BS";#N/A,#N/A,FALSE,"Tar-CF"}</definedName>
    <definedName name="wrn.TargetState." localSheetId="15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10" hidden="1">{#N/A,#N/A,FALSE,"Tar-Ass";#N/A,#N/A,FALSE,"Tar-IS";#N/A,#N/A,FALSE,"Tar-BS";#N/A,#N/A,FALSE,"Tar-Adg BS";#N/A,#N/A,FALSE,"Tar-CF"}</definedName>
    <definedName name="wrn.TargetState._2" localSheetId="20" hidden="1">{#N/A,#N/A,FALSE,"Tar-Ass";#N/A,#N/A,FALSE,"Tar-IS";#N/A,#N/A,FALSE,"Tar-BS";#N/A,#N/A,FALSE,"Tar-Adg BS";#N/A,#N/A,FALSE,"Tar-CF"}</definedName>
    <definedName name="wrn.TargetState._2" localSheetId="16" hidden="1">{#N/A,#N/A,FALSE,"Tar-Ass";#N/A,#N/A,FALSE,"Tar-IS";#N/A,#N/A,FALSE,"Tar-BS";#N/A,#N/A,FALSE,"Tar-Adg BS";#N/A,#N/A,FALSE,"Tar-CF"}</definedName>
    <definedName name="wrn.TargetState._2" localSheetId="15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10" hidden="1">{#N/A,#N/A,FALSE,"Tar-Ass";#N/A,#N/A,FALSE,"Tar-IS";#N/A,#N/A,FALSE,"Tar-BS";#N/A,#N/A,FALSE,"Tar-Adg BS";#N/A,#N/A,FALSE,"Tar-CF"}</definedName>
    <definedName name="wrn.TargetState._22" localSheetId="20" hidden="1">{#N/A,#N/A,FALSE,"Tar-Ass";#N/A,#N/A,FALSE,"Tar-IS";#N/A,#N/A,FALSE,"Tar-BS";#N/A,#N/A,FALSE,"Tar-Adg BS";#N/A,#N/A,FALSE,"Tar-CF"}</definedName>
    <definedName name="wrn.TargetState._22" localSheetId="16" hidden="1">{#N/A,#N/A,FALSE,"Tar-Ass";#N/A,#N/A,FALSE,"Tar-IS";#N/A,#N/A,FALSE,"Tar-BS";#N/A,#N/A,FALSE,"Tar-Adg BS";#N/A,#N/A,FALSE,"Tar-CF"}</definedName>
    <definedName name="wrn.TargetState._22" localSheetId="15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10" hidden="1">{#N/A,#N/A,FALSE,"Tar-Ass";#N/A,#N/A,FALSE,"Tar-IS";#N/A,#N/A,FALSE,"Tar-BS";#N/A,#N/A,FALSE,"Tar-Adg BS";#N/A,#N/A,FALSE,"Tar-CF"}</definedName>
    <definedName name="wrn.TargetState.2" localSheetId="20" hidden="1">{#N/A,#N/A,FALSE,"Tar-Ass";#N/A,#N/A,FALSE,"Tar-IS";#N/A,#N/A,FALSE,"Tar-BS";#N/A,#N/A,FALSE,"Tar-Adg BS";#N/A,#N/A,FALSE,"Tar-CF"}</definedName>
    <definedName name="wrn.TargetState.2" localSheetId="16" hidden="1">{#N/A,#N/A,FALSE,"Tar-Ass";#N/A,#N/A,FALSE,"Tar-IS";#N/A,#N/A,FALSE,"Tar-BS";#N/A,#N/A,FALSE,"Tar-Adg BS";#N/A,#N/A,FALSE,"Tar-CF"}</definedName>
    <definedName name="wrn.TargetState.2" localSheetId="15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10" hidden="1">{#N/A,#N/A,TRUE,"Val - sum";#N/A,#N/A,TRUE,"Val - Sum1";#N/A,#N/A,TRUE,"Val - sum2";#N/A,#N/A,TRUE,"Val - Sum3";#N/A,#N/A,TRUE,"Tar-DCF";#N/A,#N/A,TRUE,"Tar-Val LBO";#N/A,#N/A,TRUE,"Tar-Mult Val"}</definedName>
    <definedName name="wrn.TargetVal." localSheetId="20" hidden="1">{#N/A,#N/A,TRUE,"Val - sum";#N/A,#N/A,TRUE,"Val - Sum1";#N/A,#N/A,TRUE,"Val - sum2";#N/A,#N/A,TRUE,"Val - Sum3";#N/A,#N/A,TRUE,"Tar-DCF";#N/A,#N/A,TRUE,"Tar-Val LBO";#N/A,#N/A,TRUE,"Tar-Mult Val"}</definedName>
    <definedName name="wrn.TargetVal." localSheetId="16" hidden="1">{#N/A,#N/A,TRUE,"Val - sum";#N/A,#N/A,TRUE,"Val - Sum1";#N/A,#N/A,TRUE,"Val - sum2";#N/A,#N/A,TRUE,"Val - Sum3";#N/A,#N/A,TRUE,"Tar-DCF";#N/A,#N/A,TRUE,"Tar-Val LBO";#N/A,#N/A,TRUE,"Tar-Mult Val"}</definedName>
    <definedName name="wrn.TargetVal." localSheetId="15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10" hidden="1">{#N/A,#N/A,TRUE,"Val - sum";#N/A,#N/A,TRUE,"Val - Sum1";#N/A,#N/A,TRUE,"Val - sum2";#N/A,#N/A,TRUE,"Val - Sum3";#N/A,#N/A,TRUE,"Tar-DCF";#N/A,#N/A,TRUE,"Tar-Val LBO";#N/A,#N/A,TRUE,"Tar-Mult Val"}</definedName>
    <definedName name="wrn.TargetVal._2" localSheetId="20" hidden="1">{#N/A,#N/A,TRUE,"Val - sum";#N/A,#N/A,TRUE,"Val - Sum1";#N/A,#N/A,TRUE,"Val - sum2";#N/A,#N/A,TRUE,"Val - Sum3";#N/A,#N/A,TRUE,"Tar-DCF";#N/A,#N/A,TRUE,"Tar-Val LBO";#N/A,#N/A,TRUE,"Tar-Mult Val"}</definedName>
    <definedName name="wrn.TargetVal._2" localSheetId="16" hidden="1">{#N/A,#N/A,TRUE,"Val - sum";#N/A,#N/A,TRUE,"Val - Sum1";#N/A,#N/A,TRUE,"Val - sum2";#N/A,#N/A,TRUE,"Val - Sum3";#N/A,#N/A,TRUE,"Tar-DCF";#N/A,#N/A,TRUE,"Tar-Val LBO";#N/A,#N/A,TRUE,"Tar-Mult Val"}</definedName>
    <definedName name="wrn.TargetVal._2" localSheetId="15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10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20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16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15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10" hidden="1">{#N/A,#N/A,TRUE,"Val - sum";#N/A,#N/A,TRUE,"Val - Sum1";#N/A,#N/A,TRUE,"Val - sum2";#N/A,#N/A,TRUE,"Val - Sum3";#N/A,#N/A,TRUE,"Tar-DCF";#N/A,#N/A,TRUE,"Tar-Val LBO";#N/A,#N/A,TRUE,"Tar-Mult Val"}</definedName>
    <definedName name="wrn.TargetVal.2" localSheetId="20" hidden="1">{#N/A,#N/A,TRUE,"Val - sum";#N/A,#N/A,TRUE,"Val - Sum1";#N/A,#N/A,TRUE,"Val - sum2";#N/A,#N/A,TRUE,"Val - Sum3";#N/A,#N/A,TRUE,"Tar-DCF";#N/A,#N/A,TRUE,"Tar-Val LBO";#N/A,#N/A,TRUE,"Tar-Mult Val"}</definedName>
    <definedName name="wrn.TargetVal.2" localSheetId="16" hidden="1">{#N/A,#N/A,TRUE,"Val - sum";#N/A,#N/A,TRUE,"Val - Sum1";#N/A,#N/A,TRUE,"Val - sum2";#N/A,#N/A,TRUE,"Val - Sum3";#N/A,#N/A,TRUE,"Tar-DCF";#N/A,#N/A,TRUE,"Tar-Val LBO";#N/A,#N/A,TRUE,"Tar-Mult Val"}</definedName>
    <definedName name="wrn.TargetVal.2" localSheetId="15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10" hidden="1">{#N/A,#N/A,FALSE,"Vendite Europa";#N/A,#N/A,FALSE,"Vendite Francia";#N/A,#N/A,FALSE,"Vendite Korea";#N/A,#N/A,FALSE,"Vendite Oriente";#N/A,#N/A,FALSE,"Vendite Giappone";#N/A,#N/A,FALSE,"Vendite Riepilogo"}</definedName>
    <definedName name="wrn.Vendite." localSheetId="20" hidden="1">{#N/A,#N/A,FALSE,"Vendite Europa";#N/A,#N/A,FALSE,"Vendite Francia";#N/A,#N/A,FALSE,"Vendite Korea";#N/A,#N/A,FALSE,"Vendite Oriente";#N/A,#N/A,FALSE,"Vendite Giappone";#N/A,#N/A,FALSE,"Vendite Riepilogo"}</definedName>
    <definedName name="wrn.Vendite." localSheetId="16" hidden="1">{#N/A,#N/A,FALSE,"Vendite Europa";#N/A,#N/A,FALSE,"Vendite Francia";#N/A,#N/A,FALSE,"Vendite Korea";#N/A,#N/A,FALSE,"Vendite Oriente";#N/A,#N/A,FALSE,"Vendite Giappone";#N/A,#N/A,FALSE,"Vendite Riepilogo"}</definedName>
    <definedName name="wrn.Vendite." localSheetId="15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localSheetId="10" hidden="1">{#N/A,#N/A,FALSE,"New-RegularBevel";#N/A,#N/A,FALSE,"Optiva-Optiva2";#N/A,#N/A,FALSE,"Cathlon-Monoblok";#N/A,#N/A,FALSE,"Stylets"}</definedName>
    <definedName name="xxxx" localSheetId="20" hidden="1">{#N/A,#N/A,FALSE,"New-RegularBevel";#N/A,#N/A,FALSE,"Optiva-Optiva2";#N/A,#N/A,FALSE,"Cathlon-Monoblok";#N/A,#N/A,FALSE,"Stylets"}</definedName>
    <definedName name="xxxx" localSheetId="16" hidden="1">{#N/A,#N/A,FALSE,"New-RegularBevel";#N/A,#N/A,FALSE,"Optiva-Optiva2";#N/A,#N/A,FALSE,"Cathlon-Monoblok";#N/A,#N/A,FALSE,"Stylets"}</definedName>
    <definedName name="xxxx" localSheetId="15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10" hidden="1">{#N/A,#N/A,FALSE,"Costi per Gruppo ";#N/A,#N/A,FALSE,"New-RegularBevel";#N/A,#N/A,FALSE,"Optiva-Optiva2";#N/A,#N/A,FALSE,"Cathlon-Monoblok";#N/A,#N/A,FALSE,"Stylets";#N/A,#N/A,FALSE,"Totali"}</definedName>
    <definedName name="xxxxxxxxxxx" localSheetId="20" hidden="1">{#N/A,#N/A,FALSE,"Costi per Gruppo ";#N/A,#N/A,FALSE,"New-RegularBevel";#N/A,#N/A,FALSE,"Optiva-Optiva2";#N/A,#N/A,FALSE,"Cathlon-Monoblok";#N/A,#N/A,FALSE,"Stylets";#N/A,#N/A,FALSE,"Totali"}</definedName>
    <definedName name="xxxxxxxxxxx" localSheetId="16" hidden="1">{#N/A,#N/A,FALSE,"Costi per Gruppo ";#N/A,#N/A,FALSE,"New-RegularBevel";#N/A,#N/A,FALSE,"Optiva-Optiva2";#N/A,#N/A,FALSE,"Cathlon-Monoblok";#N/A,#N/A,FALSE,"Stylets";#N/A,#N/A,FALSE,"Totali"}</definedName>
    <definedName name="xxxxxxxxxxx" localSheetId="15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1" i="58" l="1"/>
  <c r="E63" i="58"/>
  <c r="F22" i="58" l="1"/>
  <c r="F23" i="58"/>
  <c r="F29" i="58"/>
  <c r="F59" i="58"/>
  <c r="F57" i="58"/>
  <c r="F55" i="58"/>
  <c r="F51" i="58"/>
  <c r="F35" i="58"/>
  <c r="F34" i="58"/>
  <c r="F33" i="58"/>
  <c r="F25" i="58"/>
  <c r="I68" i="68"/>
  <c r="G62" i="68"/>
  <c r="E62" i="68"/>
  <c r="H62" i="68" s="1"/>
  <c r="J62" i="68" s="1"/>
  <c r="G61" i="68"/>
  <c r="E61" i="68"/>
  <c r="H61" i="68" s="1"/>
  <c r="J61" i="68" s="1"/>
  <c r="G60" i="68"/>
  <c r="E60" i="68"/>
  <c r="H60" i="68" s="1"/>
  <c r="J60" i="68" s="1"/>
  <c r="G59" i="68"/>
  <c r="E59" i="68"/>
  <c r="H59" i="68" s="1"/>
  <c r="J59" i="68" s="1"/>
  <c r="G58" i="68"/>
  <c r="E58" i="68"/>
  <c r="H58" i="68" s="1"/>
  <c r="J58" i="68" s="1"/>
  <c r="G57" i="68"/>
  <c r="H57" i="68" s="1"/>
  <c r="J57" i="68" s="1"/>
  <c r="E57" i="68"/>
  <c r="G56" i="68"/>
  <c r="H56" i="68" s="1"/>
  <c r="J56" i="68" s="1"/>
  <c r="E56" i="68"/>
  <c r="G55" i="68"/>
  <c r="E55" i="68"/>
  <c r="H55" i="68" s="1"/>
  <c r="J55" i="68" s="1"/>
  <c r="H54" i="68"/>
  <c r="J54" i="68" s="1"/>
  <c r="G54" i="68"/>
  <c r="E54" i="68"/>
  <c r="G53" i="68"/>
  <c r="E53" i="68"/>
  <c r="H53" i="68" s="1"/>
  <c r="J53" i="68" s="1"/>
  <c r="H52" i="68"/>
  <c r="J52" i="68" s="1"/>
  <c r="G52" i="68"/>
  <c r="E52" i="68"/>
  <c r="H51" i="68"/>
  <c r="J51" i="68" s="1"/>
  <c r="G51" i="68"/>
  <c r="E51" i="68"/>
  <c r="G50" i="68"/>
  <c r="E50" i="68"/>
  <c r="H50" i="68" s="1"/>
  <c r="J50" i="68" s="1"/>
  <c r="G49" i="68"/>
  <c r="E49" i="68"/>
  <c r="H49" i="68" s="1"/>
  <c r="J49" i="68" s="1"/>
  <c r="G48" i="68"/>
  <c r="E48" i="68"/>
  <c r="H48" i="68" s="1"/>
  <c r="J48" i="68" s="1"/>
  <c r="G47" i="68"/>
  <c r="E47" i="68"/>
  <c r="H47" i="68" s="1"/>
  <c r="J47" i="68" s="1"/>
  <c r="G46" i="68"/>
  <c r="E46" i="68"/>
  <c r="H46" i="68" s="1"/>
  <c r="J46" i="68" s="1"/>
  <c r="G45" i="68"/>
  <c r="H45" i="68" s="1"/>
  <c r="J45" i="68" s="1"/>
  <c r="E45" i="68"/>
  <c r="G44" i="68"/>
  <c r="H44" i="68" s="1"/>
  <c r="J44" i="68" s="1"/>
  <c r="E44" i="68"/>
  <c r="G43" i="68"/>
  <c r="E43" i="68"/>
  <c r="H43" i="68" s="1"/>
  <c r="J43" i="68" s="1"/>
  <c r="H42" i="68"/>
  <c r="J42" i="68" s="1"/>
  <c r="G42" i="68"/>
  <c r="E42" i="68"/>
  <c r="H41" i="68"/>
  <c r="J41" i="68" s="1"/>
  <c r="G41" i="68"/>
  <c r="E41" i="68"/>
  <c r="H40" i="68"/>
  <c r="J40" i="68" s="1"/>
  <c r="G40" i="68"/>
  <c r="E40" i="68"/>
  <c r="H39" i="68"/>
  <c r="J39" i="68" s="1"/>
  <c r="G39" i="68"/>
  <c r="E39" i="68"/>
  <c r="G38" i="68"/>
  <c r="E38" i="68"/>
  <c r="H38" i="68" s="1"/>
  <c r="J38" i="68" s="1"/>
  <c r="G37" i="68"/>
  <c r="E37" i="68"/>
  <c r="H37" i="68" s="1"/>
  <c r="J37" i="68" s="1"/>
  <c r="G36" i="68"/>
  <c r="E36" i="68"/>
  <c r="H36" i="68" s="1"/>
  <c r="J36" i="68" s="1"/>
  <c r="G35" i="68"/>
  <c r="E35" i="68"/>
  <c r="H35" i="68" s="1"/>
  <c r="J35" i="68" s="1"/>
  <c r="G34" i="68"/>
  <c r="E34" i="68"/>
  <c r="H34" i="68" s="1"/>
  <c r="J34" i="68" s="1"/>
  <c r="G33" i="68"/>
  <c r="H33" i="68" s="1"/>
  <c r="J33" i="68" s="1"/>
  <c r="E33" i="68"/>
  <c r="G32" i="68"/>
  <c r="H32" i="68" s="1"/>
  <c r="J32" i="68" s="1"/>
  <c r="E32" i="68"/>
  <c r="G31" i="68"/>
  <c r="E31" i="68"/>
  <c r="H31" i="68" s="1"/>
  <c r="J31" i="68" s="1"/>
  <c r="H30" i="68"/>
  <c r="J30" i="68" s="1"/>
  <c r="G30" i="68"/>
  <c r="E30" i="68"/>
  <c r="H29" i="68"/>
  <c r="J29" i="68" s="1"/>
  <c r="G29" i="68"/>
  <c r="E29" i="68"/>
  <c r="H28" i="68"/>
  <c r="J28" i="68" s="1"/>
  <c r="G28" i="68"/>
  <c r="E28" i="68"/>
  <c r="H27" i="68"/>
  <c r="J27" i="68" s="1"/>
  <c r="G27" i="68"/>
  <c r="E27" i="68"/>
  <c r="G26" i="68"/>
  <c r="E26" i="68"/>
  <c r="H26" i="68" s="1"/>
  <c r="J26" i="68" s="1"/>
  <c r="G25" i="68"/>
  <c r="E25" i="68"/>
  <c r="H25" i="68" s="1"/>
  <c r="J25" i="68" s="1"/>
  <c r="G24" i="68"/>
  <c r="E24" i="68"/>
  <c r="H24" i="68" s="1"/>
  <c r="J24" i="68" s="1"/>
  <c r="G23" i="68"/>
  <c r="E23" i="68"/>
  <c r="H23" i="68" s="1"/>
  <c r="J23" i="68" s="1"/>
  <c r="G22" i="68"/>
  <c r="E22" i="68"/>
  <c r="H22" i="68" s="1"/>
  <c r="J22" i="68" s="1"/>
  <c r="G21" i="68"/>
  <c r="H21" i="68" s="1"/>
  <c r="J21" i="68" s="1"/>
  <c r="E21" i="68"/>
  <c r="G20" i="68"/>
  <c r="H20" i="68" s="1"/>
  <c r="J20" i="68" s="1"/>
  <c r="E20" i="68"/>
  <c r="G19" i="68"/>
  <c r="E19" i="68"/>
  <c r="H19" i="68" s="1"/>
  <c r="J19" i="68" s="1"/>
  <c r="H18" i="68"/>
  <c r="J18" i="68" s="1"/>
  <c r="G18" i="68"/>
  <c r="E18" i="68"/>
  <c r="H17" i="68"/>
  <c r="J17" i="68" s="1"/>
  <c r="G17" i="68"/>
  <c r="E17" i="68"/>
  <c r="H16" i="68"/>
  <c r="J16" i="68" s="1"/>
  <c r="G16" i="68"/>
  <c r="E16" i="68"/>
  <c r="H15" i="68"/>
  <c r="J15" i="68" s="1"/>
  <c r="G15" i="68"/>
  <c r="E15" i="68"/>
  <c r="G14" i="68"/>
  <c r="E14" i="68"/>
  <c r="H14" i="68" s="1"/>
  <c r="J14" i="68" s="1"/>
  <c r="A14" i="68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G13" i="68"/>
  <c r="E13" i="68"/>
  <c r="H13" i="68" s="1"/>
  <c r="J13" i="68" s="1"/>
  <c r="A4" i="68"/>
  <c r="A3" i="68"/>
  <c r="A2" i="68"/>
  <c r="H26" i="67"/>
  <c r="A15" i="67"/>
  <c r="A16" i="67" s="1"/>
  <c r="A17" i="67" s="1"/>
  <c r="A18" i="67" s="1"/>
  <c r="A19" i="67" s="1"/>
  <c r="A20" i="67" s="1"/>
  <c r="A21" i="67" s="1"/>
  <c r="B14" i="67"/>
  <c r="C14" i="67" s="1"/>
  <c r="A14" i="67"/>
  <c r="C13" i="67"/>
  <c r="F13" i="67" s="1"/>
  <c r="A4" i="67"/>
  <c r="A3" i="67"/>
  <c r="A2" i="67"/>
  <c r="H26" i="66"/>
  <c r="B14" i="66"/>
  <c r="B15" i="66" s="1"/>
  <c r="A14" i="66"/>
  <c r="A15" i="66" s="1"/>
  <c r="A16" i="66" s="1"/>
  <c r="A17" i="66" s="1"/>
  <c r="A18" i="66" s="1"/>
  <c r="A19" i="66" s="1"/>
  <c r="A20" i="66" s="1"/>
  <c r="A21" i="66" s="1"/>
  <c r="C13" i="66"/>
  <c r="F13" i="66" s="1"/>
  <c r="A4" i="66"/>
  <c r="A3" i="66"/>
  <c r="A2" i="66"/>
  <c r="I40" i="65"/>
  <c r="A40" i="65"/>
  <c r="G38" i="65"/>
  <c r="H38" i="65" s="1"/>
  <c r="J38" i="65" s="1"/>
  <c r="E38" i="65"/>
  <c r="G35" i="65"/>
  <c r="E35" i="65"/>
  <c r="H35" i="65" s="1"/>
  <c r="J35" i="65" s="1"/>
  <c r="G34" i="65"/>
  <c r="H34" i="65" s="1"/>
  <c r="J34" i="65" s="1"/>
  <c r="E34" i="65"/>
  <c r="G33" i="65"/>
  <c r="E33" i="65"/>
  <c r="H33" i="65" s="1"/>
  <c r="J33" i="65" s="1"/>
  <c r="G32" i="65"/>
  <c r="E32" i="65"/>
  <c r="H32" i="65" s="1"/>
  <c r="J32" i="65" s="1"/>
  <c r="G31" i="65"/>
  <c r="H31" i="65" s="1"/>
  <c r="J31" i="65" s="1"/>
  <c r="E31" i="65"/>
  <c r="G28" i="65"/>
  <c r="E28" i="65"/>
  <c r="H28" i="65" s="1"/>
  <c r="J28" i="65" s="1"/>
  <c r="H27" i="65"/>
  <c r="J27" i="65" s="1"/>
  <c r="G27" i="65"/>
  <c r="E27" i="65"/>
  <c r="G26" i="65"/>
  <c r="E26" i="65"/>
  <c r="H26" i="65" s="1"/>
  <c r="J26" i="65" s="1"/>
  <c r="G25" i="65"/>
  <c r="E25" i="65"/>
  <c r="H25" i="65" s="1"/>
  <c r="J25" i="65" s="1"/>
  <c r="H24" i="65"/>
  <c r="J24" i="65" s="1"/>
  <c r="G24" i="65"/>
  <c r="E24" i="65"/>
  <c r="G23" i="65"/>
  <c r="E23" i="65"/>
  <c r="H23" i="65" s="1"/>
  <c r="J23" i="65" s="1"/>
  <c r="A23" i="65"/>
  <c r="A24" i="65" s="1"/>
  <c r="A25" i="65" s="1"/>
  <c r="A26" i="65" s="1"/>
  <c r="A27" i="65" s="1"/>
  <c r="A28" i="65" s="1"/>
  <c r="A31" i="65" s="1"/>
  <c r="A32" i="65" s="1"/>
  <c r="A33" i="65" s="1"/>
  <c r="A34" i="65" s="1"/>
  <c r="A35" i="65" s="1"/>
  <c r="G22" i="65"/>
  <c r="E22" i="65"/>
  <c r="H22" i="65" s="1"/>
  <c r="J22" i="65" s="1"/>
  <c r="A22" i="65"/>
  <c r="G21" i="65"/>
  <c r="E21" i="65"/>
  <c r="H21" i="65" s="1"/>
  <c r="J21" i="65" s="1"/>
  <c r="G17" i="65"/>
  <c r="E17" i="65"/>
  <c r="H17" i="65" s="1"/>
  <c r="J17" i="65" s="1"/>
  <c r="G13" i="65"/>
  <c r="H13" i="65" s="1"/>
  <c r="J13" i="65" s="1"/>
  <c r="J40" i="65" s="1"/>
  <c r="E13" i="65"/>
  <c r="A4" i="65"/>
  <c r="A3" i="65"/>
  <c r="A2" i="65"/>
  <c r="G56" i="64"/>
  <c r="D54" i="64"/>
  <c r="F54" i="64" s="1"/>
  <c r="H54" i="64" s="1"/>
  <c r="D53" i="64"/>
  <c r="F53" i="64" s="1"/>
  <c r="H53" i="64" s="1"/>
  <c r="D52" i="64"/>
  <c r="F52" i="64" s="1"/>
  <c r="H52" i="64" s="1"/>
  <c r="D51" i="64"/>
  <c r="F51" i="64" s="1"/>
  <c r="H51" i="64" s="1"/>
  <c r="D50" i="64"/>
  <c r="F50" i="64" s="1"/>
  <c r="H50" i="64" s="1"/>
  <c r="D49" i="64"/>
  <c r="F49" i="64" s="1"/>
  <c r="H49" i="64" s="1"/>
  <c r="D48" i="64"/>
  <c r="F48" i="64" s="1"/>
  <c r="H48" i="64" s="1"/>
  <c r="D47" i="64"/>
  <c r="F47" i="64" s="1"/>
  <c r="H47" i="64" s="1"/>
  <c r="D46" i="64"/>
  <c r="F46" i="64" s="1"/>
  <c r="H46" i="64" s="1"/>
  <c r="D45" i="64"/>
  <c r="F45" i="64" s="1"/>
  <c r="H45" i="64" s="1"/>
  <c r="D44" i="64"/>
  <c r="F44" i="64" s="1"/>
  <c r="H44" i="64" s="1"/>
  <c r="D43" i="64"/>
  <c r="F43" i="64" s="1"/>
  <c r="H43" i="64" s="1"/>
  <c r="D42" i="64"/>
  <c r="F42" i="64" s="1"/>
  <c r="H42" i="64" s="1"/>
  <c r="D41" i="64"/>
  <c r="F41" i="64" s="1"/>
  <c r="H41" i="64" s="1"/>
  <c r="D40" i="64"/>
  <c r="F40" i="64" s="1"/>
  <c r="H40" i="64" s="1"/>
  <c r="D39" i="64"/>
  <c r="F39" i="64" s="1"/>
  <c r="H39" i="64" s="1"/>
  <c r="D38" i="64"/>
  <c r="F38" i="64" s="1"/>
  <c r="H38" i="64" s="1"/>
  <c r="D37" i="64"/>
  <c r="F37" i="64" s="1"/>
  <c r="H37" i="64" s="1"/>
  <c r="D36" i="64"/>
  <c r="F36" i="64" s="1"/>
  <c r="H36" i="64" s="1"/>
  <c r="D35" i="64"/>
  <c r="F35" i="64" s="1"/>
  <c r="H35" i="64" s="1"/>
  <c r="D34" i="64"/>
  <c r="F34" i="64" s="1"/>
  <c r="H34" i="64" s="1"/>
  <c r="D33" i="64"/>
  <c r="F33" i="64" s="1"/>
  <c r="H33" i="64" s="1"/>
  <c r="D32" i="64"/>
  <c r="F32" i="64" s="1"/>
  <c r="H32" i="64" s="1"/>
  <c r="D31" i="64"/>
  <c r="F31" i="64" s="1"/>
  <c r="H31" i="64" s="1"/>
  <c r="D30" i="64"/>
  <c r="F30" i="64" s="1"/>
  <c r="H30" i="64" s="1"/>
  <c r="D29" i="64"/>
  <c r="F29" i="64" s="1"/>
  <c r="H29" i="64" s="1"/>
  <c r="D28" i="64"/>
  <c r="F28" i="64" s="1"/>
  <c r="H28" i="64" s="1"/>
  <c r="D27" i="64"/>
  <c r="F27" i="64" s="1"/>
  <c r="H27" i="64" s="1"/>
  <c r="D26" i="64"/>
  <c r="F26" i="64" s="1"/>
  <c r="H26" i="64" s="1"/>
  <c r="D25" i="64"/>
  <c r="F25" i="64" s="1"/>
  <c r="H25" i="64" s="1"/>
  <c r="D24" i="64"/>
  <c r="F24" i="64" s="1"/>
  <c r="H24" i="64" s="1"/>
  <c r="D23" i="64"/>
  <c r="F23" i="64" s="1"/>
  <c r="H23" i="64" s="1"/>
  <c r="D22" i="64"/>
  <c r="F22" i="64" s="1"/>
  <c r="H22" i="64" s="1"/>
  <c r="D21" i="64"/>
  <c r="F21" i="64" s="1"/>
  <c r="H21" i="64" s="1"/>
  <c r="D20" i="64"/>
  <c r="F20" i="64" s="1"/>
  <c r="H20" i="64" s="1"/>
  <c r="D19" i="64"/>
  <c r="F19" i="64" s="1"/>
  <c r="H19" i="64" s="1"/>
  <c r="D18" i="64"/>
  <c r="F18" i="64" s="1"/>
  <c r="H18" i="64" s="1"/>
  <c r="D17" i="64"/>
  <c r="F17" i="64" s="1"/>
  <c r="H17" i="64" s="1"/>
  <c r="D16" i="64"/>
  <c r="F16" i="64" s="1"/>
  <c r="H16" i="64" s="1"/>
  <c r="D15" i="64"/>
  <c r="F15" i="64" s="1"/>
  <c r="H15" i="64" s="1"/>
  <c r="D14" i="64"/>
  <c r="F14" i="64" s="1"/>
  <c r="H14" i="64" s="1"/>
  <c r="A14" i="64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A48" i="64" s="1"/>
  <c r="A49" i="64" s="1"/>
  <c r="A50" i="64" s="1"/>
  <c r="A51" i="64" s="1"/>
  <c r="A52" i="64" s="1"/>
  <c r="A53" i="64" s="1"/>
  <c r="A54" i="64" s="1"/>
  <c r="A56" i="64" s="1"/>
  <c r="D13" i="64"/>
  <c r="F13" i="64" s="1"/>
  <c r="H13" i="64" s="1"/>
  <c r="A13" i="64"/>
  <c r="D12" i="64"/>
  <c r="F12" i="64" s="1"/>
  <c r="H12" i="64" s="1"/>
  <c r="A4" i="64"/>
  <c r="A3" i="64"/>
  <c r="A2" i="64"/>
  <c r="H43" i="63"/>
  <c r="E41" i="63"/>
  <c r="E40" i="63"/>
  <c r="E39" i="63"/>
  <c r="E38" i="63"/>
  <c r="E37" i="63"/>
  <c r="E36" i="63"/>
  <c r="E35" i="63"/>
  <c r="E34" i="63"/>
  <c r="E33" i="63"/>
  <c r="E32" i="63"/>
  <c r="E31" i="63"/>
  <c r="E30" i="63"/>
  <c r="D30" i="63"/>
  <c r="C30" i="63"/>
  <c r="F30" i="63" s="1"/>
  <c r="H27" i="63"/>
  <c r="H45" i="63" s="1"/>
  <c r="F15" i="63"/>
  <c r="D15" i="63"/>
  <c r="G15" i="63" s="1"/>
  <c r="I15" i="63" s="1"/>
  <c r="C15" i="63"/>
  <c r="C31" i="63" s="1"/>
  <c r="A15" i="63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7" i="63" s="1"/>
  <c r="A30" i="63" s="1"/>
  <c r="A31" i="63" s="1"/>
  <c r="A32" i="63" s="1"/>
  <c r="A33" i="63" s="1"/>
  <c r="A34" i="63" s="1"/>
  <c r="A35" i="63" s="1"/>
  <c r="A36" i="63" s="1"/>
  <c r="A37" i="63" s="1"/>
  <c r="A38" i="63" s="1"/>
  <c r="A39" i="63" s="1"/>
  <c r="A40" i="63" s="1"/>
  <c r="A41" i="63" s="1"/>
  <c r="A43" i="63" s="1"/>
  <c r="A45" i="63" s="1"/>
  <c r="F14" i="63"/>
  <c r="D14" i="63"/>
  <c r="G14" i="63" s="1"/>
  <c r="I14" i="63" s="1"/>
  <c r="A4" i="63"/>
  <c r="A3" i="63"/>
  <c r="A2" i="63"/>
  <c r="A22" i="66" l="1"/>
  <c r="A23" i="66" s="1"/>
  <c r="A24" i="66" s="1"/>
  <c r="A26" i="66"/>
  <c r="J68" i="68"/>
  <c r="A60" i="68"/>
  <c r="A43" i="68"/>
  <c r="C15" i="66"/>
  <c r="B16" i="66"/>
  <c r="F14" i="67"/>
  <c r="D14" i="67"/>
  <c r="A26" i="67"/>
  <c r="A22" i="67"/>
  <c r="A23" i="67" s="1"/>
  <c r="A24" i="67" s="1"/>
  <c r="H68" i="68"/>
  <c r="D13" i="67"/>
  <c r="G13" i="67" s="1"/>
  <c r="I13" i="67" s="1"/>
  <c r="B15" i="67"/>
  <c r="C14" i="66"/>
  <c r="D13" i="66"/>
  <c r="G13" i="66" s="1"/>
  <c r="I13" i="66" s="1"/>
  <c r="H40" i="65"/>
  <c r="H56" i="64"/>
  <c r="F56" i="64" s="1"/>
  <c r="F31" i="63"/>
  <c r="D31" i="63"/>
  <c r="G31" i="63" s="1"/>
  <c r="I31" i="63" s="1"/>
  <c r="G30" i="63"/>
  <c r="I30" i="63" s="1"/>
  <c r="C16" i="63"/>
  <c r="G14" i="67" l="1"/>
  <c r="I14" i="67" s="1"/>
  <c r="F15" i="66"/>
  <c r="D15" i="66"/>
  <c r="G15" i="66" s="1"/>
  <c r="I15" i="66" s="1"/>
  <c r="B17" i="66"/>
  <c r="C16" i="66"/>
  <c r="A61" i="68"/>
  <c r="A44" i="68"/>
  <c r="F14" i="66"/>
  <c r="D14" i="66"/>
  <c r="G14" i="66" s="1"/>
  <c r="I14" i="66" s="1"/>
  <c r="B16" i="67"/>
  <c r="C15" i="67"/>
  <c r="C32" i="63"/>
  <c r="C17" i="63"/>
  <c r="F16" i="63"/>
  <c r="D16" i="63"/>
  <c r="G16" i="63" s="1"/>
  <c r="I16" i="63" s="1"/>
  <c r="C16" i="67" l="1"/>
  <c r="B17" i="67"/>
  <c r="F15" i="67"/>
  <c r="D15" i="67"/>
  <c r="G15" i="67" s="1"/>
  <c r="I15" i="67" s="1"/>
  <c r="A62" i="68"/>
  <c r="A45" i="68"/>
  <c r="F16" i="66"/>
  <c r="D16" i="66"/>
  <c r="G16" i="66" s="1"/>
  <c r="I16" i="66" s="1"/>
  <c r="B18" i="66"/>
  <c r="C17" i="66"/>
  <c r="C33" i="63"/>
  <c r="F17" i="63"/>
  <c r="D17" i="63"/>
  <c r="G17" i="63" s="1"/>
  <c r="I17" i="63" s="1"/>
  <c r="C18" i="63"/>
  <c r="D32" i="63"/>
  <c r="G32" i="63" s="1"/>
  <c r="I32" i="63" s="1"/>
  <c r="F32" i="63"/>
  <c r="A63" i="68" l="1"/>
  <c r="A46" i="68"/>
  <c r="C18" i="66"/>
  <c r="B19" i="66"/>
  <c r="D17" i="66"/>
  <c r="G17" i="66" s="1"/>
  <c r="I17" i="66" s="1"/>
  <c r="F17" i="66"/>
  <c r="C17" i="67"/>
  <c r="B18" i="67"/>
  <c r="F16" i="67"/>
  <c r="D16" i="67"/>
  <c r="G16" i="67" s="1"/>
  <c r="I16" i="67" s="1"/>
  <c r="C34" i="63"/>
  <c r="C19" i="63"/>
  <c r="F18" i="63"/>
  <c r="D18" i="63"/>
  <c r="G18" i="63" s="1"/>
  <c r="I18" i="63" s="1"/>
  <c r="F33" i="63"/>
  <c r="D33" i="63"/>
  <c r="F17" i="67" l="1"/>
  <c r="D17" i="67"/>
  <c r="G17" i="67" s="1"/>
  <c r="I17" i="67" s="1"/>
  <c r="B20" i="66"/>
  <c r="C19" i="66"/>
  <c r="F18" i="66"/>
  <c r="D18" i="66"/>
  <c r="G18" i="66" s="1"/>
  <c r="I18" i="66" s="1"/>
  <c r="B19" i="67"/>
  <c r="C18" i="67"/>
  <c r="A47" i="68"/>
  <c r="A64" i="68"/>
  <c r="D34" i="63"/>
  <c r="F34" i="63"/>
  <c r="G33" i="63"/>
  <c r="I33" i="63" s="1"/>
  <c r="F19" i="63"/>
  <c r="D19" i="63"/>
  <c r="C35" i="63"/>
  <c r="C20" i="63"/>
  <c r="A65" i="68" l="1"/>
  <c r="A48" i="68"/>
  <c r="F19" i="66"/>
  <c r="D19" i="66"/>
  <c r="G19" i="66" s="1"/>
  <c r="I19" i="66" s="1"/>
  <c r="D18" i="67"/>
  <c r="G18" i="67" s="1"/>
  <c r="I18" i="67" s="1"/>
  <c r="F18" i="67"/>
  <c r="C19" i="67"/>
  <c r="B20" i="67"/>
  <c r="C20" i="66"/>
  <c r="B21" i="66"/>
  <c r="G19" i="63"/>
  <c r="I19" i="63" s="1"/>
  <c r="G34" i="63"/>
  <c r="I34" i="63" s="1"/>
  <c r="C36" i="63"/>
  <c r="C21" i="63"/>
  <c r="F20" i="63"/>
  <c r="D20" i="63"/>
  <c r="D35" i="63"/>
  <c r="G35" i="63" s="1"/>
  <c r="I35" i="63" s="1"/>
  <c r="F35" i="63"/>
  <c r="D20" i="66" l="1"/>
  <c r="F20" i="66"/>
  <c r="B21" i="67"/>
  <c r="C20" i="67"/>
  <c r="F19" i="67"/>
  <c r="D19" i="67"/>
  <c r="B22" i="66"/>
  <c r="C21" i="66"/>
  <c r="A66" i="68"/>
  <c r="A68" i="68" s="1"/>
  <c r="A49" i="68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F21" i="63"/>
  <c r="D21" i="63"/>
  <c r="G21" i="63" s="1"/>
  <c r="I21" i="63" s="1"/>
  <c r="C37" i="63"/>
  <c r="C22" i="63"/>
  <c r="G20" i="63"/>
  <c r="I20" i="63" s="1"/>
  <c r="D36" i="63"/>
  <c r="G36" i="63" s="1"/>
  <c r="I36" i="63" s="1"/>
  <c r="F36" i="63"/>
  <c r="G19" i="67" l="1"/>
  <c r="I19" i="67" s="1"/>
  <c r="D21" i="66"/>
  <c r="F21" i="66"/>
  <c r="B23" i="66"/>
  <c r="C22" i="66"/>
  <c r="C21" i="67"/>
  <c r="B22" i="67"/>
  <c r="F20" i="67"/>
  <c r="D20" i="67"/>
  <c r="G20" i="67" s="1"/>
  <c r="I20" i="67" s="1"/>
  <c r="G20" i="66"/>
  <c r="I20" i="66" s="1"/>
  <c r="D37" i="63"/>
  <c r="F37" i="63"/>
  <c r="C23" i="63"/>
  <c r="F22" i="63"/>
  <c r="D22" i="63"/>
  <c r="G22" i="63" s="1"/>
  <c r="I22" i="63" s="1"/>
  <c r="C38" i="63"/>
  <c r="D21" i="67" l="1"/>
  <c r="F21" i="67"/>
  <c r="F22" i="66"/>
  <c r="D22" i="66"/>
  <c r="G22" i="66" s="1"/>
  <c r="I22" i="66" s="1"/>
  <c r="B24" i="66"/>
  <c r="C24" i="66" s="1"/>
  <c r="C23" i="66"/>
  <c r="B23" i="67"/>
  <c r="C22" i="67"/>
  <c r="G21" i="66"/>
  <c r="I21" i="66" s="1"/>
  <c r="D38" i="63"/>
  <c r="F38" i="63"/>
  <c r="F23" i="63"/>
  <c r="C39" i="63"/>
  <c r="D23" i="63"/>
  <c r="C24" i="63"/>
  <c r="G37" i="63"/>
  <c r="I37" i="63" s="1"/>
  <c r="F23" i="66" l="1"/>
  <c r="D23" i="66"/>
  <c r="G23" i="66" s="1"/>
  <c r="I23" i="66" s="1"/>
  <c r="B24" i="67"/>
  <c r="C24" i="67" s="1"/>
  <c r="C23" i="67"/>
  <c r="D22" i="67"/>
  <c r="G22" i="67" s="1"/>
  <c r="I22" i="67" s="1"/>
  <c r="F22" i="67"/>
  <c r="F24" i="66"/>
  <c r="D24" i="66"/>
  <c r="G24" i="66" s="1"/>
  <c r="I24" i="66" s="1"/>
  <c r="I26" i="66" s="1"/>
  <c r="G26" i="66" s="1"/>
  <c r="G21" i="67"/>
  <c r="I21" i="67" s="1"/>
  <c r="C25" i="63"/>
  <c r="C40" i="63"/>
  <c r="F24" i="63"/>
  <c r="D24" i="63"/>
  <c r="G24" i="63" s="1"/>
  <c r="I24" i="63" s="1"/>
  <c r="G23" i="63"/>
  <c r="I23" i="63" s="1"/>
  <c r="G38" i="63"/>
  <c r="I38" i="63" s="1"/>
  <c r="D39" i="63"/>
  <c r="F39" i="63"/>
  <c r="F23" i="67" l="1"/>
  <c r="D23" i="67"/>
  <c r="G23" i="67" s="1"/>
  <c r="I23" i="67" s="1"/>
  <c r="F24" i="67"/>
  <c r="D24" i="67"/>
  <c r="G24" i="67" s="1"/>
  <c r="I24" i="67" s="1"/>
  <c r="I26" i="67" s="1"/>
  <c r="G26" i="67" s="1"/>
  <c r="F40" i="63"/>
  <c r="D40" i="63"/>
  <c r="G40" i="63" s="1"/>
  <c r="I40" i="63" s="1"/>
  <c r="C41" i="63"/>
  <c r="F25" i="63"/>
  <c r="D25" i="63"/>
  <c r="G39" i="63"/>
  <c r="I39" i="63" s="1"/>
  <c r="G25" i="63" l="1"/>
  <c r="I25" i="63" s="1"/>
  <c r="I27" i="63" s="1"/>
  <c r="D41" i="63"/>
  <c r="G41" i="63" s="1"/>
  <c r="I41" i="63" s="1"/>
  <c r="I43" i="63" s="1"/>
  <c r="G43" i="63" s="1"/>
  <c r="F41" i="63"/>
  <c r="I45" i="63" l="1"/>
  <c r="G45" i="63" s="1"/>
  <c r="G27" i="63"/>
  <c r="F22" i="20" l="1"/>
  <c r="H16" i="20"/>
  <c r="E22" i="20"/>
  <c r="F16" i="20"/>
  <c r="F17" i="20" l="1"/>
  <c r="F21" i="20"/>
  <c r="F23" i="20" s="1"/>
  <c r="E21" i="20"/>
  <c r="E23" i="20" s="1"/>
  <c r="BD19" i="20" s="1"/>
  <c r="BA19" i="20" s="1"/>
  <c r="BB14" i="20"/>
  <c r="H17" i="20"/>
  <c r="G16" i="20"/>
  <c r="G17" i="20" s="1"/>
  <c r="E16" i="20"/>
  <c r="E17" i="20" s="1"/>
  <c r="A16" i="20"/>
  <c r="F153" i="15"/>
  <c r="H153" i="15"/>
  <c r="G153" i="15"/>
  <c r="G151" i="15"/>
  <c r="G117" i="15"/>
  <c r="F149" i="15"/>
  <c r="H149" i="15" s="1"/>
  <c r="F148" i="15"/>
  <c r="H148" i="15" s="1"/>
  <c r="F147" i="15"/>
  <c r="H147" i="15" s="1"/>
  <c r="F146" i="15"/>
  <c r="H146" i="15" s="1"/>
  <c r="F145" i="15"/>
  <c r="H145" i="15" s="1"/>
  <c r="F144" i="15"/>
  <c r="H144" i="15" s="1"/>
  <c r="F143" i="15"/>
  <c r="H143" i="15" s="1"/>
  <c r="F142" i="15"/>
  <c r="H142" i="15" s="1"/>
  <c r="F141" i="15"/>
  <c r="H141" i="15" s="1"/>
  <c r="F140" i="15"/>
  <c r="H140" i="15" s="1"/>
  <c r="F139" i="15"/>
  <c r="H139" i="15" s="1"/>
  <c r="F138" i="15"/>
  <c r="H138" i="15" s="1"/>
  <c r="F137" i="15"/>
  <c r="H137" i="15" s="1"/>
  <c r="F136" i="15"/>
  <c r="H136" i="15" s="1"/>
  <c r="F135" i="15"/>
  <c r="H135" i="15" s="1"/>
  <c r="F134" i="15"/>
  <c r="H134" i="15" s="1"/>
  <c r="F133" i="15"/>
  <c r="H133" i="15" s="1"/>
  <c r="F132" i="15"/>
  <c r="H132" i="15" s="1"/>
  <c r="F131" i="15"/>
  <c r="H131" i="15" s="1"/>
  <c r="F130" i="15"/>
  <c r="H130" i="15" s="1"/>
  <c r="F129" i="15"/>
  <c r="H129" i="15" s="1"/>
  <c r="F128" i="15"/>
  <c r="H128" i="15" s="1"/>
  <c r="F127" i="15"/>
  <c r="H127" i="15" s="1"/>
  <c r="F126" i="15"/>
  <c r="H126" i="15" s="1"/>
  <c r="F125" i="15"/>
  <c r="H125" i="15" s="1"/>
  <c r="F124" i="15"/>
  <c r="H124" i="15" s="1"/>
  <c r="F123" i="15"/>
  <c r="H123" i="15" s="1"/>
  <c r="F122" i="15"/>
  <c r="H122" i="15" s="1"/>
  <c r="F121" i="15"/>
  <c r="H121" i="15" s="1"/>
  <c r="F120" i="15"/>
  <c r="H120" i="15" s="1"/>
  <c r="F119" i="15"/>
  <c r="H119" i="15" s="1"/>
  <c r="F115" i="15"/>
  <c r="H115" i="15" s="1"/>
  <c r="F114" i="15"/>
  <c r="H114" i="15" s="1"/>
  <c r="F113" i="15"/>
  <c r="H113" i="15" s="1"/>
  <c r="F112" i="15"/>
  <c r="H112" i="15" s="1"/>
  <c r="F111" i="15"/>
  <c r="H111" i="15" s="1"/>
  <c r="F110" i="15"/>
  <c r="H110" i="15" s="1"/>
  <c r="F109" i="15"/>
  <c r="H109" i="15" s="1"/>
  <c r="F108" i="15"/>
  <c r="H108" i="15" s="1"/>
  <c r="F107" i="15"/>
  <c r="H107" i="15" s="1"/>
  <c r="F106" i="15"/>
  <c r="H106" i="15" s="1"/>
  <c r="F105" i="15"/>
  <c r="H105" i="15" s="1"/>
  <c r="F104" i="15"/>
  <c r="H104" i="15" s="1"/>
  <c r="F103" i="15"/>
  <c r="H103" i="15" s="1"/>
  <c r="F102" i="15"/>
  <c r="H102" i="15" s="1"/>
  <c r="F101" i="15"/>
  <c r="H101" i="15" s="1"/>
  <c r="F100" i="15"/>
  <c r="H100" i="15" s="1"/>
  <c r="F99" i="15"/>
  <c r="H99" i="15" s="1"/>
  <c r="F98" i="15"/>
  <c r="H98" i="15" s="1"/>
  <c r="F97" i="15"/>
  <c r="H97" i="15" s="1"/>
  <c r="F96" i="15"/>
  <c r="H96" i="15" s="1"/>
  <c r="F95" i="15"/>
  <c r="H95" i="15" s="1"/>
  <c r="F94" i="15"/>
  <c r="H94" i="15" s="1"/>
  <c r="F93" i="15"/>
  <c r="H93" i="15" s="1"/>
  <c r="F92" i="15"/>
  <c r="H92" i="15" s="1"/>
  <c r="F91" i="15"/>
  <c r="H91" i="15" s="1"/>
  <c r="F90" i="15"/>
  <c r="H90" i="15" s="1"/>
  <c r="F89" i="15"/>
  <c r="H89" i="15" s="1"/>
  <c r="F88" i="15"/>
  <c r="H88" i="15" s="1"/>
  <c r="F87" i="15"/>
  <c r="H87" i="15" s="1"/>
  <c r="F86" i="15"/>
  <c r="H86" i="15" s="1"/>
  <c r="G84" i="15"/>
  <c r="F31" i="15"/>
  <c r="H31" i="15" s="1"/>
  <c r="F32" i="15"/>
  <c r="H32" i="15" s="1"/>
  <c r="F33" i="15"/>
  <c r="H33" i="15" s="1"/>
  <c r="F34" i="15"/>
  <c r="H34" i="15" s="1"/>
  <c r="F35" i="15"/>
  <c r="H35" i="15" s="1"/>
  <c r="F36" i="15"/>
  <c r="H36" i="15" s="1"/>
  <c r="F37" i="15"/>
  <c r="H37" i="15" s="1"/>
  <c r="F38" i="15"/>
  <c r="H38" i="15" s="1"/>
  <c r="F39" i="15"/>
  <c r="H39" i="15" s="1"/>
  <c r="F40" i="15"/>
  <c r="H40" i="15" s="1"/>
  <c r="F41" i="15"/>
  <c r="H41" i="15" s="1"/>
  <c r="F42" i="15"/>
  <c r="H42" i="15" s="1"/>
  <c r="F43" i="15"/>
  <c r="H43" i="15" s="1"/>
  <c r="F44" i="15"/>
  <c r="H44" i="15" s="1"/>
  <c r="F45" i="15"/>
  <c r="H45" i="15" s="1"/>
  <c r="F46" i="15"/>
  <c r="H46" i="15" s="1"/>
  <c r="F47" i="15"/>
  <c r="H47" i="15" s="1"/>
  <c r="F48" i="15"/>
  <c r="H48" i="15" s="1"/>
  <c r="F49" i="15"/>
  <c r="H49" i="15" s="1"/>
  <c r="F50" i="15"/>
  <c r="H50" i="15" s="1"/>
  <c r="F51" i="15"/>
  <c r="H51" i="15" s="1"/>
  <c r="F52" i="15"/>
  <c r="H52" i="15" s="1"/>
  <c r="F53" i="15"/>
  <c r="H53" i="15" s="1"/>
  <c r="F54" i="15"/>
  <c r="H54" i="15" s="1"/>
  <c r="F55" i="15"/>
  <c r="H55" i="15" s="1"/>
  <c r="F56" i="15"/>
  <c r="H56" i="15" s="1"/>
  <c r="F57" i="15"/>
  <c r="H57" i="15" s="1"/>
  <c r="F58" i="15"/>
  <c r="H58" i="15" s="1"/>
  <c r="F59" i="15"/>
  <c r="H59" i="15" s="1"/>
  <c r="F60" i="15"/>
  <c r="H60" i="15" s="1"/>
  <c r="F61" i="15"/>
  <c r="H61" i="15" s="1"/>
  <c r="F62" i="15"/>
  <c r="H62" i="15" s="1"/>
  <c r="F63" i="15"/>
  <c r="H63" i="15" s="1"/>
  <c r="F64" i="15"/>
  <c r="H64" i="15" s="1"/>
  <c r="F65" i="15"/>
  <c r="H65" i="15" s="1"/>
  <c r="F66" i="15"/>
  <c r="H66" i="15" s="1"/>
  <c r="F67" i="15"/>
  <c r="H67" i="15" s="1"/>
  <c r="F68" i="15"/>
  <c r="H68" i="15" s="1"/>
  <c r="F69" i="15"/>
  <c r="H69" i="15" s="1"/>
  <c r="F70" i="15"/>
  <c r="H70" i="15" s="1"/>
  <c r="F71" i="15"/>
  <c r="H71" i="15" s="1"/>
  <c r="F72" i="15"/>
  <c r="H72" i="15" s="1"/>
  <c r="F73" i="15"/>
  <c r="H73" i="15" s="1"/>
  <c r="F74" i="15"/>
  <c r="H74" i="15" s="1"/>
  <c r="F75" i="15"/>
  <c r="H75" i="15" s="1"/>
  <c r="F76" i="15"/>
  <c r="H76" i="15" s="1"/>
  <c r="F77" i="15"/>
  <c r="H77" i="15" s="1"/>
  <c r="F78" i="15"/>
  <c r="H78" i="15" s="1"/>
  <c r="F79" i="15"/>
  <c r="H79" i="15" s="1"/>
  <c r="F80" i="15"/>
  <c r="H80" i="15" s="1"/>
  <c r="F81" i="15"/>
  <c r="H81" i="15" s="1"/>
  <c r="F82" i="15"/>
  <c r="H82" i="15" s="1"/>
  <c r="F30" i="15"/>
  <c r="H30" i="15" s="1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12" i="15"/>
  <c r="F21" i="58"/>
  <c r="H71" i="10"/>
  <c r="H73" i="10" s="1"/>
  <c r="I73" i="10"/>
  <c r="A73" i="10"/>
  <c r="A71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F46" i="10"/>
  <c r="D46" i="10"/>
  <c r="J13" i="32"/>
  <c r="I17" i="32"/>
  <c r="BB19" i="20" l="1"/>
  <c r="BA14" i="20"/>
  <c r="H117" i="15"/>
  <c r="F117" i="15" s="1"/>
  <c r="H151" i="15"/>
  <c r="F151" i="15" s="1"/>
  <c r="H84" i="15"/>
  <c r="F84" i="15" s="1"/>
  <c r="G73" i="10"/>
  <c r="G46" i="10"/>
  <c r="I46" i="10" s="1"/>
  <c r="I71" i="10" s="1"/>
  <c r="G71" i="10" s="1"/>
  <c r="F47" i="10"/>
  <c r="G47" i="10" s="1"/>
  <c r="I47" i="10" s="1"/>
  <c r="D15" i="32"/>
  <c r="BD14" i="20" l="1"/>
  <c r="H43" i="10" l="1"/>
  <c r="H39" i="10"/>
  <c r="C17" i="10"/>
  <c r="E17" i="10" s="1"/>
  <c r="F17" i="10" s="1"/>
  <c r="B17" i="10"/>
  <c r="B18" i="10" s="1"/>
  <c r="B19" i="10" s="1"/>
  <c r="D16" i="10"/>
  <c r="F26" i="58"/>
  <c r="C18" i="10" l="1"/>
  <c r="B20" i="10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D18" i="10"/>
  <c r="D17" i="10"/>
  <c r="L17" i="10"/>
  <c r="E18" i="10" l="1"/>
  <c r="C19" i="10"/>
  <c r="C20" i="10" l="1"/>
  <c r="D19" i="10"/>
  <c r="E19" i="10"/>
  <c r="C21" i="10" l="1"/>
  <c r="E20" i="10"/>
  <c r="D20" i="10"/>
  <c r="D21" i="10" l="1"/>
  <c r="E21" i="10"/>
  <c r="C22" i="10"/>
  <c r="D22" i="10" l="1"/>
  <c r="C23" i="10"/>
  <c r="E22" i="10"/>
  <c r="E23" i="10" l="1"/>
  <c r="C24" i="10"/>
  <c r="D23" i="10"/>
  <c r="E24" i="10" l="1"/>
  <c r="C25" i="10"/>
  <c r="D24" i="10"/>
  <c r="D25" i="10" l="1"/>
  <c r="C26" i="10"/>
  <c r="E25" i="10"/>
  <c r="E26" i="10" l="1"/>
  <c r="C27" i="10"/>
  <c r="D26" i="10"/>
  <c r="E27" i="10" l="1"/>
  <c r="C28" i="10"/>
  <c r="D27" i="10"/>
  <c r="D28" i="10" l="1"/>
  <c r="E28" i="10"/>
  <c r="C29" i="10"/>
  <c r="C30" i="10" l="1"/>
  <c r="D29" i="10"/>
  <c r="E29" i="10"/>
  <c r="C31" i="10" l="1"/>
  <c r="E30" i="10"/>
  <c r="D30" i="10"/>
  <c r="C32" i="10" l="1"/>
  <c r="D31" i="10"/>
  <c r="E31" i="10"/>
  <c r="D32" i="10" l="1"/>
  <c r="E32" i="10"/>
  <c r="C33" i="10"/>
  <c r="D33" i="10" l="1"/>
  <c r="C34" i="10"/>
  <c r="E33" i="10"/>
  <c r="D34" i="10" l="1"/>
  <c r="C35" i="10"/>
  <c r="E34" i="10"/>
  <c r="D35" i="10" l="1"/>
  <c r="C36" i="10"/>
  <c r="E35" i="10"/>
  <c r="E36" i="10" l="1"/>
  <c r="C37" i="10"/>
  <c r="D36" i="10"/>
  <c r="E37" i="10" l="1"/>
  <c r="D37" i="10"/>
  <c r="C38" i="10"/>
  <c r="E38" i="10" l="1"/>
  <c r="D38" i="10"/>
  <c r="C39" i="10"/>
  <c r="C40" i="10" s="1"/>
  <c r="D40" i="10" l="1"/>
  <c r="C41" i="10"/>
  <c r="E40" i="10"/>
  <c r="F40" i="10" s="1"/>
  <c r="E39" i="10"/>
  <c r="D39" i="10"/>
  <c r="D41" i="10" l="1"/>
  <c r="E41" i="10"/>
  <c r="F41" i="10" s="1"/>
  <c r="G40" i="10"/>
  <c r="I40" i="10" s="1"/>
  <c r="G41" i="10" l="1"/>
  <c r="I41" i="10" s="1"/>
  <c r="A30" i="4" l="1"/>
  <c r="A202" i="36" l="1"/>
  <c r="K199" i="36"/>
  <c r="L199" i="36" s="1"/>
  <c r="K200" i="36"/>
  <c r="L200" i="36" s="1"/>
  <c r="J199" i="36"/>
  <c r="J200" i="36"/>
  <c r="A12" i="36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H199" i="36"/>
  <c r="H200" i="36"/>
  <c r="E202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137" i="36"/>
  <c r="H138" i="36"/>
  <c r="H139" i="36"/>
  <c r="H140" i="36"/>
  <c r="H141" i="36"/>
  <c r="H142" i="36"/>
  <c r="H143" i="36"/>
  <c r="H144" i="36"/>
  <c r="H145" i="36"/>
  <c r="H146" i="36"/>
  <c r="H147" i="36"/>
  <c r="H148" i="36"/>
  <c r="H149" i="36"/>
  <c r="H150" i="36"/>
  <c r="H151" i="36"/>
  <c r="H152" i="36"/>
  <c r="H153" i="36"/>
  <c r="H154" i="36"/>
  <c r="H155" i="36"/>
  <c r="H156" i="36"/>
  <c r="H157" i="36"/>
  <c r="H158" i="36"/>
  <c r="H159" i="36"/>
  <c r="H160" i="36"/>
  <c r="H161" i="36"/>
  <c r="H162" i="36"/>
  <c r="H163" i="36"/>
  <c r="H164" i="36"/>
  <c r="H165" i="36"/>
  <c r="H166" i="36"/>
  <c r="H167" i="36"/>
  <c r="H168" i="36"/>
  <c r="H169" i="36"/>
  <c r="H170" i="36"/>
  <c r="H171" i="36"/>
  <c r="H172" i="36"/>
  <c r="H173" i="36"/>
  <c r="H174" i="36"/>
  <c r="H175" i="36"/>
  <c r="H176" i="36"/>
  <c r="H177" i="36"/>
  <c r="H178" i="36"/>
  <c r="H179" i="36"/>
  <c r="H180" i="36"/>
  <c r="H181" i="36"/>
  <c r="H182" i="36"/>
  <c r="H183" i="36"/>
  <c r="H184" i="36"/>
  <c r="H185" i="36"/>
  <c r="H186" i="36"/>
  <c r="H187" i="36"/>
  <c r="H188" i="36"/>
  <c r="H189" i="36"/>
  <c r="H190" i="36"/>
  <c r="H191" i="36"/>
  <c r="H192" i="36"/>
  <c r="H193" i="36"/>
  <c r="H194" i="36"/>
  <c r="H195" i="36"/>
  <c r="H196" i="36"/>
  <c r="H197" i="36"/>
  <c r="E15" i="8" l="1"/>
  <c r="G16" i="8" l="1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15" i="8"/>
  <c r="B12" i="5" l="1"/>
  <c r="B13" i="5"/>
  <c r="C26" i="5"/>
  <c r="C28" i="5" s="1"/>
  <c r="E28" i="30" l="1"/>
  <c r="B2" i="58"/>
  <c r="B24" i="5" l="1"/>
  <c r="B23" i="5"/>
  <c r="B22" i="5"/>
  <c r="B21" i="5"/>
  <c r="B20" i="5"/>
  <c r="B19" i="5"/>
  <c r="B18" i="5"/>
  <c r="B17" i="5"/>
  <c r="B16" i="5"/>
  <c r="B15" i="5"/>
  <c r="B14" i="5"/>
  <c r="F15" i="58" l="1"/>
  <c r="C13" i="2"/>
  <c r="F13" i="58" s="1"/>
  <c r="C12" i="2"/>
  <c r="F12" i="58" s="1"/>
  <c r="J11" i="36" l="1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37" i="36"/>
  <c r="J38" i="3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68" i="36"/>
  <c r="J69" i="36"/>
  <c r="J70" i="36"/>
  <c r="J71" i="36"/>
  <c r="J72" i="36"/>
  <c r="J73" i="36"/>
  <c r="J74" i="36"/>
  <c r="J75" i="36"/>
  <c r="J76" i="36"/>
  <c r="J77" i="36"/>
  <c r="J78" i="36"/>
  <c r="J79" i="36"/>
  <c r="J80" i="36"/>
  <c r="J81" i="36"/>
  <c r="J82" i="36"/>
  <c r="J83" i="36"/>
  <c r="J84" i="36"/>
  <c r="J85" i="36"/>
  <c r="J86" i="36"/>
  <c r="J87" i="36"/>
  <c r="J88" i="36"/>
  <c r="J89" i="36"/>
  <c r="J90" i="36"/>
  <c r="J91" i="36"/>
  <c r="J92" i="36"/>
  <c r="J93" i="36"/>
  <c r="J94" i="36"/>
  <c r="J95" i="36"/>
  <c r="J96" i="36"/>
  <c r="J97" i="36"/>
  <c r="J98" i="36"/>
  <c r="J99" i="36"/>
  <c r="J100" i="36"/>
  <c r="J101" i="36"/>
  <c r="J102" i="36"/>
  <c r="J103" i="36"/>
  <c r="J104" i="36"/>
  <c r="J105" i="36"/>
  <c r="J106" i="36"/>
  <c r="J107" i="36"/>
  <c r="J108" i="36"/>
  <c r="J109" i="36"/>
  <c r="J110" i="36"/>
  <c r="J111" i="36"/>
  <c r="J112" i="36"/>
  <c r="J113" i="36"/>
  <c r="J114" i="36"/>
  <c r="J115" i="36"/>
  <c r="J116" i="36"/>
  <c r="J117" i="36"/>
  <c r="J118" i="36"/>
  <c r="J119" i="36"/>
  <c r="J120" i="36"/>
  <c r="J121" i="36"/>
  <c r="J122" i="36"/>
  <c r="J123" i="36"/>
  <c r="J124" i="36"/>
  <c r="J125" i="36"/>
  <c r="J126" i="36"/>
  <c r="J127" i="36"/>
  <c r="J128" i="36"/>
  <c r="J129" i="36"/>
  <c r="J130" i="36"/>
  <c r="J131" i="36"/>
  <c r="J132" i="36"/>
  <c r="J133" i="36"/>
  <c r="J134" i="36"/>
  <c r="J135" i="36"/>
  <c r="J136" i="36"/>
  <c r="J137" i="36"/>
  <c r="J138" i="36"/>
  <c r="J139" i="36"/>
  <c r="J140" i="36"/>
  <c r="J141" i="36"/>
  <c r="J142" i="36"/>
  <c r="J143" i="36"/>
  <c r="J144" i="36"/>
  <c r="J145" i="36"/>
  <c r="J146" i="36"/>
  <c r="J147" i="36"/>
  <c r="J148" i="36"/>
  <c r="J149" i="36"/>
  <c r="J150" i="36"/>
  <c r="J151" i="36"/>
  <c r="J152" i="36"/>
  <c r="J153" i="36"/>
  <c r="J154" i="36"/>
  <c r="J155" i="36"/>
  <c r="J156" i="36"/>
  <c r="J157" i="36"/>
  <c r="J158" i="36"/>
  <c r="J159" i="36"/>
  <c r="J160" i="36"/>
  <c r="J161" i="36"/>
  <c r="J162" i="36"/>
  <c r="J163" i="36"/>
  <c r="J164" i="36"/>
  <c r="J165" i="36"/>
  <c r="J166" i="36"/>
  <c r="J167" i="36"/>
  <c r="J168" i="36"/>
  <c r="J169" i="36"/>
  <c r="J170" i="36"/>
  <c r="J171" i="36"/>
  <c r="J172" i="36"/>
  <c r="J173" i="36"/>
  <c r="J174" i="36"/>
  <c r="J175" i="36"/>
  <c r="J176" i="36"/>
  <c r="J177" i="36"/>
  <c r="J178" i="36"/>
  <c r="J179" i="36"/>
  <c r="J180" i="36"/>
  <c r="J181" i="36"/>
  <c r="J182" i="36"/>
  <c r="J183" i="36"/>
  <c r="J184" i="36"/>
  <c r="J185" i="36"/>
  <c r="J186" i="36"/>
  <c r="J187" i="36"/>
  <c r="J188" i="36"/>
  <c r="J189" i="36"/>
  <c r="J190" i="36"/>
  <c r="J191" i="36"/>
  <c r="J192" i="36"/>
  <c r="J193" i="36"/>
  <c r="J194" i="36"/>
  <c r="J195" i="36"/>
  <c r="J196" i="36"/>
  <c r="J197" i="36"/>
  <c r="J198" i="36"/>
  <c r="J10" i="36"/>
  <c r="H198" i="36"/>
  <c r="A13" i="4" l="1"/>
  <c r="A14" i="4" s="1"/>
  <c r="A15" i="4" s="1"/>
  <c r="A16" i="4" s="1"/>
  <c r="A17" i="4" s="1"/>
  <c r="A18" i="4" s="1"/>
  <c r="A19" i="4" s="1"/>
  <c r="A21" i="4" s="1"/>
  <c r="C19" i="4"/>
  <c r="A11" i="36"/>
  <c r="K184" i="36"/>
  <c r="L184" i="36" s="1"/>
  <c r="C25" i="4"/>
  <c r="C30" i="13"/>
  <c r="C24" i="13"/>
  <c r="C26" i="13" s="1"/>
  <c r="BB16" i="20"/>
  <c r="C16" i="45"/>
  <c r="C17" i="45"/>
  <c r="C15" i="45"/>
  <c r="I32" i="8"/>
  <c r="G28" i="15"/>
  <c r="D13" i="32"/>
  <c r="B4" i="30"/>
  <c r="B4" i="58" s="1"/>
  <c r="G26" i="30"/>
  <c r="C3" i="6"/>
  <c r="B3" i="6"/>
  <c r="A3" i="6"/>
  <c r="A3" i="5"/>
  <c r="C3" i="4"/>
  <c r="B3" i="4"/>
  <c r="A3" i="4"/>
  <c r="A3" i="2"/>
  <c r="B3" i="58"/>
  <c r="K13" i="36"/>
  <c r="L13" i="36" s="1"/>
  <c r="K15" i="36"/>
  <c r="L15" i="36" s="1"/>
  <c r="K19" i="36"/>
  <c r="L19" i="36" s="1"/>
  <c r="K22" i="36"/>
  <c r="L22" i="36" s="1"/>
  <c r="K32" i="36"/>
  <c r="L32" i="36" s="1"/>
  <c r="K43" i="36"/>
  <c r="L43" i="36" s="1"/>
  <c r="K71" i="36"/>
  <c r="L71" i="36" s="1"/>
  <c r="K82" i="36"/>
  <c r="L82" i="36" s="1"/>
  <c r="K109" i="36"/>
  <c r="L109" i="36" s="1"/>
  <c r="K111" i="36"/>
  <c r="L111" i="36" s="1"/>
  <c r="K112" i="36"/>
  <c r="L112" i="36" s="1"/>
  <c r="K113" i="36"/>
  <c r="L113" i="36" s="1"/>
  <c r="K121" i="36"/>
  <c r="L121" i="36" s="1"/>
  <c r="K141" i="36"/>
  <c r="L141" i="36" s="1"/>
  <c r="K148" i="36"/>
  <c r="L148" i="36" s="1"/>
  <c r="K150" i="36"/>
  <c r="L150" i="36" s="1"/>
  <c r="K153" i="36"/>
  <c r="L153" i="36" s="1"/>
  <c r="K156" i="36"/>
  <c r="L156" i="36" s="1"/>
  <c r="K122" i="36"/>
  <c r="L122" i="36" s="1"/>
  <c r="K67" i="36"/>
  <c r="L67" i="36" s="1"/>
  <c r="K53" i="36"/>
  <c r="L53" i="36" s="1"/>
  <c r="K30" i="36"/>
  <c r="L30" i="36" s="1"/>
  <c r="K86" i="36"/>
  <c r="L86" i="36" s="1"/>
  <c r="K26" i="36"/>
  <c r="L26" i="36" s="1"/>
  <c r="K84" i="36"/>
  <c r="L84" i="36" s="1"/>
  <c r="K72" i="36"/>
  <c r="L72" i="36" s="1"/>
  <c r="K35" i="36"/>
  <c r="L35" i="36" s="1"/>
  <c r="E13" i="30"/>
  <c r="G11" i="30"/>
  <c r="A3" i="36"/>
  <c r="A2" i="36"/>
  <c r="K130" i="36"/>
  <c r="L130" i="36" s="1"/>
  <c r="A19" i="20"/>
  <c r="A20" i="20" s="1"/>
  <c r="A25" i="20" s="1"/>
  <c r="D17" i="45"/>
  <c r="F17" i="45" s="1"/>
  <c r="G17" i="45" s="1"/>
  <c r="D16" i="45"/>
  <c r="F16" i="45"/>
  <c r="G16" i="45" s="1"/>
  <c r="D15" i="45"/>
  <c r="F15" i="45" s="1"/>
  <c r="G15" i="45" s="1"/>
  <c r="D14" i="45"/>
  <c r="F14" i="45" s="1"/>
  <c r="G14" i="45" s="1"/>
  <c r="A3" i="45"/>
  <c r="A2" i="45"/>
  <c r="D26" i="19"/>
  <c r="F45" i="58" s="1"/>
  <c r="E15" i="19"/>
  <c r="E16" i="19"/>
  <c r="E17" i="19"/>
  <c r="E18" i="19"/>
  <c r="E19" i="19"/>
  <c r="E20" i="19"/>
  <c r="E21" i="19"/>
  <c r="E22" i="19"/>
  <c r="E23" i="19"/>
  <c r="E24" i="19"/>
  <c r="E14" i="19"/>
  <c r="E13" i="19"/>
  <c r="E26" i="19" s="1"/>
  <c r="B24" i="19"/>
  <c r="B23" i="19"/>
  <c r="B22" i="19"/>
  <c r="B21" i="19"/>
  <c r="B20" i="19"/>
  <c r="B19" i="19"/>
  <c r="B18" i="19"/>
  <c r="B17" i="19"/>
  <c r="B16" i="19"/>
  <c r="B15" i="19"/>
  <c r="B14" i="19"/>
  <c r="B13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C26" i="19"/>
  <c r="A13" i="2"/>
  <c r="A14" i="2" s="1"/>
  <c r="A15" i="2" s="1"/>
  <c r="A17" i="2" s="1"/>
  <c r="F88" i="34"/>
  <c r="F63" i="58" s="1"/>
  <c r="E16" i="8"/>
  <c r="E17" i="8"/>
  <c r="E18" i="8"/>
  <c r="H18" i="8" s="1"/>
  <c r="J18" i="8" s="1"/>
  <c r="E19" i="8"/>
  <c r="E20" i="8"/>
  <c r="E21" i="8"/>
  <c r="H21" i="8" s="1"/>
  <c r="J21" i="8" s="1"/>
  <c r="E22" i="8"/>
  <c r="E23" i="8"/>
  <c r="E24" i="8"/>
  <c r="E25" i="8"/>
  <c r="H25" i="8" s="1"/>
  <c r="J25" i="8" s="1"/>
  <c r="E26" i="8"/>
  <c r="E27" i="8"/>
  <c r="E28" i="8"/>
  <c r="H28" i="8" s="1"/>
  <c r="J28" i="8" s="1"/>
  <c r="E29" i="8"/>
  <c r="E30" i="8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13" i="15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F13" i="15"/>
  <c r="H13" i="15" s="1"/>
  <c r="F14" i="15"/>
  <c r="H14" i="15" s="1"/>
  <c r="F15" i="15"/>
  <c r="H15" i="15" s="1"/>
  <c r="F16" i="15"/>
  <c r="H16" i="15" s="1"/>
  <c r="F17" i="15"/>
  <c r="H17" i="15" s="1"/>
  <c r="F18" i="15"/>
  <c r="H18" i="15" s="1"/>
  <c r="F19" i="15"/>
  <c r="H19" i="15" s="1"/>
  <c r="F20" i="15"/>
  <c r="H20" i="15" s="1"/>
  <c r="F21" i="15"/>
  <c r="H21" i="15" s="1"/>
  <c r="F22" i="15"/>
  <c r="H22" i="15" s="1"/>
  <c r="F23" i="15"/>
  <c r="H23" i="15" s="1"/>
  <c r="F24" i="15"/>
  <c r="H24" i="15" s="1"/>
  <c r="F25" i="15"/>
  <c r="H25" i="15" s="1"/>
  <c r="F26" i="15"/>
  <c r="H26" i="15" s="1"/>
  <c r="F12" i="15"/>
  <c r="H12" i="15" s="1"/>
  <c r="A17" i="10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D86" i="34"/>
  <c r="D85" i="34"/>
  <c r="D84" i="34"/>
  <c r="D46" i="34"/>
  <c r="D36" i="34"/>
  <c r="D51" i="34"/>
  <c r="D35" i="34"/>
  <c r="D71" i="34"/>
  <c r="D56" i="34"/>
  <c r="D45" i="34"/>
  <c r="D26" i="34"/>
  <c r="D61" i="34"/>
  <c r="D55" i="34"/>
  <c r="D31" i="34"/>
  <c r="D16" i="34"/>
  <c r="D81" i="34"/>
  <c r="D50" i="34"/>
  <c r="D40" i="34"/>
  <c r="D21" i="34"/>
  <c r="D15" i="34"/>
  <c r="D80" i="34"/>
  <c r="D76" i="34"/>
  <c r="D54" i="34"/>
  <c r="D20" i="34"/>
  <c r="D14" i="34"/>
  <c r="E14" i="34"/>
  <c r="G14" i="34"/>
  <c r="D70" i="34"/>
  <c r="D66" i="34"/>
  <c r="D60" i="34"/>
  <c r="D25" i="34"/>
  <c r="D39" i="34"/>
  <c r="D75" i="34"/>
  <c r="D65" i="34"/>
  <c r="D59" i="34"/>
  <c r="D44" i="34"/>
  <c r="D24" i="34"/>
  <c r="D74" i="34"/>
  <c r="D19" i="34"/>
  <c r="D30" i="34"/>
  <c r="E30" i="34"/>
  <c r="G30" i="34" s="1"/>
  <c r="D79" i="34"/>
  <c r="D69" i="34"/>
  <c r="D64" i="34"/>
  <c r="D49" i="34"/>
  <c r="D34" i="34"/>
  <c r="D29" i="34"/>
  <c r="E80" i="34"/>
  <c r="G80" i="34" s="1"/>
  <c r="E76" i="34"/>
  <c r="G76" i="34" s="1"/>
  <c r="E55" i="34"/>
  <c r="G55" i="34"/>
  <c r="E20" i="34"/>
  <c r="G20" i="34" s="1"/>
  <c r="G88" i="34" s="1"/>
  <c r="A15" i="34"/>
  <c r="A16" i="34" s="1"/>
  <c r="A19" i="34" s="1"/>
  <c r="A20" i="34" s="1"/>
  <c r="A21" i="34" s="1"/>
  <c r="A24" i="34" s="1"/>
  <c r="A25" i="34" s="1"/>
  <c r="A26" i="34" s="1"/>
  <c r="A29" i="34" s="1"/>
  <c r="A30" i="34" s="1"/>
  <c r="A31" i="34" s="1"/>
  <c r="A34" i="34" s="1"/>
  <c r="A35" i="34" s="1"/>
  <c r="A36" i="34" s="1"/>
  <c r="A39" i="34" s="1"/>
  <c r="A40" i="34" s="1"/>
  <c r="A41" i="34" s="1"/>
  <c r="A44" i="34" s="1"/>
  <c r="A45" i="34" s="1"/>
  <c r="A46" i="34" s="1"/>
  <c r="A49" i="34" s="1"/>
  <c r="A50" i="34" s="1"/>
  <c r="A51" i="34" s="1"/>
  <c r="A54" i="34" s="1"/>
  <c r="A55" i="34" s="1"/>
  <c r="A56" i="34" s="1"/>
  <c r="A59" i="34"/>
  <c r="A60" i="34" s="1"/>
  <c r="A61" i="34" s="1"/>
  <c r="A64" i="34" s="1"/>
  <c r="A65" i="34" s="1"/>
  <c r="A66" i="34" s="1"/>
  <c r="A69" i="34" s="1"/>
  <c r="A70" i="34" s="1"/>
  <c r="A71" i="34" s="1"/>
  <c r="A74" i="34" s="1"/>
  <c r="A75" i="34" s="1"/>
  <c r="A76" i="34" s="1"/>
  <c r="A79" i="34" s="1"/>
  <c r="A80" i="34" s="1"/>
  <c r="A81" i="34" s="1"/>
  <c r="A84" i="34" s="1"/>
  <c r="A85" i="34" s="1"/>
  <c r="A86" i="34" s="1"/>
  <c r="A88" i="34" s="1"/>
  <c r="A3" i="34"/>
  <c r="A2" i="34"/>
  <c r="F83" i="21"/>
  <c r="F61" i="58" s="1"/>
  <c r="D76" i="21"/>
  <c r="D61" i="21"/>
  <c r="D71" i="21"/>
  <c r="D51" i="21"/>
  <c r="D46" i="21"/>
  <c r="D56" i="21"/>
  <c r="D41" i="21"/>
  <c r="D31" i="21"/>
  <c r="D75" i="21"/>
  <c r="D60" i="21"/>
  <c r="D55" i="21"/>
  <c r="D45" i="21"/>
  <c r="D70" i="21"/>
  <c r="D74" i="21"/>
  <c r="D66" i="21"/>
  <c r="D50" i="21"/>
  <c r="D81" i="21"/>
  <c r="D65" i="21"/>
  <c r="D69" i="21"/>
  <c r="D64" i="21"/>
  <c r="D35" i="21"/>
  <c r="D25" i="21"/>
  <c r="D29" i="21"/>
  <c r="D80" i="21"/>
  <c r="D79" i="21"/>
  <c r="D54" i="21"/>
  <c r="D49" i="21"/>
  <c r="D39" i="21"/>
  <c r="D34" i="21"/>
  <c r="D59" i="21"/>
  <c r="D44" i="21"/>
  <c r="D36" i="21"/>
  <c r="D30" i="21"/>
  <c r="D26" i="21"/>
  <c r="D24" i="21"/>
  <c r="D20" i="21"/>
  <c r="D19" i="21"/>
  <c r="D16" i="21"/>
  <c r="D15" i="21"/>
  <c r="A15" i="21"/>
  <c r="A16" i="21"/>
  <c r="A19" i="21"/>
  <c r="A20" i="21" s="1"/>
  <c r="A21" i="21" s="1"/>
  <c r="A24" i="21" s="1"/>
  <c r="A25" i="21" s="1"/>
  <c r="A26" i="21" s="1"/>
  <c r="A29" i="21" s="1"/>
  <c r="A30" i="21" s="1"/>
  <c r="A31" i="21" s="1"/>
  <c r="A34" i="21" s="1"/>
  <c r="A35" i="21" s="1"/>
  <c r="A36" i="21" s="1"/>
  <c r="A39" i="21" s="1"/>
  <c r="A40" i="21"/>
  <c r="A41" i="21" s="1"/>
  <c r="A44" i="21" s="1"/>
  <c r="A45" i="21" s="1"/>
  <c r="A46" i="21" s="1"/>
  <c r="A49" i="21" s="1"/>
  <c r="A50" i="21" s="1"/>
  <c r="A51" i="21" s="1"/>
  <c r="A54" i="21" s="1"/>
  <c r="A55" i="21" s="1"/>
  <c r="A56" i="21" s="1"/>
  <c r="A59" i="21" s="1"/>
  <c r="A60" i="21" s="1"/>
  <c r="A61" i="21" s="1"/>
  <c r="A64" i="21" s="1"/>
  <c r="A65" i="21" s="1"/>
  <c r="A66" i="21" s="1"/>
  <c r="A69" i="21" s="1"/>
  <c r="A70" i="21" s="1"/>
  <c r="A71" i="21" s="1"/>
  <c r="A74" i="21" s="1"/>
  <c r="A75" i="21" s="1"/>
  <c r="A76" i="21" s="1"/>
  <c r="A79" i="21" s="1"/>
  <c r="A80" i="21" s="1"/>
  <c r="A81" i="21" s="1"/>
  <c r="A83" i="21" s="1"/>
  <c r="D40" i="21"/>
  <c r="E36" i="34"/>
  <c r="G36" i="34"/>
  <c r="E59" i="34"/>
  <c r="G59" i="34"/>
  <c r="E19" i="34"/>
  <c r="G19" i="34" s="1"/>
  <c r="E50" i="34"/>
  <c r="G50" i="34" s="1"/>
  <c r="E25" i="34"/>
  <c r="G25" i="34"/>
  <c r="E56" i="34"/>
  <c r="G56" i="34"/>
  <c r="E54" i="34"/>
  <c r="G54" i="34" s="1"/>
  <c r="E46" i="34"/>
  <c r="G46" i="34" s="1"/>
  <c r="E85" i="34"/>
  <c r="G85" i="34"/>
  <c r="E40" i="34"/>
  <c r="G40" i="34"/>
  <c r="E64" i="34"/>
  <c r="G64" i="34" s="1"/>
  <c r="E31" i="34"/>
  <c r="G31" i="34" s="1"/>
  <c r="E44" i="34"/>
  <c r="G44" i="34"/>
  <c r="E51" i="34"/>
  <c r="G51" i="34"/>
  <c r="E45" i="34"/>
  <c r="G45" i="34" s="1"/>
  <c r="E39" i="34"/>
  <c r="G39" i="34" s="1"/>
  <c r="E70" i="34"/>
  <c r="G70" i="34"/>
  <c r="E49" i="34"/>
  <c r="G49" i="34"/>
  <c r="E70" i="21"/>
  <c r="G70" i="21" s="1"/>
  <c r="E35" i="21"/>
  <c r="G35" i="21" s="1"/>
  <c r="E50" i="21"/>
  <c r="G50" i="21"/>
  <c r="E16" i="34"/>
  <c r="G16" i="34"/>
  <c r="E24" i="34"/>
  <c r="G24" i="34" s="1"/>
  <c r="E75" i="34"/>
  <c r="G75" i="34" s="1"/>
  <c r="E15" i="34"/>
  <c r="G15" i="34"/>
  <c r="E26" i="34"/>
  <c r="G26" i="34"/>
  <c r="E34" i="34"/>
  <c r="G34" i="34" s="1"/>
  <c r="E66" i="34"/>
  <c r="G66" i="34" s="1"/>
  <c r="E79" i="34"/>
  <c r="G79" i="34"/>
  <c r="E84" i="34"/>
  <c r="G84" i="34"/>
  <c r="E21" i="34"/>
  <c r="G21" i="34" s="1"/>
  <c r="E35" i="34"/>
  <c r="G35" i="34" s="1"/>
  <c r="E86" i="34"/>
  <c r="G86" i="34"/>
  <c r="E31" i="21"/>
  <c r="E45" i="21"/>
  <c r="G45" i="21"/>
  <c r="E64" i="21"/>
  <c r="G64" i="21"/>
  <c r="E81" i="21"/>
  <c r="G81" i="21"/>
  <c r="E36" i="21"/>
  <c r="G36" i="21" s="1"/>
  <c r="E51" i="21"/>
  <c r="G51" i="21"/>
  <c r="E75" i="21"/>
  <c r="G75" i="21"/>
  <c r="E30" i="21"/>
  <c r="E39" i="21"/>
  <c r="G39" i="21"/>
  <c r="E61" i="21"/>
  <c r="G61" i="21"/>
  <c r="E76" i="21"/>
  <c r="G76" i="21" s="1"/>
  <c r="E29" i="34"/>
  <c r="G29" i="34" s="1"/>
  <c r="E65" i="34"/>
  <c r="G65" i="34"/>
  <c r="E71" i="34"/>
  <c r="G71" i="34"/>
  <c r="D41" i="34"/>
  <c r="E41" i="34"/>
  <c r="G41" i="34"/>
  <c r="E60" i="34"/>
  <c r="G60" i="34"/>
  <c r="E74" i="34"/>
  <c r="G74" i="34" s="1"/>
  <c r="E61" i="34"/>
  <c r="G61" i="34"/>
  <c r="E69" i="34"/>
  <c r="G69" i="34"/>
  <c r="E81" i="34"/>
  <c r="G81" i="34"/>
  <c r="E15" i="21"/>
  <c r="G15" i="21" s="1"/>
  <c r="E29" i="21"/>
  <c r="E41" i="21"/>
  <c r="G41" i="21" s="1"/>
  <c r="E49" i="21"/>
  <c r="G49" i="21" s="1"/>
  <c r="E55" i="21"/>
  <c r="G55" i="21"/>
  <c r="E69" i="21"/>
  <c r="G69" i="21"/>
  <c r="E16" i="21"/>
  <c r="G16" i="21" s="1"/>
  <c r="E24" i="21"/>
  <c r="E44" i="21"/>
  <c r="G44" i="21"/>
  <c r="E56" i="21"/>
  <c r="G56" i="21" s="1"/>
  <c r="E19" i="21"/>
  <c r="E25" i="21"/>
  <c r="G25" i="21" s="1"/>
  <c r="E59" i="21"/>
  <c r="G59" i="21"/>
  <c r="E65" i="21"/>
  <c r="G65" i="21"/>
  <c r="E71" i="21"/>
  <c r="G71" i="21" s="1"/>
  <c r="E79" i="21"/>
  <c r="G79" i="21"/>
  <c r="D14" i="21"/>
  <c r="E14" i="21"/>
  <c r="G14" i="21" s="1"/>
  <c r="E20" i="21"/>
  <c r="E26" i="21"/>
  <c r="E34" i="21"/>
  <c r="G34" i="21"/>
  <c r="E40" i="21"/>
  <c r="G40" i="21" s="1"/>
  <c r="E46" i="21"/>
  <c r="G46" i="21" s="1"/>
  <c r="E54" i="21"/>
  <c r="G54" i="21"/>
  <c r="E60" i="21"/>
  <c r="G60" i="21"/>
  <c r="E66" i="21"/>
  <c r="G66" i="21" s="1"/>
  <c r="E74" i="21"/>
  <c r="G74" i="21" s="1"/>
  <c r="E80" i="21"/>
  <c r="G80" i="21"/>
  <c r="E88" i="34"/>
  <c r="D21" i="21"/>
  <c r="E21" i="21"/>
  <c r="G21" i="21" s="1"/>
  <c r="G83" i="21" s="1"/>
  <c r="C32" i="4"/>
  <c r="A3" i="32"/>
  <c r="A2" i="32"/>
  <c r="A3" i="8"/>
  <c r="A3" i="10"/>
  <c r="A3" i="13"/>
  <c r="A2" i="2"/>
  <c r="A2" i="4"/>
  <c r="A2" i="5"/>
  <c r="A2" i="6"/>
  <c r="A2" i="8"/>
  <c r="A2" i="10"/>
  <c r="A2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A3" i="15"/>
  <c r="A2" i="15"/>
  <c r="A3" i="19"/>
  <c r="A2" i="19"/>
  <c r="A3" i="20"/>
  <c r="A3" i="21"/>
  <c r="A2" i="20"/>
  <c r="G31" i="21"/>
  <c r="G30" i="21"/>
  <c r="G29" i="21"/>
  <c r="G26" i="21"/>
  <c r="G24" i="21"/>
  <c r="G20" i="21"/>
  <c r="G19" i="21"/>
  <c r="A2" i="21"/>
  <c r="E83" i="21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16" i="10"/>
  <c r="G16" i="10" s="1"/>
  <c r="I16" i="10" s="1"/>
  <c r="BB25" i="20" l="1"/>
  <c r="BC19" i="20" s="1"/>
  <c r="A28" i="15"/>
  <c r="G19" i="45"/>
  <c r="E13" i="32"/>
  <c r="E15" i="32"/>
  <c r="G15" i="32"/>
  <c r="G13" i="32"/>
  <c r="H13" i="32" s="1"/>
  <c r="A40" i="10"/>
  <c r="A41" i="10" s="1"/>
  <c r="A43" i="10" s="1"/>
  <c r="A46" i="10" s="1"/>
  <c r="G17" i="10"/>
  <c r="I17" i="10" s="1"/>
  <c r="G36" i="10"/>
  <c r="I36" i="10" s="1"/>
  <c r="G24" i="10"/>
  <c r="I24" i="10" s="1"/>
  <c r="A22" i="4"/>
  <c r="A23" i="4" s="1"/>
  <c r="A24" i="4" s="1"/>
  <c r="A25" i="4" s="1"/>
  <c r="A27" i="4" s="1"/>
  <c r="A32" i="4" s="1"/>
  <c r="A34" i="4" s="1"/>
  <c r="G30" i="10"/>
  <c r="I30" i="10" s="1"/>
  <c r="G27" i="10"/>
  <c r="I27" i="10" s="1"/>
  <c r="G38" i="10"/>
  <c r="I38" i="10" s="1"/>
  <c r="G26" i="10"/>
  <c r="I26" i="10" s="1"/>
  <c r="G37" i="10"/>
  <c r="I37" i="10" s="1"/>
  <c r="G34" i="10"/>
  <c r="I34" i="10" s="1"/>
  <c r="G21" i="10"/>
  <c r="I21" i="10" s="1"/>
  <c r="G19" i="10"/>
  <c r="I19" i="10" s="1"/>
  <c r="G29" i="10"/>
  <c r="I29" i="10" s="1"/>
  <c r="G28" i="10"/>
  <c r="I28" i="10" s="1"/>
  <c r="G35" i="10"/>
  <c r="I35" i="10" s="1"/>
  <c r="G20" i="10"/>
  <c r="I20" i="10" s="1"/>
  <c r="G18" i="10"/>
  <c r="I18" i="10" s="1"/>
  <c r="G25" i="10"/>
  <c r="I25" i="10" s="1"/>
  <c r="G32" i="10"/>
  <c r="I32" i="10" s="1"/>
  <c r="G33" i="10"/>
  <c r="I33" i="10" s="1"/>
  <c r="G22" i="10"/>
  <c r="I22" i="10" s="1"/>
  <c r="A32" i="8"/>
  <c r="H16" i="8"/>
  <c r="J16" i="8" s="1"/>
  <c r="H27" i="8"/>
  <c r="J27" i="8" s="1"/>
  <c r="H30" i="8"/>
  <c r="J30" i="8" s="1"/>
  <c r="H22" i="8"/>
  <c r="J22" i="8" s="1"/>
  <c r="H23" i="8"/>
  <c r="J23" i="8" s="1"/>
  <c r="C32" i="13"/>
  <c r="F24" i="58" s="1"/>
  <c r="G13" i="30"/>
  <c r="B5" i="30"/>
  <c r="B5" i="58" s="1"/>
  <c r="G39" i="10"/>
  <c r="I39" i="10" s="1"/>
  <c r="G31" i="10"/>
  <c r="I31" i="10" s="1"/>
  <c r="G23" i="10"/>
  <c r="I23" i="10" s="1"/>
  <c r="H28" i="15"/>
  <c r="F28" i="15" s="1"/>
  <c r="H17" i="8"/>
  <c r="J17" i="8" s="1"/>
  <c r="H26" i="8"/>
  <c r="J26" i="8" s="1"/>
  <c r="H19" i="8"/>
  <c r="J19" i="8" s="1"/>
  <c r="H20" i="8"/>
  <c r="J20" i="8" s="1"/>
  <c r="H29" i="8"/>
  <c r="J29" i="8" s="1"/>
  <c r="H24" i="8"/>
  <c r="J24" i="8" s="1"/>
  <c r="A4" i="10"/>
  <c r="H15" i="8"/>
  <c r="J15" i="8" s="1"/>
  <c r="C27" i="4"/>
  <c r="C30" i="4" s="1"/>
  <c r="A4" i="20"/>
  <c r="A4" i="45"/>
  <c r="A4" i="15"/>
  <c r="A4" i="6"/>
  <c r="A4" i="4"/>
  <c r="A4" i="5"/>
  <c r="A4" i="2"/>
  <c r="A204" i="36"/>
  <c r="K47" i="36"/>
  <c r="L47" i="36" s="1"/>
  <c r="K36" i="36"/>
  <c r="L36" i="36" s="1"/>
  <c r="K29" i="36"/>
  <c r="L29" i="36" s="1"/>
  <c r="K105" i="36"/>
  <c r="L105" i="36" s="1"/>
  <c r="K24" i="36"/>
  <c r="L24" i="36" s="1"/>
  <c r="K20" i="36"/>
  <c r="L20" i="36" s="1"/>
  <c r="K17" i="36"/>
  <c r="L17" i="36" s="1"/>
  <c r="K38" i="36"/>
  <c r="L38" i="36" s="1"/>
  <c r="K158" i="36"/>
  <c r="L158" i="36" s="1"/>
  <c r="K120" i="36"/>
  <c r="L120" i="36" s="1"/>
  <c r="K155" i="36"/>
  <c r="L155" i="36" s="1"/>
  <c r="K151" i="36"/>
  <c r="L151" i="36" s="1"/>
  <c r="K149" i="36"/>
  <c r="L149" i="36" s="1"/>
  <c r="K110" i="36"/>
  <c r="L110" i="36" s="1"/>
  <c r="K106" i="36"/>
  <c r="L106" i="36" s="1"/>
  <c r="K103" i="36"/>
  <c r="L103" i="36" s="1"/>
  <c r="K63" i="36"/>
  <c r="L63" i="36" s="1"/>
  <c r="K51" i="36"/>
  <c r="L51" i="36" s="1"/>
  <c r="K44" i="36"/>
  <c r="L44" i="36" s="1"/>
  <c r="K190" i="36"/>
  <c r="L190" i="36" s="1"/>
  <c r="K126" i="36"/>
  <c r="L126" i="36" s="1"/>
  <c r="K157" i="36"/>
  <c r="L157" i="36" s="1"/>
  <c r="K75" i="36"/>
  <c r="L75" i="36" s="1"/>
  <c r="K97" i="36"/>
  <c r="L97" i="36" s="1"/>
  <c r="K58" i="36"/>
  <c r="L58" i="36" s="1"/>
  <c r="K128" i="36"/>
  <c r="L128" i="36" s="1"/>
  <c r="K163" i="36"/>
  <c r="L163" i="36" s="1"/>
  <c r="K137" i="36"/>
  <c r="L137" i="36" s="1"/>
  <c r="K125" i="36"/>
  <c r="L125" i="36" s="1"/>
  <c r="K123" i="36"/>
  <c r="L123" i="36" s="1"/>
  <c r="K117" i="36"/>
  <c r="L117" i="36" s="1"/>
  <c r="K173" i="36"/>
  <c r="L173" i="36" s="1"/>
  <c r="K27" i="36"/>
  <c r="L27" i="36" s="1"/>
  <c r="K18" i="36"/>
  <c r="L18" i="36" s="1"/>
  <c r="K14" i="36"/>
  <c r="L14" i="36" s="1"/>
  <c r="K140" i="36"/>
  <c r="L140" i="36" s="1"/>
  <c r="K116" i="36"/>
  <c r="L116" i="36" s="1"/>
  <c r="K138" i="36"/>
  <c r="L138" i="36" s="1"/>
  <c r="K50" i="36"/>
  <c r="L50" i="36" s="1"/>
  <c r="K85" i="36"/>
  <c r="L85" i="36" s="1"/>
  <c r="K76" i="36"/>
  <c r="L76" i="36" s="1"/>
  <c r="K66" i="36"/>
  <c r="L66" i="36" s="1"/>
  <c r="K143" i="36"/>
  <c r="L143" i="36" s="1"/>
  <c r="K114" i="36"/>
  <c r="L114" i="36" s="1"/>
  <c r="K195" i="36"/>
  <c r="L195" i="36" s="1"/>
  <c r="K188" i="36"/>
  <c r="L188" i="36" s="1"/>
  <c r="K183" i="36"/>
  <c r="L183" i="36" s="1"/>
  <c r="K108" i="36"/>
  <c r="L108" i="36" s="1"/>
  <c r="K96" i="36"/>
  <c r="L96" i="36" s="1"/>
  <c r="K93" i="36"/>
  <c r="L93" i="36" s="1"/>
  <c r="K81" i="36"/>
  <c r="L81" i="36" s="1"/>
  <c r="K79" i="36"/>
  <c r="L79" i="36" s="1"/>
  <c r="K73" i="36"/>
  <c r="L73" i="36" s="1"/>
  <c r="K70" i="36"/>
  <c r="L70" i="36" s="1"/>
  <c r="K68" i="36"/>
  <c r="L68" i="36" s="1"/>
  <c r="K61" i="36"/>
  <c r="L61" i="36" s="1"/>
  <c r="K193" i="36"/>
  <c r="L193" i="36" s="1"/>
  <c r="K169" i="36"/>
  <c r="L169" i="36" s="1"/>
  <c r="K64" i="36"/>
  <c r="L64" i="36" s="1"/>
  <c r="K62" i="36"/>
  <c r="L62" i="36" s="1"/>
  <c r="K54" i="36"/>
  <c r="L54" i="36" s="1"/>
  <c r="K115" i="36"/>
  <c r="L115" i="36" s="1"/>
  <c r="K101" i="36"/>
  <c r="L101" i="36" s="1"/>
  <c r="K92" i="36"/>
  <c r="L92" i="36" s="1"/>
  <c r="K78" i="36"/>
  <c r="L78" i="36" s="1"/>
  <c r="K69" i="36"/>
  <c r="L69" i="36" s="1"/>
  <c r="K56" i="36"/>
  <c r="L56" i="36" s="1"/>
  <c r="K49" i="36"/>
  <c r="L49" i="36" s="1"/>
  <c r="K46" i="36"/>
  <c r="L46" i="36" s="1"/>
  <c r="K40" i="36"/>
  <c r="L40" i="36" s="1"/>
  <c r="K33" i="36"/>
  <c r="L33" i="36" s="1"/>
  <c r="K23" i="36"/>
  <c r="L23" i="36" s="1"/>
  <c r="K16" i="36"/>
  <c r="L16" i="36" s="1"/>
  <c r="K197" i="36"/>
  <c r="L197" i="36" s="1"/>
  <c r="K171" i="36"/>
  <c r="L171" i="36" s="1"/>
  <c r="K133" i="36"/>
  <c r="L133" i="36" s="1"/>
  <c r="K144" i="36"/>
  <c r="L144" i="36" s="1"/>
  <c r="K164" i="36"/>
  <c r="L164" i="36" s="1"/>
  <c r="K168" i="36"/>
  <c r="L168" i="36" s="1"/>
  <c r="K170" i="36"/>
  <c r="L170" i="36" s="1"/>
  <c r="K154" i="36"/>
  <c r="L154" i="36" s="1"/>
  <c r="K119" i="36"/>
  <c r="L119" i="36" s="1"/>
  <c r="K52" i="36"/>
  <c r="L52" i="36" s="1"/>
  <c r="K41" i="36"/>
  <c r="L41" i="36" s="1"/>
  <c r="K55" i="36"/>
  <c r="L55" i="36" s="1"/>
  <c r="K177" i="36"/>
  <c r="L177" i="36" s="1"/>
  <c r="K174" i="36"/>
  <c r="L174" i="36" s="1"/>
  <c r="K135" i="36"/>
  <c r="L135" i="36" s="1"/>
  <c r="K104" i="36"/>
  <c r="L104" i="36" s="1"/>
  <c r="K100" i="36"/>
  <c r="L100" i="36" s="1"/>
  <c r="K98" i="36"/>
  <c r="L98" i="36" s="1"/>
  <c r="K94" i="36"/>
  <c r="L94" i="36" s="1"/>
  <c r="K88" i="36"/>
  <c r="L88" i="36" s="1"/>
  <c r="K42" i="36"/>
  <c r="L42" i="36" s="1"/>
  <c r="K39" i="36"/>
  <c r="L39" i="36" s="1"/>
  <c r="K12" i="36"/>
  <c r="L12" i="36" s="1"/>
  <c r="K179" i="36"/>
  <c r="L179" i="36" s="1"/>
  <c r="K175" i="36"/>
  <c r="L175" i="36" s="1"/>
  <c r="K107" i="36"/>
  <c r="L107" i="36" s="1"/>
  <c r="K194" i="36"/>
  <c r="L194" i="36" s="1"/>
  <c r="K187" i="36"/>
  <c r="L187" i="36" s="1"/>
  <c r="K182" i="36"/>
  <c r="L182" i="36" s="1"/>
  <c r="K172" i="36"/>
  <c r="L172" i="36" s="1"/>
  <c r="K132" i="36"/>
  <c r="L132" i="36" s="1"/>
  <c r="K136" i="36"/>
  <c r="L136" i="36" s="1"/>
  <c r="K139" i="36"/>
  <c r="L139" i="36" s="1"/>
  <c r="K145" i="36"/>
  <c r="L145" i="36" s="1"/>
  <c r="K147" i="36"/>
  <c r="L147" i="36" s="1"/>
  <c r="K160" i="36"/>
  <c r="L160" i="36" s="1"/>
  <c r="K161" i="36"/>
  <c r="L161" i="36" s="1"/>
  <c r="K162" i="36"/>
  <c r="L162" i="36" s="1"/>
  <c r="K166" i="36"/>
  <c r="L166" i="36" s="1"/>
  <c r="K167" i="36"/>
  <c r="L167" i="36" s="1"/>
  <c r="K152" i="36"/>
  <c r="L152" i="36" s="1"/>
  <c r="K124" i="36"/>
  <c r="L124" i="36" s="1"/>
  <c r="K118" i="36"/>
  <c r="L118" i="36" s="1"/>
  <c r="K21" i="36"/>
  <c r="L21" i="36" s="1"/>
  <c r="K198" i="36"/>
  <c r="L198" i="36" s="1"/>
  <c r="K192" i="36"/>
  <c r="L192" i="36" s="1"/>
  <c r="K189" i="36"/>
  <c r="L189" i="36" s="1"/>
  <c r="K176" i="36"/>
  <c r="L176" i="36" s="1"/>
  <c r="K99" i="36"/>
  <c r="L99" i="36" s="1"/>
  <c r="K59" i="36"/>
  <c r="L59" i="36" s="1"/>
  <c r="K57" i="36"/>
  <c r="L57" i="36" s="1"/>
  <c r="K181" i="36"/>
  <c r="L181" i="36" s="1"/>
  <c r="K127" i="36"/>
  <c r="L127" i="36" s="1"/>
  <c r="K129" i="36"/>
  <c r="L129" i="36" s="1"/>
  <c r="K131" i="36"/>
  <c r="L131" i="36" s="1"/>
  <c r="K134" i="36"/>
  <c r="L134" i="36" s="1"/>
  <c r="K142" i="36"/>
  <c r="L142" i="36" s="1"/>
  <c r="K146" i="36"/>
  <c r="L146" i="36" s="1"/>
  <c r="K159" i="36"/>
  <c r="L159" i="36" s="1"/>
  <c r="K165" i="36"/>
  <c r="L165" i="36" s="1"/>
  <c r="K90" i="36"/>
  <c r="L90" i="36" s="1"/>
  <c r="K87" i="36"/>
  <c r="L87" i="36" s="1"/>
  <c r="K102" i="36"/>
  <c r="L102" i="36" s="1"/>
  <c r="K25" i="36"/>
  <c r="L25" i="36" s="1"/>
  <c r="K196" i="36"/>
  <c r="L196" i="36" s="1"/>
  <c r="K65" i="36"/>
  <c r="L65" i="36" s="1"/>
  <c r="K48" i="36"/>
  <c r="L48" i="36" s="1"/>
  <c r="K45" i="36"/>
  <c r="L45" i="36" s="1"/>
  <c r="K10" i="36"/>
  <c r="L10" i="36" s="1"/>
  <c r="K95" i="36"/>
  <c r="L95" i="36" s="1"/>
  <c r="K91" i="36"/>
  <c r="L91" i="36" s="1"/>
  <c r="K89" i="36"/>
  <c r="L89" i="36" s="1"/>
  <c r="K83" i="36"/>
  <c r="L83" i="36" s="1"/>
  <c r="K80" i="36"/>
  <c r="L80" i="36" s="1"/>
  <c r="K77" i="36"/>
  <c r="L77" i="36" s="1"/>
  <c r="K74" i="36"/>
  <c r="L74" i="36" s="1"/>
  <c r="K60" i="36"/>
  <c r="L60" i="36" s="1"/>
  <c r="K185" i="36"/>
  <c r="L185" i="36" s="1"/>
  <c r="K37" i="36"/>
  <c r="L37" i="36" s="1"/>
  <c r="K34" i="36"/>
  <c r="L34" i="36" s="1"/>
  <c r="K31" i="36"/>
  <c r="L31" i="36" s="1"/>
  <c r="K28" i="36"/>
  <c r="L28" i="36" s="1"/>
  <c r="K11" i="36"/>
  <c r="L11" i="36" s="1"/>
  <c r="K191" i="36"/>
  <c r="L191" i="36" s="1"/>
  <c r="K186" i="36"/>
  <c r="L186" i="36" s="1"/>
  <c r="K180" i="36"/>
  <c r="L180" i="36" s="1"/>
  <c r="K178" i="36"/>
  <c r="L178" i="36" s="1"/>
  <c r="BC16" i="20" l="1"/>
  <c r="BA25" i="20" s="1"/>
  <c r="BC25" i="20"/>
  <c r="I43" i="10"/>
  <c r="A47" i="10"/>
  <c r="A48" i="10"/>
  <c r="H15" i="32"/>
  <c r="G43" i="10"/>
  <c r="J32" i="8"/>
  <c r="H32" i="8" s="1"/>
  <c r="F20" i="58" s="1"/>
  <c r="A4" i="32"/>
  <c r="B6" i="30"/>
  <c r="B6" i="58" s="1"/>
  <c r="A4" i="34"/>
  <c r="A4" i="13"/>
  <c r="A4" i="36"/>
  <c r="A4" i="8"/>
  <c r="G28" i="30"/>
  <c r="BD16" i="20"/>
  <c r="A4" i="21"/>
  <c r="A4" i="19"/>
  <c r="C34" i="4"/>
  <c r="L202" i="36"/>
  <c r="L204" i="36" s="1"/>
  <c r="BD25" i="20" l="1"/>
  <c r="A49" i="10"/>
  <c r="A50" i="10"/>
  <c r="J15" i="32"/>
  <c r="J17" i="32" s="1"/>
  <c r="J19" i="32" s="1"/>
  <c r="C14" i="2"/>
  <c r="A51" i="10" l="1"/>
  <c r="A52" i="10"/>
  <c r="F41" i="58"/>
  <c r="F14" i="58"/>
  <c r="F16" i="58" s="1"/>
  <c r="C17" i="2"/>
  <c r="A53" i="10" l="1"/>
  <c r="A54" i="10"/>
  <c r="F49" i="58"/>
  <c r="F47" i="58"/>
  <c r="F53" i="58"/>
  <c r="F43" i="58"/>
  <c r="F37" i="58"/>
  <c r="F39" i="58"/>
  <c r="A55" i="10" l="1"/>
  <c r="A56" i="10"/>
  <c r="A57" i="10" l="1"/>
  <c r="A58" i="10"/>
  <c r="A60" i="10" l="1"/>
  <c r="A59" i="10"/>
  <c r="A61" i="10" l="1"/>
  <c r="A62" i="10"/>
  <c r="A63" i="10" l="1"/>
  <c r="A64" i="10"/>
  <c r="A66" i="10" l="1"/>
  <c r="A65" i="10"/>
  <c r="A67" i="10" l="1"/>
  <c r="A68" i="10"/>
  <c r="A6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9" authorId="0" shapeId="0" xr:uid="{8DD3C91A-E8F9-4C3C-AC6E-443C4387050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Annual Incentive included in this amount
Paid with Regular Payroll</t>
        </r>
      </text>
    </comment>
  </commentList>
</comments>
</file>

<file path=xl/sharedStrings.xml><?xml version="1.0" encoding="utf-8"?>
<sst xmlns="http://schemas.openxmlformats.org/spreadsheetml/2006/main" count="1558" uniqueCount="616">
  <si>
    <t>Line No.</t>
  </si>
  <si>
    <t>Description</t>
  </si>
  <si>
    <t>Taxes Other Than Income</t>
  </si>
  <si>
    <t>Payroll Tax Expense</t>
  </si>
  <si>
    <t>Property Tax Expense</t>
  </si>
  <si>
    <t>Other Taxes</t>
  </si>
  <si>
    <t>Cash Working Capital - Revenue Lag</t>
  </si>
  <si>
    <t>Lag Component</t>
  </si>
  <si>
    <t>Number of Days</t>
  </si>
  <si>
    <t>Meter Reading</t>
  </si>
  <si>
    <t>Collection</t>
  </si>
  <si>
    <t>Billing</t>
  </si>
  <si>
    <t>Bank Lag</t>
  </si>
  <si>
    <t>Cash Working Capital - Collection Lag</t>
  </si>
  <si>
    <t>Average Daily Revenue</t>
  </si>
  <si>
    <t>Amount</t>
  </si>
  <si>
    <t>Tariff Revenues:</t>
  </si>
  <si>
    <t>Additional Revenues:</t>
  </si>
  <si>
    <t>Cash Working Capital - Average Daily A/R Balance</t>
  </si>
  <si>
    <t>Total</t>
  </si>
  <si>
    <t>12-month Average</t>
  </si>
  <si>
    <t xml:space="preserve">Average Daily A/R Balance </t>
  </si>
  <si>
    <t>Cash Working Capital - Billing Lag</t>
  </si>
  <si>
    <t xml:space="preserve">Line </t>
  </si>
  <si>
    <t>No.</t>
  </si>
  <si>
    <t>Month</t>
  </si>
  <si>
    <t>Total Revenue Lag</t>
  </si>
  <si>
    <t>Lag from Meter</t>
  </si>
  <si>
    <t>Weighted</t>
  </si>
  <si>
    <t>Line</t>
  </si>
  <si>
    <t>Lead</t>
  </si>
  <si>
    <t>Paid</t>
  </si>
  <si>
    <t>Lead Days</t>
  </si>
  <si>
    <t>Days</t>
  </si>
  <si>
    <t>(1)</t>
  </si>
  <si>
    <t>(2)</t>
  </si>
  <si>
    <t>(3)</t>
  </si>
  <si>
    <t>(4)</t>
  </si>
  <si>
    <t>Service</t>
  </si>
  <si>
    <t>Payment</t>
  </si>
  <si>
    <t>Date</t>
  </si>
  <si>
    <t>Period</t>
  </si>
  <si>
    <t>(4)=(2-1+3)</t>
  </si>
  <si>
    <t>(5)</t>
  </si>
  <si>
    <t>(6)=(4*5)</t>
  </si>
  <si>
    <t>Start</t>
  </si>
  <si>
    <t>End</t>
  </si>
  <si>
    <t xml:space="preserve">Morning </t>
  </si>
  <si>
    <t>Evening</t>
  </si>
  <si>
    <t>of 1st day</t>
  </si>
  <si>
    <t>of Last Day</t>
  </si>
  <si>
    <t>Payroll</t>
  </si>
  <si>
    <t>of Pay Period</t>
  </si>
  <si>
    <t>Midpoint of</t>
  </si>
  <si>
    <t>Service Period</t>
  </si>
  <si>
    <t>(6)</t>
  </si>
  <si>
    <t>(7)</t>
  </si>
  <si>
    <t>Account 904 Per Books Uncollectible Expense</t>
  </si>
  <si>
    <t>Vendor Name</t>
  </si>
  <si>
    <t>Invoice Date</t>
  </si>
  <si>
    <t>Invoice Amount</t>
  </si>
  <si>
    <t>To</t>
  </si>
  <si>
    <t>Payment Lead</t>
  </si>
  <si>
    <t>(8)</t>
  </si>
  <si>
    <t>Type</t>
  </si>
  <si>
    <t>Total Lead</t>
  </si>
  <si>
    <t>Federal Unemployment</t>
  </si>
  <si>
    <t xml:space="preserve">Midpoint </t>
  </si>
  <si>
    <t>Taxing Authority</t>
  </si>
  <si>
    <t>of Tax Year</t>
  </si>
  <si>
    <t>End of Service</t>
  </si>
  <si>
    <t>Tax Dollars</t>
  </si>
  <si>
    <t xml:space="preserve"> </t>
  </si>
  <si>
    <t>Lead/Lag</t>
  </si>
  <si>
    <t>Annual</t>
  </si>
  <si>
    <t>Maturity</t>
  </si>
  <si>
    <t>Type of Payment</t>
  </si>
  <si>
    <t>Interest</t>
  </si>
  <si>
    <t>(9)</t>
  </si>
  <si>
    <t>End of</t>
  </si>
  <si>
    <t>Cash Working Capital - Payroll</t>
  </si>
  <si>
    <t>Cash Working Capital - Uncollectibles</t>
  </si>
  <si>
    <t>Cash Working Capital - Other O&amp;M</t>
  </si>
  <si>
    <t>Cash Working Capital - Payroll Taxes</t>
  </si>
  <si>
    <t>Cash Working Capital - Property Taxes</t>
  </si>
  <si>
    <t>Cash Working Capital - Interest on Customer Deposits</t>
  </si>
  <si>
    <t>Cash Working Capital - Customer Utility Tax</t>
  </si>
  <si>
    <t>Cash Working Capital - Consumption Tax</t>
  </si>
  <si>
    <t>Charitable Donations</t>
  </si>
  <si>
    <t>Interest on Customer Deposits</t>
  </si>
  <si>
    <t>Interest Expense</t>
  </si>
  <si>
    <t>Average Number of Lead Days (Line 14/Line 16)</t>
  </si>
  <si>
    <t>Other O&amp;M Expense Lead</t>
  </si>
  <si>
    <t>Payment 1</t>
  </si>
  <si>
    <t>Payment 2</t>
  </si>
  <si>
    <t>Percent of</t>
  </si>
  <si>
    <t>Payroll Expense</t>
  </si>
  <si>
    <t>1st Month of Period</t>
  </si>
  <si>
    <t>Last Month of Period</t>
  </si>
  <si>
    <t>Data Being Reported Based On</t>
  </si>
  <si>
    <t>12 Mo. Actual</t>
  </si>
  <si>
    <t>Version Description</t>
  </si>
  <si>
    <t>Cash Working Capital Analysis</t>
  </si>
  <si>
    <t>Case No.</t>
  </si>
  <si>
    <t>(7)=(5*6)</t>
  </si>
  <si>
    <t>Average Monthly Provision for Uncollectible Accounts (Line 13/12 mos.)</t>
  </si>
  <si>
    <t>Average Daily Balance Uncollectible Expense (Line 15/365 days)</t>
  </si>
  <si>
    <t>(3)=(2-1)/2</t>
  </si>
  <si>
    <t>(3)=((2-1)+1 day)/2</t>
  </si>
  <si>
    <t>Address</t>
  </si>
  <si>
    <t>ValueType</t>
  </si>
  <si>
    <t>Value</t>
  </si>
  <si>
    <t>Quarter</t>
  </si>
  <si>
    <t>Cash Working Capital - Interest on Debt (Incl. Letter of Credit Fees)</t>
  </si>
  <si>
    <t>Payment 3</t>
  </si>
  <si>
    <t>Payment 4</t>
  </si>
  <si>
    <t>Payment 5</t>
  </si>
  <si>
    <t>Payment 6</t>
  </si>
  <si>
    <t>Payment 7</t>
  </si>
  <si>
    <t>Payment 8</t>
  </si>
  <si>
    <t>Payment 9</t>
  </si>
  <si>
    <t>Payment 10</t>
  </si>
  <si>
    <t>Payment 11</t>
  </si>
  <si>
    <t>Payment 12</t>
  </si>
  <si>
    <t>Total Expense</t>
  </si>
  <si>
    <t># of days between payments</t>
  </si>
  <si>
    <t>Town of Appalachia</t>
  </si>
  <si>
    <t>Town of Big Stone Gap</t>
  </si>
  <si>
    <t>Town of Coeburn</t>
  </si>
  <si>
    <t>Town of Jonesville</t>
  </si>
  <si>
    <t>City of Norton</t>
  </si>
  <si>
    <t>Town of Pennington Gap</t>
  </si>
  <si>
    <t>Treasurer of Russell County</t>
  </si>
  <si>
    <t>Scott County Treasurer</t>
  </si>
  <si>
    <t>Town of St. Charles</t>
  </si>
  <si>
    <t>Town of St. Paul</t>
  </si>
  <si>
    <t>Wise Co. Treasurer</t>
  </si>
  <si>
    <t>Lee Co.</t>
  </si>
  <si>
    <t>Town of Wise</t>
  </si>
  <si>
    <t>Dickenson Co.</t>
  </si>
  <si>
    <t>of Service</t>
  </si>
  <si>
    <t>(3)=(1)/2</t>
  </si>
  <si>
    <t>Treasurer of Virginia, Public Service Taxation Division, State Corporation Commission</t>
  </si>
  <si>
    <t>Start of Service</t>
  </si>
  <si>
    <t>Funded</t>
  </si>
  <si>
    <t>FICA - Employer</t>
  </si>
  <si>
    <t>End Date</t>
  </si>
  <si>
    <t>Cleared</t>
  </si>
  <si>
    <t>Date Pymt.</t>
  </si>
  <si>
    <t>(8)=(6*7)</t>
  </si>
  <si>
    <t>Service Lead</t>
  </si>
  <si>
    <t>Tax Year</t>
  </si>
  <si>
    <t>(5)=(4-2)</t>
  </si>
  <si>
    <t xml:space="preserve">provided customer has met satisfactory payment and credit criteria.  </t>
  </si>
  <si>
    <t xml:space="preserve">the deposit and any accrued interest is automatically applied to the customer’s account as a credit.  </t>
  </si>
  <si>
    <t>final bill.</t>
  </si>
  <si>
    <t xml:space="preserve">Deposit Notes: </t>
  </si>
  <si>
    <t xml:space="preserve">Interest Notes: </t>
  </si>
  <si>
    <t>except that no refund or credit will be made if customer’s bill is delinquent on the anniversary date of the</t>
  </si>
  <si>
    <t xml:space="preserve">deposit.  Interest is automatically paid in June, or when the related deposit is applied to the customer’s </t>
  </si>
  <si>
    <t xml:space="preserve">account due to satisfactory credit.  A credit is applied to the account for a reduction to the customer’s </t>
  </si>
  <si>
    <t xml:space="preserve">bill, or it may be refunded upon customer’s request. Upon termination of service, the deposit, any </t>
  </si>
  <si>
    <t xml:space="preserve">principal amounts, and interest earned and owing will be credited to the final bill, with any remainder </t>
  </si>
  <si>
    <t>refunded to the customer.</t>
  </si>
  <si>
    <t>(7)=(3+6)</t>
  </si>
  <si>
    <t>Expenditure Type</t>
  </si>
  <si>
    <t>(10)</t>
  </si>
  <si>
    <t>Weighted Lead</t>
  </si>
  <si>
    <t>(11)</t>
  </si>
  <si>
    <t>Supplier</t>
  </si>
  <si>
    <t>Name</t>
  </si>
  <si>
    <t>LG&amp;E</t>
  </si>
  <si>
    <t>Midpoint/</t>
  </si>
  <si>
    <t>Invoice</t>
  </si>
  <si>
    <t>Number</t>
  </si>
  <si>
    <t>(4)=(3)/2</t>
  </si>
  <si>
    <t>(7)=(6-EOM(3))</t>
  </si>
  <si>
    <t>(8)=(4+7)</t>
  </si>
  <si>
    <t>(10)=(8*9)</t>
  </si>
  <si>
    <t>(6)=(5-3)</t>
  </si>
  <si>
    <t>(3)=(2)/2</t>
  </si>
  <si>
    <t>(6)=(5-EOM(2))</t>
  </si>
  <si>
    <t>(9)=(7*8)</t>
  </si>
  <si>
    <t>(6)=(3+5)</t>
  </si>
  <si>
    <t>Gas Average Lead Days</t>
  </si>
  <si>
    <t>Midpoint /</t>
  </si>
  <si>
    <t>Service Date/From</t>
  </si>
  <si>
    <t>Service Lead/
Mid-Point</t>
  </si>
  <si>
    <t>Read Date to</t>
  </si>
  <si>
    <t>Cash Working Capital - Current Income Taxes</t>
  </si>
  <si>
    <t>(5)=(4-3)</t>
  </si>
  <si>
    <t>Average Total</t>
  </si>
  <si>
    <t>Total Interest</t>
  </si>
  <si>
    <t>Weighted Lead for Interest on Customer Deposits</t>
  </si>
  <si>
    <t>Posted</t>
  </si>
  <si>
    <t>(3)=(1*2)</t>
  </si>
  <si>
    <t>Income Available for Common Equity</t>
  </si>
  <si>
    <t>Uncollectible Expense</t>
  </si>
  <si>
    <t>(Gain)/Loss on Disposition of Property</t>
  </si>
  <si>
    <t>(Gain)/Loss on Disposition of Allowances</t>
  </si>
  <si>
    <t>Total 2016 payments =</t>
  </si>
  <si>
    <t>401k Match Expense</t>
  </si>
  <si>
    <t>assumes the service is rendered evenly throughout these meter reading periods.</t>
  </si>
  <si>
    <t>Customer Utility Tax Weighted Average Lead Days</t>
  </si>
  <si>
    <t>Consumption Tax Weighted Average Lead Days</t>
  </si>
  <si>
    <t xml:space="preserve">Notes:  Since these tax payments are made regularly each month, sampled 25% of the payments (42 out of </t>
  </si>
  <si>
    <t xml:space="preserve">Notes:  Since these tax payments are made regularly each month, sampled 25% of the payments (45 out of </t>
  </si>
  <si>
    <t>Due</t>
  </si>
  <si>
    <t>(6)=(1*5)</t>
  </si>
  <si>
    <t>AFUDC</t>
  </si>
  <si>
    <t>Deferred:  Federal and State (Including ITC)</t>
  </si>
  <si>
    <t>LONG-TERM DEBT:  AUCTION RATE SECURITIES</t>
  </si>
  <si>
    <t>Weighted Average Lead Days of Long-Term Debt:  Bonds Expense</t>
  </si>
  <si>
    <t>Weighted Average Lead Days of Long-Term Debt:  Auction Rate Securities Expense</t>
  </si>
  <si>
    <t>Payment amount</t>
  </si>
  <si>
    <t>Other (Income)/Expense</t>
  </si>
  <si>
    <t>Other Interest Expense/(Income)</t>
  </si>
  <si>
    <t>Other O&amp;M</t>
  </si>
  <si>
    <t>Charges from Affiliates</t>
  </si>
  <si>
    <t>Cash Working Capital - Charges from Affiliates</t>
  </si>
  <si>
    <t>Note: The above data includes all 144 Uncollectible Reserve and 904 Uncollectible Expense accounts.</t>
  </si>
  <si>
    <t xml:space="preserve">Notes:  Meter Reading lag is based on meters being read 12 times a year and </t>
  </si>
  <si>
    <t>method used by the customer; therefore, the Bank lag is one day.</t>
  </si>
  <si>
    <t>(10)=(7+9)</t>
  </si>
  <si>
    <t>(11)=(4*10)</t>
  </si>
  <si>
    <t>(12)</t>
  </si>
  <si>
    <t>(13)</t>
  </si>
  <si>
    <t>(14)</t>
  </si>
  <si>
    <t>(15)</t>
  </si>
  <si>
    <t>(16)</t>
  </si>
  <si>
    <t>(17)</t>
  </si>
  <si>
    <t>(18)</t>
  </si>
  <si>
    <t>General Inputs for Lead/Lag Study (Expense Lead Analyses)</t>
  </si>
  <si>
    <t>Lead/Lag Days Summary</t>
  </si>
  <si>
    <t>General Inputs for Lead/Lag Study Update (Revenue Lag Analysis only)</t>
  </si>
  <si>
    <t>Income Tax Expense</t>
  </si>
  <si>
    <t>Revenue</t>
  </si>
  <si>
    <t>O&amp;M Expense</t>
  </si>
  <si>
    <t>Bank</t>
  </si>
  <si>
    <t>LG&amp;E Reimb./</t>
  </si>
  <si>
    <t>168 total) for each locality to determine the weighted average lead days.  This is a pass through tax that LG&amp;E</t>
  </si>
  <si>
    <t>collects and remits, and therefore, it does not impact LG&amp;E's income statement.</t>
  </si>
  <si>
    <t xml:space="preserve">180 total) for each locality to determine the weighted average lead days.  This is a pass through tax that LG&amp;E </t>
  </si>
  <si>
    <t>LG&amp;E pays interest on customer deposits annually.  Interest is calculated from the date of deposit,</t>
  </si>
  <si>
    <t xml:space="preserve">1) LG&amp;E retains a residential customer’s deposit for a period not to exceed twelve (12) months, </t>
  </si>
  <si>
    <t xml:space="preserve">2) LG&amp;E commercial customer’s deposit is retained as long as the customer remains on service.  </t>
  </si>
  <si>
    <t xml:space="preserve">LG&amp;E commercial customer’s deposit and accrued interest are automatically applied to the customer’s </t>
  </si>
  <si>
    <t xml:space="preserve">Note: Federal and Kentucky estimated tax payments are due by April 15th, June 15th, September 15th, and </t>
  </si>
  <si>
    <t>Total Charges from Affiliates Lead</t>
  </si>
  <si>
    <t>Semi Annual</t>
  </si>
  <si>
    <t>Payment 13</t>
  </si>
  <si>
    <t>Payment 14</t>
  </si>
  <si>
    <t>Payment 15</t>
  </si>
  <si>
    <t>Payment 16</t>
  </si>
  <si>
    <t>Payment 17</t>
  </si>
  <si>
    <t>Payment 18</t>
  </si>
  <si>
    <t>Payment 19</t>
  </si>
  <si>
    <t>Payment 20</t>
  </si>
  <si>
    <t>Payment 21</t>
  </si>
  <si>
    <t>Payment 22</t>
  </si>
  <si>
    <t>Payment 23</t>
  </si>
  <si>
    <t>Payment 24</t>
  </si>
  <si>
    <t>Payment 25</t>
  </si>
  <si>
    <t>Payment 26</t>
  </si>
  <si>
    <t>Payment 27</t>
  </si>
  <si>
    <t>Payment 28</t>
  </si>
  <si>
    <t>Payment 29</t>
  </si>
  <si>
    <t>Payment 30</t>
  </si>
  <si>
    <t>Payment 31</t>
  </si>
  <si>
    <t>Payment 32</t>
  </si>
  <si>
    <t>Payment 33</t>
  </si>
  <si>
    <t>Payment 34</t>
  </si>
  <si>
    <t>Payment 35</t>
  </si>
  <si>
    <t>Payment 36</t>
  </si>
  <si>
    <t>Payment 37</t>
  </si>
  <si>
    <t>Payment 38</t>
  </si>
  <si>
    <t>Payment 39</t>
  </si>
  <si>
    <t>Payment 40</t>
  </si>
  <si>
    <t>Payment 41</t>
  </si>
  <si>
    <t>Payment 42</t>
  </si>
  <si>
    <t>Payment 43</t>
  </si>
  <si>
    <t>Payment 44</t>
  </si>
  <si>
    <t>Payment 45</t>
  </si>
  <si>
    <t>Payment 46</t>
  </si>
  <si>
    <t>Payment 47</t>
  </si>
  <si>
    <t>Payment 48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</si>
  <si>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</si>
  <si>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</si>
  <si>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</si>
  <si>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</si>
  <si>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</si>
  <si>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</si>
  <si>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</si>
  <si>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</si>
  <si>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</si>
  <si>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</si>
  <si>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</si>
  <si>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</si>
  <si>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</si>
  <si>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</si>
  <si>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</si>
  <si>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</si>
  <si>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</si>
  <si>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</si>
  <si>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</si>
  <si>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</si>
  <si>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</si>
  <si>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</si>
  <si>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</si>
  <si>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</si>
  <si>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</si>
  <si>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</si>
  <si>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</si>
  <si>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</si>
  <si>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</si>
  <si>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</si>
  <si>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</si>
  <si>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</si>
  <si>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</si>
  <si>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</si>
  <si>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</si>
  <si>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</si>
  <si>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(55)=(52*54)</t>
  </si>
  <si>
    <t>N/A FOR LG&amp;E</t>
  </si>
  <si>
    <t>N/A for LG&amp;E</t>
  </si>
  <si>
    <t xml:space="preserve">3) After the retention period for LG&amp;E residential customer’s deposits, </t>
  </si>
  <si>
    <t>Cash Working Capital - Sales Tax</t>
  </si>
  <si>
    <t>Total Sales Tax Lead</t>
  </si>
  <si>
    <t>Notes:  Since sales tax is remitted via recurring monthly payments to the state, all payments are included in our analysis.  Sales tax is a pass-through</t>
  </si>
  <si>
    <t>Total Property Tax Lead</t>
  </si>
  <si>
    <t>KENTUCKY STATE TREASURER</t>
  </si>
  <si>
    <t>Clearing Date</t>
  </si>
  <si>
    <t>Cash Working Capital - Miscellaneous Taxes</t>
  </si>
  <si>
    <t>Total Miscellaneous Tax Lead</t>
  </si>
  <si>
    <t>GAS</t>
  </si>
  <si>
    <t>VEHICLE TAX: HEAVY VEHICLE USE</t>
  </si>
  <si>
    <t>VEHICLE TAX: IFTA/WEIGHT DISTANCE</t>
  </si>
  <si>
    <t>OCCUPATIONAL LICENSE TAX</t>
  </si>
  <si>
    <t>Gas</t>
  </si>
  <si>
    <t>United States Treasury</t>
  </si>
  <si>
    <t>Kentucky State Treasurer</t>
  </si>
  <si>
    <t>(4)=(3-2)/2</t>
  </si>
  <si>
    <t>(7)=(4+6)</t>
  </si>
  <si>
    <t>AT&amp;T MOBILITY</t>
  </si>
  <si>
    <t>Residential</t>
  </si>
  <si>
    <t>Commercial</t>
  </si>
  <si>
    <t>Industrial</t>
  </si>
  <si>
    <t>Misc Service</t>
  </si>
  <si>
    <t>Total Tariff Revenues</t>
  </si>
  <si>
    <t>Total Additional Revenues</t>
  </si>
  <si>
    <t>Total Revenues</t>
  </si>
  <si>
    <t>Start of</t>
  </si>
  <si>
    <t>Franchise Fees</t>
  </si>
  <si>
    <t>Collection Lag Days (Line 24 ÷ Line 23)</t>
  </si>
  <si>
    <t>Cash Working Capital - Franchise Fees</t>
  </si>
  <si>
    <t>Payee</t>
  </si>
  <si>
    <t>Total Franchise Fees Lead</t>
  </si>
  <si>
    <t>Federal and State</t>
  </si>
  <si>
    <t>Total Federal and State Income Tax Lead Days</t>
  </si>
  <si>
    <t>Customer Utility Tax</t>
  </si>
  <si>
    <t>State &amp; Local Consumption Tax</t>
  </si>
  <si>
    <t>(7) = zero or (6-5)/2</t>
  </si>
  <si>
    <t>(9)=(8-5) or (8-6)</t>
  </si>
  <si>
    <t>KPSC Assessment</t>
  </si>
  <si>
    <t>Sales Taxes</t>
  </si>
  <si>
    <t>School Taxes</t>
  </si>
  <si>
    <t>Cash Working Capital - School Tax</t>
  </si>
  <si>
    <t>Total School Tax Lead</t>
  </si>
  <si>
    <t>Notes:  Since school tax is remitted via recurring monthly payments to the state, all payments are included in our analysis.  School tax is a pass-through</t>
  </si>
  <si>
    <t>Delta Natural Gas Company</t>
  </si>
  <si>
    <t>2021 Rate Case</t>
  </si>
  <si>
    <t>2021-00185</t>
  </si>
  <si>
    <t>On-System Transportation</t>
  </si>
  <si>
    <t>Off-System Transportation</t>
  </si>
  <si>
    <t>Provisions for Rate Refunds</t>
  </si>
  <si>
    <t>Revenues from M&amp;J/Contract Work</t>
  </si>
  <si>
    <t>Natural Gas Billed</t>
  </si>
  <si>
    <t xml:space="preserve">Cash is available to Delta the next business day regardless of the payment </t>
  </si>
  <si>
    <t>Source: 2020 Operating Revenue Summaries</t>
  </si>
  <si>
    <t>DIVERSIFIED GAS &amp; OIL COR</t>
  </si>
  <si>
    <t>Delta</t>
  </si>
  <si>
    <t>Delta Payment</t>
  </si>
  <si>
    <t>Cash Working Capital - Purchased Gas and Transportation</t>
  </si>
  <si>
    <t>Purchased Gas and Transportation</t>
  </si>
  <si>
    <t>DIRECT DEPOSIT - Regular</t>
  </si>
  <si>
    <t>DIRECT DEPOSIT - Contract</t>
  </si>
  <si>
    <t>06/30/2020</t>
  </si>
  <si>
    <t>07/15/2020</t>
  </si>
  <si>
    <t>07/31/2020</t>
  </si>
  <si>
    <t>09/15/2020</t>
  </si>
  <si>
    <t>09/30/2020</t>
  </si>
  <si>
    <t>01/29/2020</t>
  </si>
  <si>
    <t>02/12/2020</t>
  </si>
  <si>
    <t>02/26/2020</t>
  </si>
  <si>
    <t>03/11/2020</t>
  </si>
  <si>
    <t>07/29/2020</t>
  </si>
  <si>
    <t>08/12/2020</t>
  </si>
  <si>
    <t>12/29/2020</t>
  </si>
  <si>
    <t>01/13/2020</t>
  </si>
  <si>
    <t>03/27/2020</t>
  </si>
  <si>
    <t>04/13/2020</t>
  </si>
  <si>
    <t>04/28/2020</t>
  </si>
  <si>
    <t>05/13/2020</t>
  </si>
  <si>
    <t>05/27/2020</t>
  </si>
  <si>
    <t>06/11/2020</t>
  </si>
  <si>
    <t>06/26/2020</t>
  </si>
  <si>
    <t>07/13/2020</t>
  </si>
  <si>
    <t>08/27/2020</t>
  </si>
  <si>
    <t>09/11/2020</t>
  </si>
  <si>
    <t>09/28/2020</t>
  </si>
  <si>
    <t>10/13/2020</t>
  </si>
  <si>
    <t>10/28/2020</t>
  </si>
  <si>
    <t>11/10/2020</t>
  </si>
  <si>
    <t>11/25/2020</t>
  </si>
  <si>
    <t>12/11/2020</t>
  </si>
  <si>
    <t>LAUREL COUNTY WATER DISTR</t>
  </si>
  <si>
    <t>Utilities - Water</t>
  </si>
  <si>
    <t xml:space="preserve">COLUMBIA GAS             </t>
  </si>
  <si>
    <t>Utilities-Electric &amp; Gas</t>
  </si>
  <si>
    <t>STOLL KEENON &amp; OGDEN  PLL</t>
  </si>
  <si>
    <t>Legal Services</t>
  </si>
  <si>
    <t>Building &amp; Grounds Maintenance</t>
  </si>
  <si>
    <t>KENTUCKY UTILITIES COMPAN</t>
  </si>
  <si>
    <t xml:space="preserve">CLARK ENERGY COOPERATIVE </t>
  </si>
  <si>
    <t xml:space="preserve">AT&amp;T                     </t>
  </si>
  <si>
    <t>Utilities- Phone</t>
  </si>
  <si>
    <t xml:space="preserve">MARTIN CONTRACTING INC   </t>
  </si>
  <si>
    <t xml:space="preserve">DARRELL L SAUNDERS       </t>
  </si>
  <si>
    <t xml:space="preserve">WINDSTREAM CORPORATION   </t>
  </si>
  <si>
    <t>KENTUCKY OIL &amp; GAS ASSOCI</t>
  </si>
  <si>
    <t>Industry Association Dues</t>
  </si>
  <si>
    <t xml:space="preserve">ITRON INC                </t>
  </si>
  <si>
    <t xml:space="preserve">ANDREA THORNSBURG        </t>
  </si>
  <si>
    <t xml:space="preserve">MILLS BROTHERS GARBAGE   </t>
  </si>
  <si>
    <t xml:space="preserve">BILLY RAY MOORE          </t>
  </si>
  <si>
    <t>CUMBERLAND VALLEY ELECTRI</t>
  </si>
  <si>
    <t xml:space="preserve">MADISON COUNTY HBA       </t>
  </si>
  <si>
    <t xml:space="preserve">JACKSON ENERGY ELECTRIC  </t>
  </si>
  <si>
    <t xml:space="preserve">MCCARTER &amp; ENGLISH LLP   </t>
  </si>
  <si>
    <t xml:space="preserve">SATCOM GLOBAL LTD        </t>
  </si>
  <si>
    <t>Utilities - Wireless</t>
  </si>
  <si>
    <t xml:space="preserve">AT&amp;T MOBILITY            </t>
  </si>
  <si>
    <t xml:space="preserve">AMERICAN MESSAGING       </t>
  </si>
  <si>
    <t>KNOX COUNTY UTILITY COMMI</t>
  </si>
  <si>
    <t>SOFTWARE INFORMATION SYST</t>
  </si>
  <si>
    <t xml:space="preserve">TIME WARNER              </t>
  </si>
  <si>
    <t>Misc. Outside Services</t>
  </si>
  <si>
    <t>MANCHESTER MUNICIPAL WATE</t>
  </si>
  <si>
    <t xml:space="preserve">CITY OF STANTON          </t>
  </si>
  <si>
    <t>CITY UTILITIES COMMISSION</t>
  </si>
  <si>
    <t xml:space="preserve">Office Furniture &amp; Equipment </t>
  </si>
  <si>
    <t xml:space="preserve">JELLICO ELECTRIC &amp; WATER </t>
  </si>
  <si>
    <t>BARBOURVILLE UTILITY COMM</t>
  </si>
  <si>
    <t xml:space="preserve">BLUEGRASS OFFICE SYSTEMS </t>
  </si>
  <si>
    <t>BEREA MUNICIPAL UTILITIES</t>
  </si>
  <si>
    <t>Miscellaneous Expense</t>
  </si>
  <si>
    <t xml:space="preserve">VERIZON WIRELESS         </t>
  </si>
  <si>
    <t xml:space="preserve">BLUE GRASS ENERGY        </t>
  </si>
  <si>
    <t xml:space="preserve">CSX TRANSPORTATION INC   </t>
  </si>
  <si>
    <t xml:space="preserve">WASTE CONNECTIONS OF KY  </t>
  </si>
  <si>
    <t>PINEVILLE UTILITY COMMISS</t>
  </si>
  <si>
    <t xml:space="preserve">SUE DEZARN               </t>
  </si>
  <si>
    <t>WINCHESTER MUNICIPAL UTIL</t>
  </si>
  <si>
    <t xml:space="preserve">GIBBONS CONSTRUCTION INC </t>
  </si>
  <si>
    <t>NATURAL ENERGY ENGINEERIN</t>
  </si>
  <si>
    <t xml:space="preserve">CITY OF NICHOLASVILLE    </t>
  </si>
  <si>
    <t>NORTH MANCHESTER WATER AS</t>
  </si>
  <si>
    <t>LONDON UTILITY COMMISSION</t>
  </si>
  <si>
    <t xml:space="preserve">IRON MOUNTAIN INC        </t>
  </si>
  <si>
    <t xml:space="preserve">OPEN TEXT INC            </t>
  </si>
  <si>
    <t>Computer &amp; Software Maint</t>
  </si>
  <si>
    <t>MISC  SUPPLIES</t>
  </si>
  <si>
    <t>KENTUCKY UTILITIES COMPANY</t>
  </si>
  <si>
    <t>UTILITIES - ELECTRIC/GAS</t>
  </si>
  <si>
    <t>WASTE CONNECTIONS OF KY</t>
  </si>
  <si>
    <t>UTILITIES - OTHER</t>
  </si>
  <si>
    <t>BLUE GRASS ENERGY</t>
  </si>
  <si>
    <t>CUMBERLAND VALLEY ELECTRIC INC</t>
  </si>
  <si>
    <t>CLARK ENERGY COOPERATIVE</t>
  </si>
  <si>
    <t>ANDREA THORNSBURG</t>
  </si>
  <si>
    <t>BUILDING/GROUNDS MAINTENANCE</t>
  </si>
  <si>
    <t>MATERIAL EXP - NONSTOCK</t>
  </si>
  <si>
    <t>MARTIN CONTRACTING INC</t>
  </si>
  <si>
    <t>GR/IR CLEARING</t>
  </si>
  <si>
    <t>AT&amp;T</t>
  </si>
  <si>
    <t>UTILITIES - PHONE</t>
  </si>
  <si>
    <t>BARBOURVILLE UTILITY COMMISSION</t>
  </si>
  <si>
    <t>BILLY RAY MOORE</t>
  </si>
  <si>
    <t>COMMONWEALTH TECHNOLOGY</t>
  </si>
  <si>
    <t>OFFICE EQUIPMENT MAINTENANCE</t>
  </si>
  <si>
    <t>DELL BUSINESS CREDIT</t>
  </si>
  <si>
    <t>WINDSTREAM CORPORATION</t>
  </si>
  <si>
    <t>WILLIS SMITH</t>
  </si>
  <si>
    <t>KNOX COUNTY UTILITY COMMISSION</t>
  </si>
  <si>
    <t>UTILITIES - WATER</t>
  </si>
  <si>
    <t>JACKSON ENERGY ELECTRIC</t>
  </si>
  <si>
    <t>MISSION CRITICAL SERVICES INC</t>
  </si>
  <si>
    <t>COMPUTER &amp; SOFTWARE MAINTENANCE</t>
  </si>
  <si>
    <t>COLUMBIA GAS</t>
  </si>
  <si>
    <t>CITY OF NICHOLASVILLE</t>
  </si>
  <si>
    <t>VERIZON WIRELESS</t>
  </si>
  <si>
    <t>UTILITIES - WIRELESS</t>
  </si>
  <si>
    <t>BLUEGRASS INTEGRATED COMMUNICATIONS</t>
  </si>
  <si>
    <t>KING BEE DELIVERY LLC</t>
  </si>
  <si>
    <t>MISC OUTSIDE SERVICES</t>
  </si>
  <si>
    <t>HOLSTON GASES</t>
  </si>
  <si>
    <t>MANCHESTER MUNICIPAL WATER WORKS</t>
  </si>
  <si>
    <t>STOLL KEENON &amp; OGDEN  PLLC</t>
  </si>
  <si>
    <t>LEGAL SERVICES</t>
  </si>
  <si>
    <t>AMERICAN MESSAGING</t>
  </si>
  <si>
    <t>BLEVINS HAULING LLC</t>
  </si>
  <si>
    <t>AT&amp;T MOBILITY-EOD</t>
  </si>
  <si>
    <t>TIME WARNER</t>
  </si>
  <si>
    <t>SATCOM GLOBAL LTD</t>
  </si>
  <si>
    <t>CSX TRANSPORTATION INC</t>
  </si>
  <si>
    <t>RENT EXP - LANDS&amp;RIGHTS</t>
  </si>
  <si>
    <t>CITY OF WILLIAMSBURG - WATER</t>
  </si>
  <si>
    <t>RUMPKE OF KENTUCKY INC</t>
  </si>
  <si>
    <t>JELLICO ELECTRIC &amp; WATER SYSTEMS</t>
  </si>
  <si>
    <t>Delta Payment Date</t>
  </si>
  <si>
    <t xml:space="preserve">CAPITAL LINK CONSULTANTS </t>
  </si>
  <si>
    <t>Consulting</t>
  </si>
  <si>
    <t>computer software</t>
  </si>
  <si>
    <t>Waste</t>
  </si>
  <si>
    <t>Services</t>
  </si>
  <si>
    <t>Average Billing Lag for Billinf System Gas Revenues</t>
  </si>
  <si>
    <t>Average Daily Revenues &amp; Pass-Through Items (Line 14 ÷ 365 days)</t>
  </si>
  <si>
    <t>Annual Performance Incentive</t>
  </si>
  <si>
    <t xml:space="preserve">Delta Funding </t>
  </si>
  <si>
    <t>(5) = (4)-(2)</t>
  </si>
  <si>
    <t>(6)=(3)+(5)</t>
  </si>
  <si>
    <t>Annual Performance Incentives</t>
  </si>
  <si>
    <t>Cash Working Capital - Performance Incentives</t>
  </si>
  <si>
    <t>Lead Days (weighted)</t>
  </si>
  <si>
    <t>Total Payroll Direct Deposited Lead</t>
  </si>
  <si>
    <t>Total Payroll Contract Direct Deposited Lead</t>
  </si>
  <si>
    <t>Total Payroll Lead</t>
  </si>
  <si>
    <t>* Note:  401(K) ammounts also paid in accordance with payroll schedule.</t>
  </si>
  <si>
    <t xml:space="preserve">December 15th of the tax year. </t>
  </si>
  <si>
    <t>Medicare - Employer</t>
  </si>
  <si>
    <t>01/16/2020</t>
  </si>
  <si>
    <t>01/30/2020</t>
  </si>
  <si>
    <t>02/13/2020</t>
  </si>
  <si>
    <t>02/27/2020</t>
  </si>
  <si>
    <t>03/12/2020</t>
  </si>
  <si>
    <t>03/26/2020</t>
  </si>
  <si>
    <t>04/08/2020</t>
  </si>
  <si>
    <t>Federal Unemployment (Contract)</t>
  </si>
  <si>
    <t>State Unemployment</t>
  </si>
  <si>
    <t>State Unemployment (Contract)</t>
  </si>
  <si>
    <t>Grand Total</t>
  </si>
  <si>
    <t>LONG-TERM DEBT:  Notes (External)</t>
  </si>
  <si>
    <t xml:space="preserve">Senior Secured Notes </t>
  </si>
  <si>
    <t xml:space="preserve">Kentucky 2014 Note Portion due PNG Co </t>
  </si>
  <si>
    <t>9/8/21 - sent this tab &amp; invoices to Steve Seelye</t>
  </si>
  <si>
    <t>Delta Payables to PNG</t>
  </si>
  <si>
    <t>Average Lead Days When Delta Reimburses PNG</t>
  </si>
  <si>
    <t>PKY Payables to PNG</t>
  </si>
  <si>
    <t>Average Lead Days When PKY Reimburses PNG</t>
  </si>
  <si>
    <t>9/9/21 - sent this tab to Steve Seelye</t>
  </si>
  <si>
    <t>CITY OF SALT LICK</t>
  </si>
  <si>
    <t>CITY OF OWINGSVILLE</t>
  </si>
  <si>
    <t>CITY OF SHARPSBURG</t>
  </si>
  <si>
    <t>CITY OF WILLIAMSBURG</t>
  </si>
  <si>
    <t>CITY OF LONDON</t>
  </si>
  <si>
    <t>CITY OF RICHMOND</t>
  </si>
  <si>
    <t>CITY OF CORBIN</t>
  </si>
  <si>
    <t>CITY OF MT OLIVET</t>
  </si>
  <si>
    <t>CITY OF BEREA FINANCE DEPARTMENT</t>
  </si>
  <si>
    <t>CITY OF LAKEVIEW HEIGHTS</t>
  </si>
  <si>
    <t>CITY OF MANCHESTER</t>
  </si>
  <si>
    <t>CITY OF BARBOURVILLE</t>
  </si>
  <si>
    <t>SHERIFF OF LAUREL COUNTY</t>
  </si>
  <si>
    <t>SHERIFF OF ROBERTSON COUNTY</t>
  </si>
  <si>
    <t>SHERIFF OF CLAY COUNTY</t>
  </si>
  <si>
    <t>SHERIFF OF MENIFEE COUNTY</t>
  </si>
  <si>
    <t>SHERIFF OF WHITLEY COUNTY</t>
  </si>
  <si>
    <t>SHERIFF OF GARRARD COUNTY</t>
  </si>
  <si>
    <t>SHERIFF OF BELL COUNTY</t>
  </si>
  <si>
    <t>SHERIFF OF BATH COUNTY</t>
  </si>
  <si>
    <t>SHERIFF OF LEE COUNTY</t>
  </si>
  <si>
    <t>SHERIFF OF CLARK COUNTY</t>
  </si>
  <si>
    <t>SHERIFF OF FLEMING COUNTY</t>
  </si>
  <si>
    <t>SHERIFF OF MASON COUNTY</t>
  </si>
  <si>
    <t>SHERIFF OF ROWAN COUNTY</t>
  </si>
  <si>
    <t>SHERIFF OF ESTILL COUNTY</t>
  </si>
  <si>
    <t>SHERIFF OF MADISON COUNTY</t>
  </si>
  <si>
    <t>SHERIFF OF JACKSON COUNTY</t>
  </si>
  <si>
    <t>SHERIFF OF FAYETTE COUNTY</t>
  </si>
  <si>
    <t>SHERIFF OF JESSAMINE COUNTY</t>
  </si>
  <si>
    <t>SHERIFF OF KNOX COUNTY</t>
  </si>
  <si>
    <t>SHERIFF OF POWELL COUNTY</t>
  </si>
  <si>
    <t>WILLIAMSBURG INDEPENDENT</t>
  </si>
  <si>
    <t>TREASURER CITY OF WILMORE</t>
  </si>
  <si>
    <t>Notes:  All payments for 2020 service period are included.</t>
  </si>
  <si>
    <t>9/9/21 - sent this tab to Steve Seelye with Invoices</t>
  </si>
  <si>
    <t>VEHICLE TAX: EXCISE TAX ON COMPRESSED NATURAL GAS - not applicable to Delta</t>
  </si>
  <si>
    <t>City of Corbin</t>
  </si>
  <si>
    <t>City of Manchester</t>
  </si>
  <si>
    <t>Madison County</t>
  </si>
  <si>
    <t>City of Stanton</t>
  </si>
  <si>
    <t xml:space="preserve">Notes:  Since the vehicle related tax payments are only made quarterly, all payments were included in our analysis.  </t>
  </si>
  <si>
    <t xml:space="preserve">tax that Delta collects from customers and remits to the state; therefore, it does not impact Delta's income statement. </t>
  </si>
  <si>
    <t>Total 2020 Activity (Credits to Liability) =</t>
  </si>
  <si>
    <t>tax that Delta collects from customers and remits to the state, which then remits payments to the localities; therefore, it does not impact Delta's income statement.</t>
  </si>
  <si>
    <t>LEXINGTON FAYETTE COUNTY URBAN  CO GOV</t>
  </si>
  <si>
    <t>CITY OF JEFFERSONVILLE</t>
  </si>
  <si>
    <t>CITY OF BEATTYVILLE</t>
  </si>
  <si>
    <t>CITY OF BEREA</t>
  </si>
  <si>
    <t>CITY OF NORTH MIDDLETOWN</t>
  </si>
  <si>
    <t>CITY OF CLAY CITY</t>
  </si>
  <si>
    <t xml:space="preserve">Notes:  All franchise fee payments are included. </t>
  </si>
  <si>
    <t>Franchise fees are pass-through liabilities that the company collects and remits, and therefore, they do not impact the company's income statement.</t>
  </si>
  <si>
    <t>Current:  Federal and State</t>
  </si>
  <si>
    <t>Attachment to PSC 3-29</t>
  </si>
  <si>
    <t>Witness:  William Steven Seelye Seelye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</si>
</sst>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[$-409]mmmm\-yy;@"/>
    <numFmt numFmtId="167" formatCode="mm/dd/yy;@"/>
    <numFmt numFmtId="168" formatCode="_(&quot;$&quot;* #,##0_);_(&quot;$&quot;* \(#,##0\);_(&quot;$&quot;* &quot;-&quot;??_);_(@_)"/>
    <numFmt numFmtId="169" formatCode="mm/dd/yy"/>
    <numFmt numFmtId="170" formatCode="m/d/yy;@"/>
    <numFmt numFmtId="171" formatCode="dd\-mmm\-yy_)"/>
    <numFmt numFmtId="172" formatCode="m/d/yyyy;@"/>
    <numFmt numFmtId="173" formatCode="_(* #,##0.0_);_(* \(#,##0.0\);&quot;&quot;;_(@_)"/>
    <numFmt numFmtId="174" formatCode="#,##0.0000_);[Red]\(#,##0.0000\);&quot;&quot;"/>
    <numFmt numFmtId="175" formatCode="_(&quot;$&quot;* #,##0.00_);[Red]_(&quot;$&quot;* \(#,##0.00\);&quot;&quot;"/>
    <numFmt numFmtId="176" formatCode="#,##0.0"/>
    <numFmt numFmtId="177" formatCode="_(* #,##0_);[Red]_(* \(#,##0\);&quot;&quot;"/>
    <numFmt numFmtId="178" formatCode="0.00_)"/>
    <numFmt numFmtId="179" formatCode="[Blue]#,##0,_);[Red]\(#,##0,\)"/>
    <numFmt numFmtId="180" formatCode="###,000"/>
    <numFmt numFmtId="181" formatCode="General;;"/>
    <numFmt numFmtId="182" formatCode="@*."/>
    <numFmt numFmtId="183" formatCode="mm/d/yyyy;@"/>
    <numFmt numFmtId="184" formatCode="mm/dd/yyyy;@"/>
    <numFmt numFmtId="185" formatCode="mm/dd/yyyy"/>
    <numFmt numFmtId="186" formatCode="mmmm\ yyyy"/>
    <numFmt numFmtId="187" formatCode="_(&quot;$&quot;* #,##0_);_(&quot;$&quot;* \(#,##0\);_(&quot;$&quot;* &quot;-&quot;???_);_(@_)"/>
    <numFmt numFmtId="188" formatCode="0.0"/>
  </numFmts>
  <fonts count="107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Helv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u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Arial MT"/>
    </font>
    <font>
      <sz val="10"/>
      <name val="Times New Roman"/>
      <family val="1"/>
    </font>
    <font>
      <sz val="12"/>
      <name val="Tms Rmn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8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b/>
      <i/>
      <sz val="10"/>
      <name val="Tms Rmn"/>
    </font>
    <font>
      <b/>
      <sz val="12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 MT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name val="Tms Rmn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name val="Palatino"/>
      <family val="1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2"/>
      <name val="新細明體"/>
      <family val="1"/>
      <charset val="136"/>
    </font>
    <font>
      <b/>
      <u val="doubleAccounting"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sz val="1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b/>
      <u val="singleAccounting"/>
      <sz val="12"/>
      <color theme="1"/>
      <name val="Arial"/>
      <family val="2"/>
    </font>
    <font>
      <i/>
      <u/>
      <sz val="12"/>
      <color theme="1"/>
      <name val="Arial"/>
      <family val="2"/>
    </font>
    <font>
      <i/>
      <u/>
      <sz val="12"/>
      <name val="Arial"/>
      <family val="2"/>
    </font>
    <font>
      <sz val="10"/>
      <color theme="1"/>
      <name val="Calibri"/>
      <family val="2"/>
    </font>
    <font>
      <sz val="12"/>
      <color rgb="FF0000FF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u val="singleAccounting"/>
      <sz val="12"/>
      <color rgb="FF0000FF"/>
      <name val="Arial"/>
      <family val="2"/>
    </font>
    <font>
      <sz val="12"/>
      <color rgb="FFB2B2B2"/>
      <name val="Arial"/>
      <family val="2"/>
    </font>
    <font>
      <b/>
      <sz val="12"/>
      <color indexed="10"/>
      <name val="Arial"/>
      <family val="2"/>
    </font>
    <font>
      <b/>
      <sz val="12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808080"/>
      </left>
      <right style="thin">
        <color theme="0"/>
      </right>
      <top style="thin">
        <color rgb="FF80808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theme="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theme="0"/>
      </bottom>
      <diagonal/>
    </border>
    <border>
      <left/>
      <right/>
      <top style="thin">
        <color rgb="FF808080"/>
      </top>
      <bottom style="thin">
        <color theme="0"/>
      </bottom>
      <diagonal/>
    </border>
    <border>
      <left style="thin">
        <color rgb="FF80808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96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center"/>
    </xf>
    <xf numFmtId="0" fontId="8" fillId="0" borderId="0"/>
    <xf numFmtId="0" fontId="19" fillId="0" borderId="0"/>
    <xf numFmtId="0" fontId="6" fillId="0" borderId="0"/>
    <xf numFmtId="0" fontId="6" fillId="0" borderId="0"/>
    <xf numFmtId="41" fontId="23" fillId="0" borderId="0" applyFont="0" applyFill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4" fillId="1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4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2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4" fillId="2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4" fillId="1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7">
      <alignment horizontal="center" vertical="center"/>
    </xf>
    <xf numFmtId="3" fontId="26" fillId="34" borderId="0" applyBorder="0">
      <alignment horizontal="right"/>
      <protection locked="0"/>
    </xf>
    <xf numFmtId="0" fontId="27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35" borderId="8" applyNumberFormat="0" applyAlignment="0" applyProtection="0"/>
    <xf numFmtId="0" fontId="29" fillId="36" borderId="9" applyNumberFormat="0" applyAlignment="0" applyProtection="0"/>
    <xf numFmtId="0" fontId="30" fillId="37" borderId="0">
      <alignment horizontal="left"/>
    </xf>
    <xf numFmtId="0" fontId="31" fillId="37" borderId="0">
      <alignment horizontal="right"/>
    </xf>
    <xf numFmtId="0" fontId="32" fillId="34" borderId="0">
      <alignment horizontal="center"/>
    </xf>
    <xf numFmtId="0" fontId="31" fillId="37" borderId="0">
      <alignment horizontal="right"/>
    </xf>
    <xf numFmtId="0" fontId="33" fillId="34" borderId="0">
      <alignment horizontal="left"/>
    </xf>
    <xf numFmtId="41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4" fillId="0" borderId="0">
      <alignment horizontal="left" vertical="center" indent="1"/>
    </xf>
    <xf numFmtId="17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8" fontId="35" fillId="0" borderId="10">
      <protection locked="0"/>
    </xf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6" fillId="0" borderId="11" applyFont="0" applyFill="0" applyBorder="0" applyAlignment="0" applyProtection="0"/>
    <xf numFmtId="0" fontId="21" fillId="0" borderId="0"/>
    <xf numFmtId="0" fontId="21" fillId="0" borderId="0"/>
    <xf numFmtId="0" fontId="21" fillId="0" borderId="12"/>
    <xf numFmtId="6" fontId="36" fillId="0" borderId="0">
      <protection locked="0"/>
    </xf>
    <xf numFmtId="0" fontId="37" fillId="0" borderId="0" applyNumberFormat="0">
      <protection locked="0"/>
    </xf>
    <xf numFmtId="176" fontId="10" fillId="38" borderId="0" applyFill="0" applyBorder="0" applyProtection="0"/>
    <xf numFmtId="0" fontId="38" fillId="0" borderId="0" applyNumberFormat="0" applyFill="0" applyBorder="0" applyAlignment="0" applyProtection="0"/>
    <xf numFmtId="0" fontId="6" fillId="0" borderId="0">
      <protection locked="0"/>
    </xf>
    <xf numFmtId="0" fontId="39" fillId="17" borderId="0" applyNumberFormat="0" applyBorder="0" applyAlignment="0" applyProtection="0"/>
    <xf numFmtId="38" fontId="3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0" borderId="1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41" fillId="0" borderId="0">
      <alignment horizontal="center"/>
    </xf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0" fontId="37" fillId="40" borderId="18" applyNumberFormat="0" applyBorder="0" applyAlignment="0" applyProtection="0"/>
    <xf numFmtId="0" fontId="48" fillId="20" borderId="8" applyNumberFormat="0" applyAlignment="0" applyProtection="0"/>
    <xf numFmtId="0" fontId="49" fillId="0" borderId="0"/>
    <xf numFmtId="41" fontId="50" fillId="0" borderId="0">
      <alignment horizontal="left"/>
    </xf>
    <xf numFmtId="0" fontId="51" fillId="41" borderId="12"/>
    <xf numFmtId="0" fontId="52" fillId="0" borderId="0" applyNumberFormat="0">
      <alignment horizontal="left"/>
    </xf>
    <xf numFmtId="0" fontId="30" fillId="37" borderId="0">
      <alignment horizontal="left"/>
    </xf>
    <xf numFmtId="0" fontId="53" fillId="34" borderId="0">
      <alignment horizontal="left"/>
    </xf>
    <xf numFmtId="0" fontId="37" fillId="39" borderId="0"/>
    <xf numFmtId="0" fontId="54" fillId="0" borderId="19" applyNumberFormat="0" applyFill="0" applyAlignment="0" applyProtection="0"/>
    <xf numFmtId="177" fontId="6" fillId="0" borderId="20" applyFont="0" applyFill="0" applyBorder="0" applyAlignment="0" applyProtection="0"/>
    <xf numFmtId="0" fontId="55" fillId="42" borderId="0" applyNumberFormat="0" applyBorder="0" applyAlignment="0" applyProtection="0"/>
    <xf numFmtId="37" fontId="56" fillId="0" borderId="0"/>
    <xf numFmtId="3" fontId="37" fillId="39" borderId="0" applyNumberFormat="0"/>
    <xf numFmtId="178" fontId="5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20" fillId="0" borderId="0"/>
    <xf numFmtId="0" fontId="15" fillId="0" borderId="0"/>
    <xf numFmtId="0" fontId="6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6" fillId="0" borderId="0" applyFill="0"/>
    <xf numFmtId="37" fontId="58" fillId="0" borderId="0"/>
    <xf numFmtId="37" fontId="19" fillId="0" borderId="0"/>
    <xf numFmtId="0" fontId="7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24" fillId="43" borderId="21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24" fillId="43" borderId="21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0" fontId="14" fillId="2" borderId="6" applyNumberFormat="0" applyFont="0" applyAlignment="0" applyProtection="0"/>
    <xf numFmtId="43" fontId="59" fillId="0" borderId="0"/>
    <xf numFmtId="179" fontId="60" fillId="0" borderId="0"/>
    <xf numFmtId="0" fontId="61" fillId="35" borderId="22" applyNumberFormat="0" applyAlignment="0" applyProtection="0"/>
    <xf numFmtId="40" fontId="62" fillId="44" borderId="0">
      <alignment horizontal="right"/>
    </xf>
    <xf numFmtId="0" fontId="63" fillId="40" borderId="0">
      <alignment horizontal="center"/>
    </xf>
    <xf numFmtId="0" fontId="30" fillId="45" borderId="11"/>
    <xf numFmtId="0" fontId="64" fillId="0" borderId="0" applyBorder="0">
      <alignment horizontal="centerContinuous"/>
    </xf>
    <xf numFmtId="0" fontId="65" fillId="0" borderId="0" applyBorder="0">
      <alignment horizontal="centerContinuous"/>
    </xf>
    <xf numFmtId="0" fontId="22" fillId="0" borderId="23" applyNumberFormat="0" applyAlignment="0" applyProtection="0"/>
    <xf numFmtId="0" fontId="20" fillId="46" borderId="0" applyNumberFormat="0" applyFont="0" applyBorder="0" applyAlignment="0" applyProtection="0"/>
    <xf numFmtId="0" fontId="37" fillId="47" borderId="24" applyNumberFormat="0" applyFont="0" applyBorder="0" applyAlignment="0" applyProtection="0">
      <alignment horizontal="center"/>
    </xf>
    <xf numFmtId="0" fontId="37" fillId="33" borderId="24" applyNumberFormat="0" applyFont="0" applyBorder="0" applyAlignment="0" applyProtection="0">
      <alignment horizontal="center"/>
    </xf>
    <xf numFmtId="0" fontId="20" fillId="0" borderId="25" applyNumberFormat="0" applyAlignment="0" applyProtection="0"/>
    <xf numFmtId="0" fontId="20" fillId="0" borderId="26" applyNumberFormat="0" applyAlignment="0" applyProtection="0"/>
    <xf numFmtId="0" fontId="22" fillId="0" borderId="27" applyNumberForma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7" fillId="0" borderId="5">
      <alignment horizontal="center"/>
    </xf>
    <xf numFmtId="3" fontId="66" fillId="0" borderId="0" applyFont="0" applyFill="0" applyBorder="0" applyAlignment="0" applyProtection="0"/>
    <xf numFmtId="0" fontId="66" fillId="48" borderId="0" applyNumberFormat="0" applyFont="0" applyBorder="0" applyAlignment="0" applyProtection="0"/>
    <xf numFmtId="0" fontId="53" fillId="42" borderId="0">
      <alignment horizontal="center"/>
    </xf>
    <xf numFmtId="49" fontId="18" fillId="34" borderId="0">
      <alignment horizontal="center"/>
    </xf>
    <xf numFmtId="0" fontId="21" fillId="0" borderId="0"/>
    <xf numFmtId="0" fontId="21" fillId="0" borderId="0"/>
    <xf numFmtId="0" fontId="31" fillId="37" borderId="0">
      <alignment horizontal="center"/>
    </xf>
    <xf numFmtId="0" fontId="31" fillId="37" borderId="0">
      <alignment horizontal="centerContinuous"/>
    </xf>
    <xf numFmtId="0" fontId="68" fillId="34" borderId="0">
      <alignment horizontal="left"/>
    </xf>
    <xf numFmtId="49" fontId="68" fillId="34" borderId="0">
      <alignment horizontal="center"/>
    </xf>
    <xf numFmtId="0" fontId="30" fillId="37" borderId="0">
      <alignment horizontal="left"/>
    </xf>
    <xf numFmtId="49" fontId="68" fillId="34" borderId="0">
      <alignment horizontal="left"/>
    </xf>
    <xf numFmtId="0" fontId="30" fillId="37" borderId="0">
      <alignment horizontal="centerContinuous"/>
    </xf>
    <xf numFmtId="0" fontId="30" fillId="37" borderId="0">
      <alignment horizontal="right"/>
    </xf>
    <xf numFmtId="49" fontId="53" fillId="34" borderId="0">
      <alignment horizontal="left"/>
    </xf>
    <xf numFmtId="0" fontId="31" fillId="37" borderId="0">
      <alignment horizontal="right"/>
    </xf>
    <xf numFmtId="0" fontId="68" fillId="20" borderId="0">
      <alignment horizontal="center"/>
    </xf>
    <xf numFmtId="0" fontId="69" fillId="20" borderId="0">
      <alignment horizontal="center"/>
    </xf>
    <xf numFmtId="0" fontId="70" fillId="0" borderId="28" applyNumberFormat="0" applyFont="0" applyFill="0" applyAlignment="0" applyProtection="0"/>
    <xf numFmtId="180" fontId="71" fillId="0" borderId="29" applyNumberFormat="0" applyProtection="0">
      <alignment horizontal="right" vertical="center"/>
    </xf>
    <xf numFmtId="180" fontId="72" fillId="0" borderId="30" applyNumberFormat="0" applyProtection="0">
      <alignment horizontal="right" vertical="center"/>
    </xf>
    <xf numFmtId="0" fontId="72" fillId="49" borderId="28" applyNumberFormat="0" applyAlignment="0" applyProtection="0">
      <alignment horizontal="left" vertical="center" indent="1"/>
    </xf>
    <xf numFmtId="0" fontId="73" fillId="50" borderId="30" applyNumberFormat="0" applyAlignment="0" applyProtection="0">
      <alignment horizontal="left" vertical="center" indent="1"/>
    </xf>
    <xf numFmtId="0" fontId="73" fillId="50" borderId="30" applyNumberFormat="0" applyAlignment="0" applyProtection="0">
      <alignment horizontal="left" vertical="center" indent="1"/>
    </xf>
    <xf numFmtId="0" fontId="74" fillId="0" borderId="31" applyNumberFormat="0" applyFill="0" applyBorder="0" applyAlignment="0" applyProtection="0"/>
    <xf numFmtId="180" fontId="75" fillId="51" borderId="32" applyNumberFormat="0" applyBorder="0" applyAlignment="0" applyProtection="0">
      <alignment horizontal="right" vertical="center" indent="1"/>
    </xf>
    <xf numFmtId="180" fontId="76" fillId="52" borderId="32" applyNumberFormat="0" applyBorder="0" applyAlignment="0" applyProtection="0">
      <alignment horizontal="right" vertical="center" indent="1"/>
    </xf>
    <xf numFmtId="180" fontId="76" fillId="53" borderId="32" applyNumberFormat="0" applyBorder="0" applyAlignment="0" applyProtection="0">
      <alignment horizontal="right" vertical="center" indent="1"/>
    </xf>
    <xf numFmtId="180" fontId="77" fillId="54" borderId="32" applyNumberFormat="0" applyBorder="0" applyAlignment="0" applyProtection="0">
      <alignment horizontal="right" vertical="center" indent="1"/>
    </xf>
    <xf numFmtId="180" fontId="77" fillId="55" borderId="32" applyNumberFormat="0" applyBorder="0" applyAlignment="0" applyProtection="0">
      <alignment horizontal="right" vertical="center" indent="1"/>
    </xf>
    <xf numFmtId="180" fontId="77" fillId="56" borderId="32" applyNumberFormat="0" applyBorder="0" applyAlignment="0" applyProtection="0">
      <alignment horizontal="right" vertical="center" indent="1"/>
    </xf>
    <xf numFmtId="180" fontId="78" fillId="57" borderId="32" applyNumberFormat="0" applyBorder="0" applyAlignment="0" applyProtection="0">
      <alignment horizontal="right" vertical="center" indent="1"/>
    </xf>
    <xf numFmtId="180" fontId="78" fillId="58" borderId="32" applyNumberFormat="0" applyBorder="0" applyAlignment="0" applyProtection="0">
      <alignment horizontal="right" vertical="center" indent="1"/>
    </xf>
    <xf numFmtId="180" fontId="78" fillId="59" borderId="32" applyNumberFormat="0" applyBorder="0" applyAlignment="0" applyProtection="0">
      <alignment horizontal="right" vertical="center" indent="1"/>
    </xf>
    <xf numFmtId="0" fontId="73" fillId="60" borderId="28" applyNumberFormat="0" applyAlignment="0" applyProtection="0">
      <alignment horizontal="left" vertical="center" indent="1"/>
    </xf>
    <xf numFmtId="0" fontId="73" fillId="61" borderId="28" applyNumberFormat="0" applyAlignment="0" applyProtection="0">
      <alignment horizontal="left" vertical="center" indent="1"/>
    </xf>
    <xf numFmtId="0" fontId="73" fillId="62" borderId="28" applyNumberFormat="0" applyAlignment="0" applyProtection="0">
      <alignment horizontal="left" vertical="center" indent="1"/>
    </xf>
    <xf numFmtId="0" fontId="73" fillId="63" borderId="28" applyNumberFormat="0" applyAlignment="0" applyProtection="0">
      <alignment horizontal="left" vertical="center" indent="1"/>
    </xf>
    <xf numFmtId="0" fontId="73" fillId="64" borderId="30" applyNumberFormat="0" applyAlignment="0" applyProtection="0">
      <alignment horizontal="left" vertical="center" indent="1"/>
    </xf>
    <xf numFmtId="180" fontId="71" fillId="63" borderId="29" applyNumberFormat="0" applyBorder="0" applyProtection="0">
      <alignment horizontal="right" vertical="center"/>
    </xf>
    <xf numFmtId="180" fontId="72" fillId="63" borderId="30" applyNumberFormat="0" applyBorder="0" applyProtection="0">
      <alignment horizontal="right" vertical="center"/>
    </xf>
    <xf numFmtId="180" fontId="71" fillId="65" borderId="28" applyNumberFormat="0" applyAlignment="0" applyProtection="0">
      <alignment horizontal="left" vertical="center" indent="1"/>
    </xf>
    <xf numFmtId="0" fontId="72" fillId="49" borderId="30" applyNumberFormat="0" applyAlignment="0" applyProtection="0">
      <alignment horizontal="left" vertical="center" indent="1"/>
    </xf>
    <xf numFmtId="0" fontId="73" fillId="64" borderId="30" applyNumberFormat="0" applyAlignment="0" applyProtection="0">
      <alignment horizontal="left" vertical="center" indent="1"/>
    </xf>
    <xf numFmtId="180" fontId="72" fillId="64" borderId="30" applyNumberFormat="0" applyProtection="0">
      <alignment horizontal="right" vertical="center"/>
    </xf>
    <xf numFmtId="0" fontId="79" fillId="66" borderId="33"/>
    <xf numFmtId="0" fontId="80" fillId="0" borderId="0" applyNumberFormat="0">
      <alignment horizontal="left"/>
    </xf>
    <xf numFmtId="0" fontId="21" fillId="0" borderId="12"/>
    <xf numFmtId="0" fontId="21" fillId="0" borderId="12"/>
    <xf numFmtId="0" fontId="81" fillId="37" borderId="0"/>
    <xf numFmtId="0" fontId="81" fillId="37" borderId="0"/>
    <xf numFmtId="0" fontId="82" fillId="0" borderId="0" applyNumberFormat="0" applyFill="0" applyBorder="0" applyAlignment="0" applyProtection="0"/>
    <xf numFmtId="181" fontId="83" fillId="0" borderId="0">
      <alignment horizontal="center"/>
    </xf>
    <xf numFmtId="0" fontId="84" fillId="0" borderId="34" applyNumberFormat="0" applyFill="0" applyAlignment="0" applyProtection="0"/>
    <xf numFmtId="0" fontId="51" fillId="0" borderId="35"/>
    <xf numFmtId="0" fontId="51" fillId="0" borderId="35"/>
    <xf numFmtId="0" fontId="51" fillId="0" borderId="12"/>
    <xf numFmtId="0" fontId="51" fillId="0" borderId="12"/>
    <xf numFmtId="37" fontId="37" fillId="67" borderId="0" applyNumberFormat="0" applyBorder="0" applyAlignment="0" applyProtection="0"/>
    <xf numFmtId="37" fontId="37" fillId="0" borderId="0"/>
    <xf numFmtId="37" fontId="37" fillId="67" borderId="0" applyNumberFormat="0" applyBorder="0" applyAlignment="0" applyProtection="0"/>
    <xf numFmtId="3" fontId="69" fillId="0" borderId="17" applyProtection="0"/>
    <xf numFmtId="0" fontId="85" fillId="34" borderId="0">
      <alignment horizontal="center"/>
    </xf>
    <xf numFmtId="0" fontId="86" fillId="0" borderId="0" applyNumberFormat="0" applyFill="0" applyBorder="0" applyAlignment="0" applyProtection="0"/>
    <xf numFmtId="0" fontId="87" fillId="0" borderId="0"/>
    <xf numFmtId="0" fontId="91" fillId="0" borderId="0"/>
    <xf numFmtId="9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>
      <alignment vertical="center"/>
    </xf>
    <xf numFmtId="0" fontId="6" fillId="0" borderId="0"/>
    <xf numFmtId="44" fontId="14" fillId="0" borderId="0" applyFont="0" applyFill="0" applyBorder="0" applyAlignment="0" applyProtection="0"/>
    <xf numFmtId="0" fontId="37" fillId="0" borderId="0" applyNumberFormat="0">
      <protection locked="0"/>
    </xf>
    <xf numFmtId="38" fontId="37" fillId="39" borderId="0" applyNumberFormat="0" applyBorder="0" applyAlignment="0" applyProtection="0"/>
    <xf numFmtId="10" fontId="37" fillId="40" borderId="18" applyNumberFormat="0" applyBorder="0" applyAlignment="0" applyProtection="0"/>
    <xf numFmtId="0" fontId="37" fillId="39" borderId="0"/>
    <xf numFmtId="3" fontId="37" fillId="39" borderId="0" applyNumberFormat="0"/>
    <xf numFmtId="0" fontId="37" fillId="47" borderId="24" applyNumberFormat="0" applyFont="0" applyBorder="0" applyAlignment="0" applyProtection="0">
      <alignment horizontal="center"/>
    </xf>
    <xf numFmtId="0" fontId="37" fillId="33" borderId="24" applyNumberFormat="0" applyFont="0" applyBorder="0" applyAlignment="0" applyProtection="0">
      <alignment horizontal="center"/>
    </xf>
    <xf numFmtId="37" fontId="37" fillId="67" borderId="0" applyNumberFormat="0" applyBorder="0" applyAlignment="0" applyProtection="0"/>
    <xf numFmtId="37" fontId="37" fillId="0" borderId="0"/>
    <xf numFmtId="0" fontId="4" fillId="0" borderId="0"/>
    <xf numFmtId="0" fontId="4" fillId="0" borderId="0"/>
    <xf numFmtId="37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97" fillId="0" borderId="0"/>
    <xf numFmtId="41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6" fillId="0" borderId="0"/>
    <xf numFmtId="41" fontId="6" fillId="0" borderId="0"/>
    <xf numFmtId="0" fontId="1" fillId="0" borderId="0"/>
    <xf numFmtId="0" fontId="1" fillId="0" borderId="0"/>
    <xf numFmtId="41" fontId="6" fillId="0" borderId="0"/>
    <xf numFmtId="0" fontId="1" fillId="0" borderId="0"/>
    <xf numFmtId="9" fontId="6" fillId="0" borderId="0" applyFont="0" applyFill="0" applyBorder="0" applyAlignment="0" applyProtection="0"/>
    <xf numFmtId="0" fontId="4" fillId="0" borderId="0"/>
  </cellStyleXfs>
  <cellXfs count="439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41" fontId="0" fillId="0" borderId="0" xfId="0" applyNumberFormat="1"/>
    <xf numFmtId="43" fontId="0" fillId="0" borderId="0" xfId="0" applyNumberFormat="1"/>
    <xf numFmtId="0" fontId="0" fillId="0" borderId="0" xfId="0" applyAlignment="1">
      <alignment horizontal="left" indent="3"/>
    </xf>
    <xf numFmtId="0" fontId="0" fillId="0" borderId="0" xfId="0" applyAlignment="1">
      <alignment horizontal="center"/>
    </xf>
    <xf numFmtId="37" fontId="9" fillId="0" borderId="0" xfId="1" applyNumberFormat="1" applyFont="1" applyProtection="1"/>
    <xf numFmtId="0" fontId="4" fillId="0" borderId="0" xfId="0" applyFont="1"/>
    <xf numFmtId="0" fontId="4" fillId="0" borderId="0" xfId="1" applyFont="1" applyAlignment="1">
      <alignment horizontal="center"/>
    </xf>
    <xf numFmtId="166" fontId="9" fillId="0" borderId="0" xfId="1" applyNumberFormat="1" applyFont="1" applyFill="1"/>
    <xf numFmtId="0" fontId="4" fillId="0" borderId="0" xfId="1" applyFont="1"/>
    <xf numFmtId="43" fontId="0" fillId="0" borderId="1" xfId="0" applyNumberFormat="1" applyBorder="1"/>
    <xf numFmtId="0" fontId="9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43" fontId="11" fillId="0" borderId="0" xfId="2" applyFont="1" applyFill="1"/>
    <xf numFmtId="0" fontId="0" fillId="0" borderId="0" xfId="0" applyFont="1"/>
    <xf numFmtId="17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43" fontId="11" fillId="0" borderId="0" xfId="2" applyFont="1" applyFill="1" applyAlignment="1">
      <alignment horizontal="center"/>
    </xf>
    <xf numFmtId="0" fontId="11" fillId="0" borderId="0" xfId="1" applyFont="1" applyFill="1"/>
    <xf numFmtId="0" fontId="9" fillId="0" borderId="0" xfId="1" applyFont="1" applyFill="1"/>
    <xf numFmtId="43" fontId="11" fillId="0" borderId="0" xfId="2" quotePrefix="1" applyFont="1" applyFill="1" applyAlignment="1">
      <alignment horizontal="center"/>
    </xf>
    <xf numFmtId="0" fontId="0" fillId="0" borderId="0" xfId="1" applyFont="1" applyAlignment="1">
      <alignment horizontal="center"/>
    </xf>
    <xf numFmtId="167" fontId="0" fillId="0" borderId="0" xfId="1" applyNumberFormat="1" applyFont="1"/>
    <xf numFmtId="43" fontId="0" fillId="0" borderId="0" xfId="2" applyNumberFormat="1" applyFont="1"/>
    <xf numFmtId="165" fontId="0" fillId="0" borderId="0" xfId="1" applyNumberFormat="1" applyFont="1"/>
    <xf numFmtId="0" fontId="0" fillId="0" borderId="0" xfId="1" applyFont="1"/>
    <xf numFmtId="165" fontId="0" fillId="0" borderId="0" xfId="2" applyNumberFormat="1" applyFont="1"/>
    <xf numFmtId="165" fontId="0" fillId="0" borderId="0" xfId="0" applyNumberFormat="1" applyFont="1"/>
    <xf numFmtId="165" fontId="11" fillId="0" borderId="0" xfId="2" quotePrefix="1" applyNumberFormat="1" applyFont="1" applyFill="1" applyAlignment="1">
      <alignment horizontal="center"/>
    </xf>
    <xf numFmtId="0" fontId="9" fillId="0" borderId="0" xfId="1" applyFont="1"/>
    <xf numFmtId="37" fontId="13" fillId="0" borderId="0" xfId="1" applyNumberFormat="1" applyFont="1" applyFill="1" applyBorder="1" applyAlignment="1" applyProtection="1">
      <alignment horizontal="center"/>
    </xf>
    <xf numFmtId="37" fontId="11" fillId="0" borderId="0" xfId="1" applyNumberFormat="1" applyFont="1" applyFill="1" applyAlignment="1" applyProtection="1">
      <alignment horizontal="center"/>
    </xf>
    <xf numFmtId="37" fontId="11" fillId="0" borderId="0" xfId="1" applyNumberFormat="1" applyFont="1" applyFill="1" applyProtection="1"/>
    <xf numFmtId="14" fontId="0" fillId="0" borderId="0" xfId="1" applyNumberFormat="1" applyFont="1"/>
    <xf numFmtId="0" fontId="11" fillId="0" borderId="0" xfId="1" quotePrefix="1" applyFont="1" applyFill="1" applyAlignment="1">
      <alignment horizontal="center"/>
    </xf>
    <xf numFmtId="0" fontId="16" fillId="0" borderId="0" xfId="1" applyFont="1" applyFill="1" applyAlignment="1" applyProtection="1">
      <alignment horizontal="center"/>
      <protection locked="0"/>
    </xf>
    <xf numFmtId="168" fontId="0" fillId="0" borderId="2" xfId="3" applyNumberFormat="1" applyFont="1" applyBorder="1"/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0" xfId="1" quotePrefix="1" applyFont="1" applyBorder="1" applyAlignment="1">
      <alignment horizontal="center"/>
    </xf>
    <xf numFmtId="43" fontId="0" fillId="0" borderId="0" xfId="2" applyFont="1"/>
    <xf numFmtId="0" fontId="12" fillId="0" borderId="0" xfId="1" applyFont="1" applyFill="1" applyAlignment="1" applyProtection="1">
      <alignment horizontal="center"/>
      <protection locked="0"/>
    </xf>
    <xf numFmtId="0" fontId="11" fillId="0" borderId="0" xfId="1" quotePrefix="1" applyFont="1" applyFill="1" applyAlignment="1" applyProtection="1">
      <alignment horizontal="center"/>
      <protection locked="0"/>
    </xf>
    <xf numFmtId="164" fontId="0" fillId="0" borderId="0" xfId="1" applyNumberFormat="1" applyFont="1" applyAlignment="1">
      <alignment horizontal="left"/>
    </xf>
    <xf numFmtId="168" fontId="0" fillId="0" borderId="3" xfId="3" applyNumberFormat="1" applyFont="1" applyBorder="1"/>
    <xf numFmtId="44" fontId="0" fillId="0" borderId="3" xfId="3" applyNumberFormat="1" applyFont="1" applyBorder="1"/>
    <xf numFmtId="0" fontId="5" fillId="0" borderId="0" xfId="1" applyFont="1" applyBorder="1"/>
    <xf numFmtId="0" fontId="0" fillId="0" borderId="0" xfId="1" applyFont="1" applyBorder="1"/>
    <xf numFmtId="0" fontId="0" fillId="0" borderId="0" xfId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9" fillId="0" borderId="0" xfId="4" applyNumberFormat="1" applyFont="1" applyFill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171" fontId="11" fillId="0" borderId="0" xfId="1" applyNumberFormat="1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  <protection locked="0"/>
    </xf>
    <xf numFmtId="0" fontId="9" fillId="0" borderId="0" xfId="1" applyFont="1" applyFill="1" applyProtection="1">
      <protection locked="0"/>
    </xf>
    <xf numFmtId="43" fontId="9" fillId="0" borderId="0" xfId="2" applyFont="1" applyFill="1" applyAlignment="1"/>
    <xf numFmtId="43" fontId="0" fillId="0" borderId="0" xfId="2" applyFont="1" applyAlignment="1">
      <alignment horizontal="right"/>
    </xf>
    <xf numFmtId="0" fontId="9" fillId="0" borderId="0" xfId="1" applyFont="1" applyFill="1" applyAlignment="1"/>
    <xf numFmtId="14" fontId="11" fillId="0" borderId="0" xfId="1" applyNumberFormat="1" applyFont="1" applyFill="1"/>
    <xf numFmtId="14" fontId="11" fillId="0" borderId="0" xfId="1" applyNumberFormat="1" applyFont="1" applyFill="1" applyAlignment="1" applyProtection="1">
      <alignment horizontal="center"/>
      <protection locked="0"/>
    </xf>
    <xf numFmtId="14" fontId="9" fillId="0" borderId="0" xfId="1" applyNumberFormat="1" applyFont="1" applyFill="1"/>
    <xf numFmtId="0" fontId="9" fillId="0" borderId="0" xfId="1" applyFont="1" applyFill="1" applyAlignment="1" applyProtection="1">
      <alignment horizontal="center"/>
      <protection locked="0"/>
    </xf>
    <xf numFmtId="10" fontId="9" fillId="0" borderId="0" xfId="1" applyNumberFormat="1" applyFont="1" applyFill="1" applyProtection="1"/>
    <xf numFmtId="40" fontId="9" fillId="0" borderId="0" xfId="1" applyNumberFormat="1" applyFont="1" applyFill="1"/>
    <xf numFmtId="14" fontId="16" fillId="0" borderId="0" xfId="1" applyNumberFormat="1" applyFont="1" applyFill="1"/>
    <xf numFmtId="14" fontId="0" fillId="0" borderId="0" xfId="0" applyNumberFormat="1" applyFont="1"/>
    <xf numFmtId="168" fontId="0" fillId="0" borderId="0" xfId="1" applyNumberFormat="1" applyFont="1"/>
    <xf numFmtId="172" fontId="9" fillId="0" borderId="0" xfId="1" applyNumberFormat="1" applyFont="1" applyFill="1" applyAlignment="1" applyProtection="1">
      <alignment horizontal="left"/>
    </xf>
    <xf numFmtId="0" fontId="5" fillId="0" borderId="0" xfId="1" quotePrefix="1" applyFont="1" applyAlignment="1">
      <alignment horizontal="center"/>
    </xf>
    <xf numFmtId="37" fontId="11" fillId="0" borderId="0" xfId="1" applyNumberFormat="1" applyFont="1" applyAlignment="1" applyProtection="1">
      <alignment horizontal="center"/>
    </xf>
    <xf numFmtId="43" fontId="88" fillId="0" borderId="0" xfId="2" applyFont="1" applyFill="1" applyBorder="1" applyProtection="1">
      <protection locked="0"/>
    </xf>
    <xf numFmtId="41" fontId="0" fillId="0" borderId="0" xfId="0" applyNumberFormat="1" applyFill="1"/>
    <xf numFmtId="168" fontId="9" fillId="0" borderId="0" xfId="1" applyNumberFormat="1" applyFont="1" applyFill="1" applyBorder="1" applyProtection="1">
      <protection locked="0"/>
    </xf>
    <xf numFmtId="0" fontId="0" fillId="0" borderId="0" xfId="0" applyFill="1"/>
    <xf numFmtId="0" fontId="11" fillId="0" borderId="0" xfId="1" applyFont="1" applyFill="1" applyBorder="1" applyAlignment="1">
      <alignment horizontal="center"/>
    </xf>
    <xf numFmtId="0" fontId="89" fillId="0" borderId="0" xfId="1" applyFont="1" applyFill="1" applyAlignment="1"/>
    <xf numFmtId="165" fontId="90" fillId="0" borderId="0" xfId="4" applyNumberFormat="1" applyFont="1" applyFill="1" applyAlignment="1">
      <alignment horizontal="center"/>
    </xf>
    <xf numFmtId="169" fontId="11" fillId="0" borderId="0" xfId="1" applyNumberFormat="1" applyFont="1" applyFill="1" applyAlignment="1">
      <alignment horizontal="center"/>
    </xf>
    <xf numFmtId="44" fontId="11" fillId="0" borderId="0" xfId="5" applyFont="1" applyFill="1" applyAlignment="1">
      <alignment horizontal="center"/>
    </xf>
    <xf numFmtId="165" fontId="11" fillId="0" borderId="0" xfId="4" applyNumberFormat="1" applyFont="1" applyFill="1" applyAlignment="1">
      <alignment horizontal="center"/>
    </xf>
    <xf numFmtId="169" fontId="90" fillId="0" borderId="0" xfId="1" applyNumberFormat="1" applyFont="1" applyFill="1" applyAlignment="1">
      <alignment horizontal="center"/>
    </xf>
    <xf numFmtId="44" fontId="90" fillId="0" borderId="0" xfId="5" applyFont="1" applyFill="1" applyAlignment="1">
      <alignment horizontal="center"/>
    </xf>
    <xf numFmtId="165" fontId="11" fillId="0" borderId="0" xfId="4" quotePrefix="1" applyNumberFormat="1" applyFont="1" applyFill="1" applyBorder="1" applyAlignment="1">
      <alignment horizontal="center"/>
    </xf>
    <xf numFmtId="44" fontId="9" fillId="0" borderId="0" xfId="5" applyFont="1" applyFill="1" applyAlignment="1">
      <alignment horizontal="center"/>
    </xf>
    <xf numFmtId="170" fontId="9" fillId="0" borderId="0" xfId="12" applyNumberFormat="1" applyFont="1" applyFill="1" applyAlignment="1">
      <alignment horizontal="center"/>
    </xf>
    <xf numFmtId="168" fontId="92" fillId="68" borderId="0" xfId="3" applyNumberFormat="1" applyFont="1" applyFill="1"/>
    <xf numFmtId="168" fontId="92" fillId="68" borderId="0" xfId="2" applyNumberFormat="1" applyFont="1" applyFill="1"/>
    <xf numFmtId="0" fontId="5" fillId="0" borderId="0" xfId="1" applyFont="1" applyFill="1"/>
    <xf numFmtId="183" fontId="9" fillId="0" borderId="0" xfId="1" applyNumberFormat="1" applyFont="1" applyFill="1" applyAlignment="1" applyProtection="1">
      <alignment horizontal="center"/>
    </xf>
    <xf numFmtId="183" fontId="92" fillId="68" borderId="0" xfId="1" applyNumberFormat="1" applyFont="1" applyFill="1" applyAlignment="1" applyProtection="1">
      <alignment horizontal="center"/>
    </xf>
    <xf numFmtId="168" fontId="0" fillId="0" borderId="0" xfId="573" applyNumberFormat="1" applyFont="1"/>
    <xf numFmtId="184" fontId="9" fillId="0" borderId="0" xfId="1" applyNumberFormat="1" applyFont="1" applyFill="1" applyAlignment="1" applyProtection="1">
      <alignment horizontal="center"/>
    </xf>
    <xf numFmtId="168" fontId="0" fillId="0" borderId="2" xfId="573" applyNumberFormat="1" applyFont="1" applyBorder="1"/>
    <xf numFmtId="43" fontId="0" fillId="0" borderId="0" xfId="572" applyFont="1"/>
    <xf numFmtId="168" fontId="0" fillId="0" borderId="1" xfId="573" applyNumberFormat="1" applyFont="1" applyBorder="1"/>
    <xf numFmtId="41" fontId="5" fillId="0" borderId="0" xfId="0" applyNumberFormat="1" applyFont="1" applyAlignment="1">
      <alignment horizontal="center"/>
    </xf>
    <xf numFmtId="0" fontId="0" fillId="0" borderId="0" xfId="0" applyFill="1" applyAlignment="1">
      <alignment horizontal="left" indent="1"/>
    </xf>
    <xf numFmtId="168" fontId="9" fillId="0" borderId="0" xfId="573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0" xfId="0" applyFont="1"/>
    <xf numFmtId="168" fontId="0" fillId="0" borderId="0" xfId="3" applyNumberFormat="1" applyFont="1" applyBorder="1"/>
    <xf numFmtId="43" fontId="5" fillId="0" borderId="0" xfId="572" applyFont="1" applyBorder="1"/>
    <xf numFmtId="0" fontId="9" fillId="0" borderId="0" xfId="0" applyFont="1" applyAlignment="1">
      <alignment horizontal="left"/>
    </xf>
    <xf numFmtId="0" fontId="0" fillId="0" borderId="0" xfId="0" applyFont="1" applyFill="1"/>
    <xf numFmtId="168" fontId="0" fillId="0" borderId="1" xfId="573" applyNumberFormat="1" applyFont="1" applyFill="1" applyBorder="1"/>
    <xf numFmtId="43" fontId="0" fillId="0" borderId="0" xfId="572" applyNumberFormat="1" applyFont="1" applyFill="1"/>
    <xf numFmtId="0" fontId="6" fillId="0" borderId="0" xfId="1" applyFont="1" applyFill="1" applyAlignment="1">
      <alignment horizontal="center"/>
    </xf>
    <xf numFmtId="183" fontId="6" fillId="0" borderId="0" xfId="1" applyNumberFormat="1" applyFont="1" applyFill="1" applyAlignment="1">
      <alignment horizontal="center"/>
    </xf>
    <xf numFmtId="43" fontId="6" fillId="0" borderId="0" xfId="572" applyNumberFormat="1" applyFont="1" applyFill="1"/>
    <xf numFmtId="168" fontId="6" fillId="0" borderId="0" xfId="573" applyNumberFormat="1" applyFont="1" applyFill="1"/>
    <xf numFmtId="10" fontId="6" fillId="0" borderId="0" xfId="7" applyNumberFormat="1" applyFont="1" applyFill="1"/>
    <xf numFmtId="43" fontId="6" fillId="0" borderId="0" xfId="572" applyFont="1" applyFill="1"/>
    <xf numFmtId="0" fontId="6" fillId="0" borderId="0" xfId="0" applyFont="1" applyFill="1"/>
    <xf numFmtId="0" fontId="6" fillId="0" borderId="0" xfId="1" applyFont="1" applyFill="1" applyAlignment="1">
      <alignment horizontal="right"/>
    </xf>
    <xf numFmtId="0" fontId="9" fillId="0" borderId="0" xfId="0" applyFont="1" applyAlignment="1">
      <alignment horizontal="left" indent="2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0" fillId="0" borderId="0" xfId="1" applyFont="1" applyFill="1" applyAlignment="1">
      <alignment horizontal="center"/>
    </xf>
    <xf numFmtId="183" fontId="92" fillId="0" borderId="0" xfId="1" applyNumberFormat="1" applyFont="1" applyFill="1" applyAlignment="1" applyProtection="1">
      <alignment horizontal="center"/>
    </xf>
    <xf numFmtId="43" fontId="0" fillId="0" borderId="0" xfId="2" applyNumberFormat="1" applyFont="1" applyFill="1"/>
    <xf numFmtId="168" fontId="92" fillId="0" borderId="0" xfId="2" applyNumberFormat="1" applyFont="1" applyFill="1"/>
    <xf numFmtId="168" fontId="0" fillId="0" borderId="0" xfId="1" applyNumberFormat="1" applyFont="1" applyFill="1"/>
    <xf numFmtId="0" fontId="17" fillId="0" borderId="0" xfId="0" applyFont="1" applyFill="1"/>
    <xf numFmtId="43" fontId="9" fillId="0" borderId="0" xfId="572" applyNumberFormat="1" applyFont="1" applyFill="1" applyAlignment="1" applyProtection="1">
      <alignment horizontal="center"/>
    </xf>
    <xf numFmtId="184" fontId="92" fillId="0" borderId="0" xfId="1" applyNumberFormat="1" applyFont="1" applyFill="1" applyAlignment="1" applyProtection="1">
      <alignment horizontal="center"/>
    </xf>
    <xf numFmtId="43" fontId="0" fillId="0" borderId="0" xfId="2" applyFont="1" applyFill="1" applyAlignment="1">
      <alignment horizontal="right"/>
    </xf>
    <xf numFmtId="14" fontId="92" fillId="68" borderId="0" xfId="12" applyNumberFormat="1" applyFont="1" applyFill="1" applyAlignment="1">
      <alignment horizontal="center"/>
    </xf>
    <xf numFmtId="0" fontId="95" fillId="0" borderId="0" xfId="1" applyFont="1"/>
    <xf numFmtId="43" fontId="11" fillId="0" borderId="0" xfId="2" quotePrefix="1" applyFont="1" applyFill="1" applyAlignment="1">
      <alignment horizontal="center" wrapText="1"/>
    </xf>
    <xf numFmtId="0" fontId="0" fillId="0" borderId="0" xfId="0" applyFont="1" applyAlignment="1">
      <alignment vertical="top" wrapText="1"/>
    </xf>
    <xf numFmtId="43" fontId="11" fillId="0" borderId="0" xfId="2" quotePrefix="1" applyFont="1" applyFill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43" fontId="0" fillId="0" borderId="0" xfId="572" applyFont="1" applyAlignment="1">
      <alignment vertical="top" wrapText="1"/>
    </xf>
    <xf numFmtId="0" fontId="0" fillId="0" borderId="0" xfId="1" applyFont="1" applyAlignment="1">
      <alignment horizontal="center" vertical="top" wrapText="1"/>
    </xf>
    <xf numFmtId="43" fontId="5" fillId="0" borderId="2" xfId="2" applyFont="1" applyBorder="1" applyAlignment="1">
      <alignment vertical="top" wrapText="1"/>
    </xf>
    <xf numFmtId="0" fontId="5" fillId="0" borderId="0" xfId="1" quotePrefix="1" applyFont="1" applyBorder="1" applyAlignment="1">
      <alignment horizontal="center" vertical="top" wrapText="1"/>
    </xf>
    <xf numFmtId="14" fontId="11" fillId="0" borderId="0" xfId="1" quotePrefix="1" applyNumberFormat="1" applyFont="1" applyFill="1" applyAlignment="1" applyProtection="1">
      <alignment horizontal="center"/>
      <protection locked="0"/>
    </xf>
    <xf numFmtId="0" fontId="0" fillId="0" borderId="0" xfId="0" applyFont="1" applyAlignment="1">
      <alignment horizontal="left" indent="4"/>
    </xf>
    <xf numFmtId="165" fontId="94" fillId="0" borderId="0" xfId="1" applyNumberFormat="1" applyFont="1" applyBorder="1" applyAlignment="1">
      <alignment horizontal="center" wrapText="1"/>
    </xf>
    <xf numFmtId="0" fontId="5" fillId="0" borderId="0" xfId="1" quotePrefix="1" applyFont="1" applyFill="1" applyBorder="1" applyAlignment="1">
      <alignment horizontal="center"/>
    </xf>
    <xf numFmtId="0" fontId="95" fillId="0" borderId="0" xfId="0" applyFont="1"/>
    <xf numFmtId="167" fontId="0" fillId="0" borderId="0" xfId="1" applyNumberFormat="1" applyFont="1" applyAlignment="1">
      <alignment horizontal="left"/>
    </xf>
    <xf numFmtId="40" fontId="0" fillId="0" borderId="0" xfId="1" applyNumberFormat="1" applyFont="1" applyBorder="1"/>
    <xf numFmtId="0" fontId="96" fillId="0" borderId="0" xfId="1" applyFont="1" applyFill="1"/>
    <xf numFmtId="0" fontId="0" fillId="0" borderId="0" xfId="1" applyFont="1" applyAlignment="1">
      <alignment horizontal="left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37" fontId="9" fillId="0" borderId="0" xfId="1" applyNumberFormat="1" applyFont="1" applyAlignment="1" applyProtection="1">
      <alignment horizontal="center"/>
    </xf>
    <xf numFmtId="0" fontId="9" fillId="0" borderId="0" xfId="0" applyFont="1"/>
    <xf numFmtId="37" fontId="9" fillId="0" borderId="0" xfId="1" applyNumberFormat="1" applyFont="1" applyAlignment="1" applyProtection="1"/>
    <xf numFmtId="43" fontId="9" fillId="0" borderId="0" xfId="572" applyFont="1" applyFill="1" applyProtection="1">
      <protection locked="0"/>
    </xf>
    <xf numFmtId="37" fontId="16" fillId="0" borderId="0" xfId="1" applyNumberFormat="1" applyFont="1" applyFill="1" applyAlignment="1" applyProtection="1">
      <alignment horizontal="left"/>
      <protection locked="0"/>
    </xf>
    <xf numFmtId="43" fontId="5" fillId="0" borderId="2" xfId="572" applyFont="1" applyBorder="1"/>
    <xf numFmtId="43" fontId="9" fillId="0" borderId="0" xfId="572" applyFont="1" applyFill="1"/>
    <xf numFmtId="43" fontId="92" fillId="68" borderId="0" xfId="572" applyFont="1" applyFill="1" applyAlignment="1" applyProtection="1">
      <alignment horizontal="center"/>
    </xf>
    <xf numFmtId="43" fontId="11" fillId="0" borderId="2" xfId="572" applyFont="1" applyFill="1" applyBorder="1" applyAlignment="1" applyProtection="1">
      <alignment horizontal="center"/>
    </xf>
    <xf numFmtId="168" fontId="92" fillId="68" borderId="0" xfId="573" applyNumberFormat="1" applyFont="1" applyFill="1" applyAlignment="1" applyProtection="1">
      <alignment horizontal="center"/>
    </xf>
    <xf numFmtId="168" fontId="9" fillId="0" borderId="0" xfId="573" applyNumberFormat="1" applyFont="1" applyFill="1" applyAlignment="1" applyProtection="1">
      <alignment horizontal="center"/>
    </xf>
    <xf numFmtId="168" fontId="9" fillId="0" borderId="0" xfId="1" applyNumberFormat="1" applyFont="1" applyFill="1" applyAlignment="1" applyProtection="1">
      <alignment horizontal="center"/>
    </xf>
    <xf numFmtId="168" fontId="9" fillId="0" borderId="2" xfId="573" applyNumberFormat="1" applyFont="1" applyFill="1" applyBorder="1" applyAlignment="1" applyProtection="1">
      <alignment horizontal="center"/>
    </xf>
    <xf numFmtId="165" fontId="11" fillId="0" borderId="0" xfId="2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43" fontId="11" fillId="0" borderId="2" xfId="2" applyFont="1" applyFill="1" applyBorder="1" applyProtection="1">
      <protection locked="0"/>
    </xf>
    <xf numFmtId="43" fontId="5" fillId="0" borderId="2" xfId="2" applyNumberFormat="1" applyFont="1" applyBorder="1"/>
    <xf numFmtId="0" fontId="5" fillId="0" borderId="0" xfId="0" applyFont="1" applyAlignment="1">
      <alignment horizontal="centerContinuous"/>
    </xf>
    <xf numFmtId="0" fontId="5" fillId="0" borderId="5" xfId="0" applyFont="1" applyBorder="1" applyAlignment="1">
      <alignment horizontal="centerContinuous"/>
    </xf>
    <xf numFmtId="43" fontId="0" fillId="0" borderId="0" xfId="572" applyFont="1" applyFill="1"/>
    <xf numFmtId="165" fontId="0" fillId="0" borderId="0" xfId="0" applyNumberFormat="1" applyFont="1" applyFill="1"/>
    <xf numFmtId="165" fontId="94" fillId="0" borderId="0" xfId="1" applyNumberFormat="1" applyFont="1" applyFill="1" applyBorder="1" applyAlignment="1">
      <alignment horizontal="center" wrapText="1"/>
    </xf>
    <xf numFmtId="0" fontId="0" fillId="0" borderId="0" xfId="1" applyFont="1" applyFill="1" applyAlignment="1">
      <alignment horizontal="left"/>
    </xf>
    <xf numFmtId="10" fontId="9" fillId="0" borderId="0" xfId="576" applyNumberFormat="1" applyFont="1" applyFill="1" applyAlignment="1">
      <alignment horizontal="center"/>
    </xf>
    <xf numFmtId="43" fontId="9" fillId="0" borderId="0" xfId="572" applyFont="1" applyFill="1" applyProtection="1"/>
    <xf numFmtId="43" fontId="11" fillId="0" borderId="2" xfId="572" applyFont="1" applyFill="1" applyBorder="1" applyAlignment="1">
      <alignment horizontal="right"/>
    </xf>
    <xf numFmtId="44" fontId="6" fillId="0" borderId="0" xfId="573" applyFont="1" applyFill="1" applyAlignment="1">
      <alignment horizontal="center"/>
    </xf>
    <xf numFmtId="168" fontId="92" fillId="68" borderId="0" xfId="579" applyNumberFormat="1" applyFont="1" applyFill="1"/>
    <xf numFmtId="44" fontId="90" fillId="0" borderId="0" xfId="1" applyNumberFormat="1" applyFont="1" applyFill="1" applyAlignment="1" applyProtection="1">
      <alignment horizontal="center"/>
      <protection locked="0"/>
    </xf>
    <xf numFmtId="43" fontId="0" fillId="0" borderId="0" xfId="0" applyNumberFormat="1" applyFill="1"/>
    <xf numFmtId="0" fontId="0" fillId="0" borderId="0" xfId="0" applyFill="1" applyAlignment="1">
      <alignment horizontal="left" indent="3"/>
    </xf>
    <xf numFmtId="0" fontId="90" fillId="0" borderId="0" xfId="1" applyFont="1" applyFill="1" applyAlignment="1">
      <alignment horizontal="center"/>
    </xf>
    <xf numFmtId="167" fontId="4" fillId="0" borderId="0" xfId="1" applyNumberFormat="1" applyFont="1"/>
    <xf numFmtId="2" fontId="4" fillId="0" borderId="0" xfId="1" applyNumberFormat="1" applyFont="1"/>
    <xf numFmtId="167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0" fontId="90" fillId="0" borderId="0" xfId="1" applyFont="1" applyAlignment="1">
      <alignment horizontal="center"/>
    </xf>
    <xf numFmtId="0" fontId="94" fillId="0" borderId="0" xfId="1" applyFont="1" applyAlignment="1">
      <alignment horizontal="center"/>
    </xf>
    <xf numFmtId="171" fontId="90" fillId="0" borderId="0" xfId="1" applyNumberFormat="1" applyFont="1" applyFill="1" applyAlignment="1" applyProtection="1">
      <alignment horizontal="center"/>
    </xf>
    <xf numFmtId="0" fontId="90" fillId="0" borderId="0" xfId="1" applyFont="1" applyFill="1" applyAlignment="1" applyProtection="1">
      <alignment horizontal="center"/>
      <protection locked="0"/>
    </xf>
    <xf numFmtId="0" fontId="90" fillId="0" borderId="0" xfId="1" applyFont="1" applyFill="1" applyAlignment="1" applyProtection="1">
      <alignment horizontal="center"/>
    </xf>
    <xf numFmtId="37" fontId="90" fillId="0" borderId="0" xfId="1" applyNumberFormat="1" applyFont="1" applyFill="1" applyBorder="1" applyAlignment="1" applyProtection="1">
      <alignment horizontal="center"/>
    </xf>
    <xf numFmtId="165" fontId="90" fillId="0" borderId="0" xfId="2" applyNumberFormat="1" applyFont="1" applyFill="1" applyAlignment="1">
      <alignment horizontal="center"/>
    </xf>
    <xf numFmtId="37" fontId="90" fillId="0" borderId="0" xfId="1" applyNumberFormat="1" applyFont="1" applyBorder="1" applyAlignment="1" applyProtection="1">
      <alignment horizontal="center"/>
    </xf>
    <xf numFmtId="0" fontId="94" fillId="0" borderId="0" xfId="0" applyFont="1" applyBorder="1" applyAlignment="1">
      <alignment horizontal="center"/>
    </xf>
    <xf numFmtId="41" fontId="94" fillId="0" borderId="0" xfId="0" applyNumberFormat="1" applyFont="1" applyBorder="1" applyAlignment="1">
      <alignment horizontal="center"/>
    </xf>
    <xf numFmtId="0" fontId="4" fillId="0" borderId="0" xfId="574" applyFont="1" applyProtection="1"/>
    <xf numFmtId="0" fontId="4" fillId="0" borderId="0" xfId="574" applyNumberFormat="1" applyFont="1" applyFill="1" applyAlignment="1" applyProtection="1"/>
    <xf numFmtId="0" fontId="4" fillId="0" borderId="0" xfId="574" applyFont="1"/>
    <xf numFmtId="14" fontId="9" fillId="0" borderId="0" xfId="574" applyNumberFormat="1" applyFont="1" applyFill="1" applyBorder="1" applyAlignment="1" applyProtection="1">
      <alignment horizontal="centerContinuous"/>
    </xf>
    <xf numFmtId="0" fontId="4" fillId="0" borderId="0" xfId="574" applyFont="1" applyAlignment="1" applyProtection="1">
      <alignment horizontal="left"/>
    </xf>
    <xf numFmtId="44" fontId="99" fillId="70" borderId="37" xfId="574" applyNumberFormat="1" applyFont="1" applyFill="1" applyBorder="1" applyAlignment="1" applyProtection="1">
      <alignment horizontal="left"/>
    </xf>
    <xf numFmtId="0" fontId="100" fillId="70" borderId="38" xfId="574" applyFont="1" applyFill="1" applyBorder="1" applyProtection="1"/>
    <xf numFmtId="0" fontId="100" fillId="70" borderId="38" xfId="574" applyFont="1" applyFill="1" applyBorder="1" applyAlignment="1" applyProtection="1">
      <alignment horizontal="left"/>
    </xf>
    <xf numFmtId="0" fontId="100" fillId="70" borderId="39" xfId="574" applyFont="1" applyFill="1" applyBorder="1" applyProtection="1"/>
    <xf numFmtId="0" fontId="4" fillId="71" borderId="20" xfId="574" applyFont="1" applyFill="1" applyBorder="1" applyProtection="1"/>
    <xf numFmtId="0" fontId="4" fillId="71" borderId="0" xfId="574" applyFont="1" applyFill="1" applyBorder="1" applyProtection="1"/>
    <xf numFmtId="0" fontId="4" fillId="71" borderId="0" xfId="574" applyFont="1" applyFill="1" applyBorder="1" applyAlignment="1" applyProtection="1">
      <alignment horizontal="left"/>
    </xf>
    <xf numFmtId="0" fontId="4" fillId="71" borderId="11" xfId="574" applyFont="1" applyFill="1" applyBorder="1" applyProtection="1"/>
    <xf numFmtId="0" fontId="4" fillId="71" borderId="40" xfId="574" applyFont="1" applyFill="1" applyBorder="1" applyProtection="1"/>
    <xf numFmtId="0" fontId="4" fillId="71" borderId="41" xfId="574" applyFont="1" applyFill="1" applyBorder="1" applyProtection="1"/>
    <xf numFmtId="0" fontId="4" fillId="71" borderId="41" xfId="574" applyFont="1" applyFill="1" applyBorder="1" applyAlignment="1" applyProtection="1">
      <alignment horizontal="left"/>
    </xf>
    <xf numFmtId="0" fontId="4" fillId="71" borderId="42" xfId="574" applyFont="1" applyFill="1" applyBorder="1" applyProtection="1"/>
    <xf numFmtId="0" fontId="4" fillId="0" borderId="0" xfId="574" applyFont="1" applyFill="1"/>
    <xf numFmtId="0" fontId="4" fillId="71" borderId="43" xfId="574" applyFont="1" applyFill="1" applyBorder="1" applyProtection="1"/>
    <xf numFmtId="182" fontId="4" fillId="71" borderId="0" xfId="574" applyNumberFormat="1" applyFont="1" applyFill="1" applyBorder="1" applyAlignment="1" applyProtection="1">
      <alignment horizontal="left"/>
    </xf>
    <xf numFmtId="14" fontId="98" fillId="69" borderId="36" xfId="574" applyNumberFormat="1" applyFont="1" applyFill="1" applyBorder="1" applyAlignment="1" applyProtection="1">
      <alignment horizontal="center"/>
    </xf>
    <xf numFmtId="14" fontId="9" fillId="69" borderId="36" xfId="574" applyNumberFormat="1" applyFont="1" applyFill="1" applyBorder="1" applyAlignment="1" applyProtection="1">
      <alignment horizontal="center"/>
    </xf>
    <xf numFmtId="0" fontId="4" fillId="71" borderId="44" xfId="574" applyFont="1" applyFill="1" applyBorder="1" applyProtection="1"/>
    <xf numFmtId="0" fontId="4" fillId="71" borderId="47" xfId="574" applyFont="1" applyFill="1" applyBorder="1" applyProtection="1"/>
    <xf numFmtId="0" fontId="4" fillId="71" borderId="48" xfId="574" applyFont="1" applyFill="1" applyBorder="1" applyProtection="1"/>
    <xf numFmtId="0" fontId="4" fillId="71" borderId="48" xfId="574" applyFont="1" applyFill="1" applyBorder="1" applyAlignment="1" applyProtection="1">
      <alignment horizontal="left"/>
    </xf>
    <xf numFmtId="0" fontId="4" fillId="71" borderId="49" xfId="574" applyFont="1" applyFill="1" applyBorder="1" applyProtection="1"/>
    <xf numFmtId="0" fontId="4" fillId="71" borderId="50" xfId="574" applyFont="1" applyFill="1" applyBorder="1" applyProtection="1"/>
    <xf numFmtId="0" fontId="4" fillId="71" borderId="1" xfId="574" applyFont="1" applyFill="1" applyBorder="1" applyProtection="1"/>
    <xf numFmtId="0" fontId="4" fillId="71" borderId="1" xfId="574" applyFont="1" applyFill="1" applyBorder="1" applyAlignment="1" applyProtection="1">
      <alignment horizontal="left"/>
    </xf>
    <xf numFmtId="0" fontId="4" fillId="71" borderId="51" xfId="574" applyFont="1" applyFill="1" applyBorder="1" applyProtection="1"/>
    <xf numFmtId="0" fontId="4" fillId="0" borderId="0" xfId="574" applyNumberFormat="1" applyFont="1" applyFill="1" applyAlignment="1" applyProtection="1">
      <alignment horizontal="left"/>
    </xf>
    <xf numFmtId="0" fontId="11" fillId="0" borderId="0" xfId="574" applyFont="1" applyProtection="1"/>
    <xf numFmtId="0" fontId="102" fillId="71" borderId="0" xfId="574" applyFont="1" applyFill="1" applyBorder="1" applyProtection="1"/>
    <xf numFmtId="185" fontId="9" fillId="0" borderId="0" xfId="12" applyNumberFormat="1" applyFont="1" applyFill="1" applyAlignment="1">
      <alignment horizontal="center"/>
    </xf>
    <xf numFmtId="43" fontId="11" fillId="0" borderId="0" xfId="2" quotePrefix="1" applyFont="1" applyFill="1" applyAlignment="1">
      <alignment horizontal="center" vertical="top"/>
    </xf>
    <xf numFmtId="0" fontId="5" fillId="0" borderId="0" xfId="1" quotePrefix="1" applyFont="1" applyBorder="1" applyAlignment="1">
      <alignment horizontal="center" vertical="top"/>
    </xf>
    <xf numFmtId="165" fontId="5" fillId="0" borderId="0" xfId="1" quotePrefix="1" applyNumberFormat="1" applyFont="1" applyBorder="1" applyAlignment="1">
      <alignment horizontal="center" vertical="top"/>
    </xf>
    <xf numFmtId="0" fontId="0" fillId="0" borderId="0" xfId="1" applyFont="1" applyFill="1"/>
    <xf numFmtId="186" fontId="92" fillId="68" borderId="0" xfId="1" applyNumberFormat="1" applyFont="1" applyFill="1" applyAlignment="1">
      <alignment horizontal="center"/>
    </xf>
    <xf numFmtId="0" fontId="93" fillId="0" borderId="0" xfId="0" applyFont="1" applyFill="1"/>
    <xf numFmtId="44" fontId="0" fillId="0" borderId="0" xfId="1" applyNumberFormat="1" applyFont="1"/>
    <xf numFmtId="168" fontId="0" fillId="0" borderId="0" xfId="573" applyNumberFormat="1" applyFont="1" applyAlignment="1">
      <alignment horizontal="center"/>
    </xf>
    <xf numFmtId="168" fontId="0" fillId="0" borderId="2" xfId="573" applyNumberFormat="1" applyFont="1" applyBorder="1" applyAlignment="1">
      <alignment horizontal="center"/>
    </xf>
    <xf numFmtId="168" fontId="0" fillId="0" borderId="0" xfId="573" applyNumberFormat="1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103" fillId="0" borderId="0" xfId="0" applyFont="1" applyFill="1"/>
    <xf numFmtId="43" fontId="4" fillId="0" borderId="2" xfId="572" applyFont="1" applyBorder="1"/>
    <xf numFmtId="14" fontId="9" fillId="0" borderId="0" xfId="12" applyNumberFormat="1" applyFont="1" applyFill="1" applyAlignment="1">
      <alignment horizontal="center"/>
    </xf>
    <xf numFmtId="2" fontId="4" fillId="0" borderId="0" xfId="1" applyNumberFormat="1" applyFont="1" applyAlignment="1">
      <alignment horizontal="center"/>
    </xf>
    <xf numFmtId="167" fontId="4" fillId="0" borderId="0" xfId="1" applyNumberFormat="1" applyFont="1" applyAlignment="1">
      <alignment horizontal="center"/>
    </xf>
    <xf numFmtId="0" fontId="103" fillId="72" borderId="0" xfId="0" applyFont="1" applyFill="1" applyAlignment="1">
      <alignment horizontal="center"/>
    </xf>
    <xf numFmtId="10" fontId="0" fillId="0" borderId="2" xfId="576" applyNumberFormat="1" applyFont="1" applyBorder="1"/>
    <xf numFmtId="0" fontId="5" fillId="0" borderId="0" xfId="0" applyFont="1" applyAlignment="1">
      <alignment horizontal="center"/>
    </xf>
    <xf numFmtId="0" fontId="96" fillId="0" borderId="0" xfId="1" applyFont="1" applyAlignment="1">
      <alignment horizontal="left"/>
    </xf>
    <xf numFmtId="0" fontId="0" fillId="0" borderId="0" xfId="0" applyBorder="1"/>
    <xf numFmtId="41" fontId="5" fillId="0" borderId="0" xfId="0" quotePrefix="1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1" applyFont="1" applyFill="1" applyBorder="1" applyAlignment="1">
      <alignment horizontal="center"/>
    </xf>
    <xf numFmtId="43" fontId="5" fillId="0" borderId="3" xfId="0" applyNumberFormat="1" applyFont="1" applyBorder="1"/>
    <xf numFmtId="43" fontId="5" fillId="0" borderId="3" xfId="572" applyFont="1" applyFill="1" applyBorder="1"/>
    <xf numFmtId="43" fontId="11" fillId="0" borderId="2" xfId="1" applyNumberFormat="1" applyFont="1" applyFill="1" applyBorder="1"/>
    <xf numFmtId="0" fontId="103" fillId="0" borderId="0" xfId="574" applyFont="1" applyFill="1"/>
    <xf numFmtId="43" fontId="9" fillId="0" borderId="0" xfId="4" applyNumberFormat="1" applyFont="1" applyFill="1"/>
    <xf numFmtId="0" fontId="0" fillId="0" borderId="0" xfId="0" applyFont="1" applyFill="1" applyAlignment="1">
      <alignment horizontal="center" vertical="top" wrapText="1"/>
    </xf>
    <xf numFmtId="0" fontId="5" fillId="0" borderId="0" xfId="0" applyFont="1" applyFill="1"/>
    <xf numFmtId="14" fontId="0" fillId="0" borderId="0" xfId="0" applyNumberFormat="1" applyFont="1" applyFill="1"/>
    <xf numFmtId="0" fontId="103" fillId="0" borderId="0" xfId="0" applyFont="1" applyFill="1" applyAlignment="1">
      <alignment vertical="top"/>
    </xf>
    <xf numFmtId="43" fontId="9" fillId="0" borderId="2" xfId="572" applyFont="1" applyFill="1" applyBorder="1" applyAlignment="1" applyProtection="1">
      <alignment horizontal="center"/>
    </xf>
    <xf numFmtId="43" fontId="5" fillId="0" borderId="3" xfId="2" applyNumberFormat="1" applyFont="1" applyBorder="1"/>
    <xf numFmtId="43" fontId="4" fillId="0" borderId="0" xfId="572" applyFont="1" applyBorder="1"/>
    <xf numFmtId="185" fontId="92" fillId="0" borderId="0" xfId="12" applyNumberFormat="1" applyFont="1" applyFill="1" applyAlignment="1">
      <alignment horizontal="center"/>
    </xf>
    <xf numFmtId="168" fontId="0" fillId="0" borderId="0" xfId="573" applyNumberFormat="1" applyFont="1" applyFill="1"/>
    <xf numFmtId="0" fontId="5" fillId="0" borderId="0" xfId="0" applyFont="1" applyAlignment="1">
      <alignment horizontal="center"/>
    </xf>
    <xf numFmtId="165" fontId="0" fillId="0" borderId="0" xfId="572" applyNumberFormat="1" applyFont="1"/>
    <xf numFmtId="44" fontId="0" fillId="0" borderId="3" xfId="573" applyFont="1" applyFill="1" applyBorder="1"/>
    <xf numFmtId="165" fontId="0" fillId="0" borderId="0" xfId="572" applyNumberFormat="1" applyFont="1" applyFill="1"/>
    <xf numFmtId="168" fontId="0" fillId="0" borderId="0" xfId="573" applyNumberFormat="1" applyFont="1" applyFill="1" applyBorder="1"/>
    <xf numFmtId="0" fontId="0" fillId="0" borderId="0" xfId="0" applyFill="1" applyBorder="1"/>
    <xf numFmtId="44" fontId="0" fillId="0" borderId="0" xfId="573" applyFont="1" applyFill="1" applyBorder="1"/>
    <xf numFmtId="14" fontId="0" fillId="0" borderId="0" xfId="0" applyNumberFormat="1"/>
    <xf numFmtId="43" fontId="94" fillId="0" borderId="0" xfId="0" applyNumberFormat="1" applyFont="1" applyBorder="1" applyAlignment="1">
      <alignment horizontal="center"/>
    </xf>
    <xf numFmtId="0" fontId="92" fillId="0" borderId="0" xfId="1" applyFont="1" applyFill="1"/>
    <xf numFmtId="185" fontId="92" fillId="0" borderId="0" xfId="1" applyNumberFormat="1" applyFont="1" applyFill="1" applyAlignment="1">
      <alignment horizontal="center"/>
    </xf>
    <xf numFmtId="44" fontId="92" fillId="0" borderId="0" xfId="573" applyFont="1" applyFill="1"/>
    <xf numFmtId="43" fontId="0" fillId="0" borderId="0" xfId="572" applyNumberFormat="1" applyFont="1" applyFill="1" applyAlignment="1">
      <alignment horizontal="center"/>
    </xf>
    <xf numFmtId="43" fontId="94" fillId="0" borderId="0" xfId="0" applyNumberFormat="1" applyFont="1" applyBorder="1" applyAlignment="1"/>
    <xf numFmtId="168" fontId="92" fillId="0" borderId="0" xfId="573" applyNumberFormat="1" applyFont="1" applyFill="1"/>
    <xf numFmtId="168" fontId="0" fillId="0" borderId="52" xfId="573" applyNumberFormat="1" applyFont="1" applyFill="1" applyBorder="1"/>
    <xf numFmtId="44" fontId="0" fillId="0" borderId="0" xfId="573" applyFont="1" applyFill="1"/>
    <xf numFmtId="44" fontId="0" fillId="0" borderId="4" xfId="573" applyFont="1" applyFill="1" applyBorder="1"/>
    <xf numFmtId="42" fontId="0" fillId="0" borderId="1" xfId="0" applyNumberFormat="1" applyFill="1" applyBorder="1"/>
    <xf numFmtId="185" fontId="0" fillId="0" borderId="0" xfId="0" applyNumberFormat="1" applyFill="1" applyAlignment="1">
      <alignment horizontal="center" vertical="center"/>
    </xf>
    <xf numFmtId="43" fontId="0" fillId="0" borderId="0" xfId="572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vertical="center"/>
    </xf>
    <xf numFmtId="14" fontId="0" fillId="0" borderId="0" xfId="0" quotePrefix="1" applyNumberFormat="1" applyFill="1" applyAlignment="1">
      <alignment horizontal="center"/>
    </xf>
    <xf numFmtId="0" fontId="9" fillId="0" borderId="0" xfId="1" applyFont="1" applyAlignment="1">
      <alignment horizontal="left"/>
    </xf>
    <xf numFmtId="185" fontId="9" fillId="0" borderId="0" xfId="2" quotePrefix="1" applyNumberFormat="1" applyFont="1" applyFill="1" applyBorder="1" applyAlignment="1">
      <alignment horizontal="center"/>
    </xf>
    <xf numFmtId="43" fontId="5" fillId="0" borderId="0" xfId="2" applyFont="1" applyBorder="1" applyAlignment="1">
      <alignment horizontal="right"/>
    </xf>
    <xf numFmtId="168" fontId="0" fillId="0" borderId="0" xfId="0" applyNumberFormat="1" applyFont="1"/>
    <xf numFmtId="14" fontId="0" fillId="0" borderId="0" xfId="0" quotePrefix="1" applyNumberFormat="1" applyFill="1" applyAlignment="1">
      <alignment horizontal="right"/>
    </xf>
    <xf numFmtId="43" fontId="9" fillId="0" borderId="4" xfId="572" applyFont="1" applyFill="1" applyBorder="1" applyAlignment="1" applyProtection="1">
      <alignment horizontal="center"/>
    </xf>
    <xf numFmtId="168" fontId="0" fillId="0" borderId="4" xfId="573" applyNumberFormat="1" applyFont="1" applyBorder="1" applyAlignment="1">
      <alignment horizontal="center"/>
    </xf>
    <xf numFmtId="14" fontId="92" fillId="0" borderId="0" xfId="12" applyNumberFormat="1" applyFont="1" applyFill="1" applyAlignment="1">
      <alignment horizontal="center"/>
    </xf>
    <xf numFmtId="185" fontId="0" fillId="0" borderId="0" xfId="0" applyNumberFormat="1" applyFill="1" applyAlignment="1">
      <alignment horizontal="center" vertical="top" wrapText="1"/>
    </xf>
    <xf numFmtId="43" fontId="5" fillId="0" borderId="0" xfId="2" applyFont="1" applyBorder="1" applyAlignment="1">
      <alignment vertical="top" wrapText="1"/>
    </xf>
    <xf numFmtId="168" fontId="0" fillId="0" borderId="0" xfId="1" applyNumberFormat="1" applyFont="1" applyBorder="1" applyAlignment="1">
      <alignment vertical="top" wrapText="1"/>
    </xf>
    <xf numFmtId="168" fontId="0" fillId="0" borderId="0" xfId="573" applyNumberFormat="1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43" fontId="5" fillId="0" borderId="4" xfId="2" applyFont="1" applyBorder="1" applyAlignment="1">
      <alignment vertical="top" wrapText="1"/>
    </xf>
    <xf numFmtId="168" fontId="0" fillId="0" borderId="4" xfId="0" applyNumberFormat="1" applyFont="1" applyBorder="1" applyAlignment="1">
      <alignment vertical="top" wrapText="1"/>
    </xf>
    <xf numFmtId="168" fontId="0" fillId="0" borderId="4" xfId="1" applyNumberFormat="1" applyFont="1" applyBorder="1" applyAlignment="1">
      <alignment vertical="top" wrapText="1"/>
    </xf>
    <xf numFmtId="168" fontId="0" fillId="0" borderId="4" xfId="573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168" fontId="0" fillId="0" borderId="2" xfId="0" applyNumberFormat="1" applyFont="1" applyBorder="1" applyAlignment="1">
      <alignment vertical="top" wrapText="1"/>
    </xf>
    <xf numFmtId="0" fontId="92" fillId="0" borderId="0" xfId="1" applyFont="1" applyFill="1" applyAlignment="1">
      <alignment horizontal="center"/>
    </xf>
    <xf numFmtId="184" fontId="92" fillId="0" borderId="0" xfId="1" applyNumberFormat="1" applyFont="1" applyFill="1" applyAlignment="1">
      <alignment horizontal="center"/>
    </xf>
    <xf numFmtId="183" fontId="92" fillId="0" borderId="0" xfId="1" applyNumberFormat="1" applyFont="1" applyFill="1" applyAlignment="1">
      <alignment horizontal="center"/>
    </xf>
    <xf numFmtId="10" fontId="0" fillId="0" borderId="0" xfId="7" applyNumberFormat="1" applyFont="1" applyFill="1"/>
    <xf numFmtId="44" fontId="92" fillId="0" borderId="0" xfId="573" applyFont="1" applyFill="1" applyAlignment="1">
      <alignment horizontal="center"/>
    </xf>
    <xf numFmtId="43" fontId="4" fillId="0" borderId="0" xfId="572" applyFont="1" applyFill="1"/>
    <xf numFmtId="188" fontId="0" fillId="0" borderId="0" xfId="1" applyNumberFormat="1" applyFont="1" applyFill="1" applyAlignment="1">
      <alignment horizontal="right"/>
    </xf>
    <xf numFmtId="188" fontId="0" fillId="0" borderId="0" xfId="1" applyNumberFormat="1" applyFont="1" applyFill="1" applyAlignment="1">
      <alignment horizontal="center"/>
    </xf>
    <xf numFmtId="187" fontId="0" fillId="0" borderId="0" xfId="1" applyNumberFormat="1" applyFont="1" applyFill="1" applyAlignment="1">
      <alignment horizontal="center"/>
    </xf>
    <xf numFmtId="0" fontId="4" fillId="0" borderId="0" xfId="1" applyFont="1" applyFill="1"/>
    <xf numFmtId="168" fontId="0" fillId="0" borderId="4" xfId="3" applyNumberFormat="1" applyFont="1" applyFill="1" applyBorder="1"/>
    <xf numFmtId="10" fontId="0" fillId="0" borderId="4" xfId="576" applyNumberFormat="1" applyFont="1" applyFill="1" applyBorder="1"/>
    <xf numFmtId="43" fontId="4" fillId="0" borderId="4" xfId="572" applyFont="1" applyFill="1" applyBorder="1"/>
    <xf numFmtId="168" fontId="92" fillId="0" borderId="4" xfId="573" applyNumberFormat="1" applyFont="1" applyFill="1" applyBorder="1"/>
    <xf numFmtId="10" fontId="0" fillId="0" borderId="4" xfId="7" applyNumberFormat="1" applyFont="1" applyFill="1" applyBorder="1"/>
    <xf numFmtId="43" fontId="0" fillId="0" borderId="0" xfId="1" applyNumberFormat="1" applyFont="1"/>
    <xf numFmtId="17" fontId="11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165" fontId="4" fillId="0" borderId="0" xfId="577" applyNumberFormat="1"/>
    <xf numFmtId="0" fontId="103" fillId="0" borderId="0" xfId="577" applyFont="1"/>
    <xf numFmtId="0" fontId="4" fillId="0" borderId="0" xfId="577" applyAlignment="1">
      <alignment horizontal="center"/>
    </xf>
    <xf numFmtId="0" fontId="4" fillId="0" borderId="0" xfId="577"/>
    <xf numFmtId="41" fontId="6" fillId="0" borderId="0" xfId="582" applyFill="1"/>
    <xf numFmtId="0" fontId="11" fillId="0" borderId="0" xfId="1" applyFont="1"/>
    <xf numFmtId="165" fontId="9" fillId="0" borderId="0" xfId="1" applyNumberFormat="1" applyFont="1"/>
    <xf numFmtId="165" fontId="11" fillId="0" borderId="0" xfId="1" applyNumberFormat="1" applyFont="1" applyAlignment="1">
      <alignment horizontal="center"/>
    </xf>
    <xf numFmtId="17" fontId="90" fillId="0" borderId="0" xfId="1" applyNumberFormat="1" applyFont="1" applyAlignment="1">
      <alignment horizontal="center"/>
    </xf>
    <xf numFmtId="165" fontId="90" fillId="0" borderId="0" xfId="1" applyNumberFormat="1" applyFont="1" applyAlignment="1">
      <alignment horizontal="center"/>
    </xf>
    <xf numFmtId="0" fontId="92" fillId="68" borderId="0" xfId="12" applyFont="1" applyFill="1" applyAlignment="1">
      <alignment horizontal="left"/>
    </xf>
    <xf numFmtId="43" fontId="4" fillId="0" borderId="0" xfId="578" applyFont="1" applyFill="1"/>
    <xf numFmtId="43" fontId="4" fillId="0" borderId="0" xfId="2" applyFont="1" applyFill="1"/>
    <xf numFmtId="168" fontId="4" fillId="0" borderId="0" xfId="579" applyNumberFormat="1" applyFont="1" applyFill="1"/>
    <xf numFmtId="165" fontId="4" fillId="0" borderId="0" xfId="2" applyNumberFormat="1" applyFont="1" applyFill="1"/>
    <xf numFmtId="43" fontId="4" fillId="0" borderId="2" xfId="578" applyFont="1" applyFill="1" applyBorder="1"/>
    <xf numFmtId="42" fontId="4" fillId="0" borderId="2" xfId="3" applyNumberFormat="1" applyFont="1" applyFill="1" applyBorder="1"/>
    <xf numFmtId="168" fontId="4" fillId="0" borderId="2" xfId="579" applyNumberFormat="1" applyFont="1" applyFill="1" applyBorder="1"/>
    <xf numFmtId="40" fontId="4" fillId="0" borderId="0" xfId="1" applyNumberFormat="1" applyFont="1"/>
    <xf numFmtId="42" fontId="4" fillId="0" borderId="0" xfId="3" applyNumberFormat="1" applyFont="1" applyFill="1" applyBorder="1"/>
    <xf numFmtId="43" fontId="5" fillId="0" borderId="2" xfId="578" applyFont="1" applyFill="1" applyBorder="1"/>
    <xf numFmtId="0" fontId="89" fillId="0" borderId="0" xfId="1" applyFont="1"/>
    <xf numFmtId="169" fontId="11" fillId="0" borderId="0" xfId="1" applyNumberFormat="1" applyFont="1" applyAlignment="1">
      <alignment horizontal="center"/>
    </xf>
    <xf numFmtId="169" fontId="90" fillId="0" borderId="0" xfId="1" applyNumberFormat="1" applyFont="1" applyAlignment="1">
      <alignment horizontal="center"/>
    </xf>
    <xf numFmtId="0" fontId="11" fillId="0" borderId="0" xfId="1" quotePrefix="1" applyFont="1" applyAlignment="1">
      <alignment horizontal="center"/>
    </xf>
    <xf numFmtId="0" fontId="11" fillId="0" borderId="0" xfId="1" quotePrefix="1" applyFont="1" applyAlignment="1">
      <alignment horizontal="center" wrapText="1"/>
    </xf>
    <xf numFmtId="0" fontId="12" fillId="0" borderId="0" xfId="12" applyFont="1" applyAlignment="1">
      <alignment horizontal="left"/>
    </xf>
    <xf numFmtId="169" fontId="9" fillId="0" borderId="0" xfId="12" applyNumberFormat="1" applyFont="1" applyAlignment="1">
      <alignment horizontal="center"/>
    </xf>
    <xf numFmtId="14" fontId="9" fillId="0" borderId="0" xfId="578" applyNumberFormat="1" applyFont="1" applyFill="1" applyAlignment="1">
      <alignment horizontal="center"/>
    </xf>
    <xf numFmtId="43" fontId="0" fillId="0" borderId="0" xfId="578" applyFont="1"/>
    <xf numFmtId="168" fontId="0" fillId="0" borderId="0" xfId="579" applyNumberFormat="1" applyFont="1"/>
    <xf numFmtId="170" fontId="9" fillId="0" borderId="0" xfId="12" applyNumberFormat="1" applyFont="1" applyAlignment="1">
      <alignment horizontal="center"/>
    </xf>
    <xf numFmtId="43" fontId="0" fillId="0" borderId="1" xfId="578" applyFont="1" applyBorder="1"/>
    <xf numFmtId="168" fontId="89" fillId="0" borderId="0" xfId="579" applyNumberFormat="1" applyFont="1" applyFill="1" applyAlignment="1">
      <alignment horizontal="right"/>
    </xf>
    <xf numFmtId="0" fontId="9" fillId="0" borderId="0" xfId="12" applyFont="1" applyAlignment="1">
      <alignment horizontal="left"/>
    </xf>
    <xf numFmtId="43" fontId="5" fillId="0" borderId="3" xfId="578" applyFont="1" applyBorder="1"/>
    <xf numFmtId="168" fontId="9" fillId="0" borderId="2" xfId="579" applyNumberFormat="1" applyFont="1" applyFill="1" applyBorder="1" applyAlignment="1">
      <alignment horizontal="right"/>
    </xf>
    <xf numFmtId="0" fontId="93" fillId="0" borderId="0" xfId="577" applyFont="1"/>
    <xf numFmtId="0" fontId="11" fillId="0" borderId="0" xfId="1" applyFont="1" applyAlignment="1" applyProtection="1">
      <alignment horizontal="center"/>
      <protection locked="0"/>
    </xf>
    <xf numFmtId="169" fontId="90" fillId="0" borderId="0" xfId="1" applyNumberFormat="1" applyFont="1" applyAlignment="1">
      <alignment horizontal="center" wrapText="1"/>
    </xf>
    <xf numFmtId="0" fontId="90" fillId="0" borderId="0" xfId="1" applyFont="1" applyAlignment="1" applyProtection="1">
      <alignment horizontal="center"/>
      <protection locked="0"/>
    </xf>
    <xf numFmtId="0" fontId="96" fillId="0" borderId="0" xfId="1" applyFont="1"/>
    <xf numFmtId="43" fontId="9" fillId="0" borderId="0" xfId="578" applyFont="1" applyFill="1" applyAlignment="1">
      <alignment horizontal="center"/>
    </xf>
    <xf numFmtId="0" fontId="92" fillId="0" borderId="0" xfId="12" applyFont="1" applyAlignment="1">
      <alignment horizontal="left"/>
    </xf>
    <xf numFmtId="185" fontId="92" fillId="0" borderId="0" xfId="12" applyNumberFormat="1" applyFont="1" applyAlignment="1">
      <alignment horizontal="center"/>
    </xf>
    <xf numFmtId="43" fontId="0" fillId="0" borderId="0" xfId="578" applyFont="1" applyFill="1"/>
    <xf numFmtId="42" fontId="92" fillId="0" borderId="0" xfId="579" applyNumberFormat="1" applyFont="1" applyFill="1" applyAlignment="1"/>
    <xf numFmtId="168" fontId="0" fillId="0" borderId="0" xfId="579" applyNumberFormat="1" applyFont="1" applyFill="1"/>
    <xf numFmtId="43" fontId="0" fillId="0" borderId="1" xfId="578" applyFont="1" applyFill="1" applyBorder="1"/>
    <xf numFmtId="0" fontId="9" fillId="0" borderId="0" xfId="577" applyFont="1"/>
    <xf numFmtId="171" fontId="11" fillId="0" borderId="0" xfId="1" applyNumberFormat="1" applyFont="1" applyAlignment="1">
      <alignment horizontal="center"/>
    </xf>
    <xf numFmtId="171" fontId="90" fillId="0" borderId="0" xfId="1" applyNumberFormat="1" applyFont="1" applyAlignment="1">
      <alignment horizontal="center"/>
    </xf>
    <xf numFmtId="0" fontId="11" fillId="0" borderId="0" xfId="1" quotePrefix="1" applyFont="1" applyAlignment="1" applyProtection="1">
      <alignment horizontal="center"/>
      <protection locked="0"/>
    </xf>
    <xf numFmtId="168" fontId="92" fillId="68" borderId="0" xfId="579" applyNumberFormat="1" applyFont="1" applyFill="1" applyBorder="1"/>
    <xf numFmtId="168" fontId="0" fillId="0" borderId="0" xfId="579" applyNumberFormat="1" applyFont="1" applyAlignment="1">
      <alignment horizontal="right"/>
    </xf>
    <xf numFmtId="0" fontId="9" fillId="0" borderId="0" xfId="1" applyFont="1" applyProtection="1">
      <protection locked="0"/>
    </xf>
    <xf numFmtId="168" fontId="9" fillId="0" borderId="0" xfId="1" applyNumberFormat="1" applyFont="1" applyProtection="1">
      <protection locked="0"/>
    </xf>
    <xf numFmtId="168" fontId="9" fillId="0" borderId="2" xfId="579" applyNumberFormat="1" applyFont="1" applyFill="1" applyBorder="1" applyProtection="1">
      <protection locked="0"/>
    </xf>
    <xf numFmtId="0" fontId="4" fillId="0" borderId="0" xfId="577" applyAlignment="1">
      <alignment horizontal="right"/>
    </xf>
    <xf numFmtId="0" fontId="92" fillId="0" borderId="0" xfId="12" applyFont="1" applyFill="1" applyAlignment="1">
      <alignment horizontal="left"/>
    </xf>
    <xf numFmtId="168" fontId="0" fillId="0" borderId="0" xfId="579" applyNumberFormat="1" applyFont="1" applyFill="1" applyAlignment="1">
      <alignment horizontal="center"/>
    </xf>
    <xf numFmtId="43" fontId="0" fillId="0" borderId="0" xfId="578" applyFont="1" applyFill="1" applyBorder="1"/>
    <xf numFmtId="2" fontId="104" fillId="0" borderId="3" xfId="0" applyNumberFormat="1" applyFont="1" applyFill="1" applyBorder="1"/>
    <xf numFmtId="168" fontId="92" fillId="0" borderId="3" xfId="3" applyNumberFormat="1" applyFont="1" applyFill="1" applyBorder="1"/>
    <xf numFmtId="186" fontId="92" fillId="0" borderId="0" xfId="1" applyNumberFormat="1" applyFont="1" applyFill="1" applyAlignment="1">
      <alignment horizontal="center"/>
    </xf>
    <xf numFmtId="168" fontId="92" fillId="0" borderId="0" xfId="579" applyNumberFormat="1" applyFont="1" applyFill="1"/>
    <xf numFmtId="0" fontId="4" fillId="0" borderId="0" xfId="1" applyFont="1" applyFill="1" applyAlignment="1">
      <alignment horizontal="center"/>
    </xf>
    <xf numFmtId="167" fontId="4" fillId="0" borderId="0" xfId="1" applyNumberFormat="1" applyFont="1" applyFill="1"/>
    <xf numFmtId="2" fontId="4" fillId="0" borderId="0" xfId="1" applyNumberFormat="1" applyFont="1" applyFill="1"/>
    <xf numFmtId="2" fontId="4" fillId="0" borderId="0" xfId="1" applyNumberFormat="1" applyFont="1" applyFill="1" applyAlignment="1">
      <alignment horizontal="center"/>
    </xf>
    <xf numFmtId="168" fontId="92" fillId="0" borderId="0" xfId="579" applyNumberFormat="1" applyFont="1" applyFill="1" applyBorder="1"/>
    <xf numFmtId="168" fontId="92" fillId="0" borderId="0" xfId="579" applyNumberFormat="1" applyFont="1" applyFill="1" applyBorder="1" applyProtection="1">
      <protection locked="0"/>
    </xf>
    <xf numFmtId="168" fontId="0" fillId="0" borderId="0" xfId="579" applyNumberFormat="1" applyFont="1" applyFill="1" applyAlignment="1">
      <alignment horizontal="right"/>
    </xf>
    <xf numFmtId="0" fontId="4" fillId="0" borderId="0" xfId="577" applyFill="1"/>
    <xf numFmtId="168" fontId="9" fillId="0" borderId="0" xfId="1" applyNumberFormat="1" applyFont="1" applyFill="1" applyProtection="1">
      <protection locked="0"/>
    </xf>
    <xf numFmtId="165" fontId="0" fillId="0" borderId="0" xfId="1" applyNumberFormat="1" applyFont="1" applyFill="1"/>
    <xf numFmtId="0" fontId="4" fillId="0" borderId="0" xfId="577" applyFill="1" applyAlignment="1">
      <alignment horizontal="right"/>
    </xf>
    <xf numFmtId="0" fontId="4" fillId="0" borderId="20" xfId="574" applyFont="1" applyFill="1" applyBorder="1" applyProtection="1"/>
    <xf numFmtId="0" fontId="4" fillId="0" borderId="0" xfId="574" applyFont="1" applyFill="1" applyBorder="1" applyProtection="1"/>
    <xf numFmtId="0" fontId="4" fillId="0" borderId="11" xfId="574" applyFont="1" applyFill="1" applyBorder="1" applyProtection="1"/>
    <xf numFmtId="0" fontId="5" fillId="0" borderId="0" xfId="574" applyFont="1" applyFill="1" applyBorder="1" applyProtection="1"/>
    <xf numFmtId="0" fontId="94" fillId="0" borderId="0" xfId="574" applyFont="1" applyFill="1" applyBorder="1" applyAlignment="1" applyProtection="1">
      <alignment horizontal="center"/>
    </xf>
    <xf numFmtId="182" fontId="4" fillId="0" borderId="0" xfId="574" applyNumberFormat="1" applyFont="1" applyFill="1" applyBorder="1" applyAlignment="1" applyProtection="1">
      <alignment horizontal="left" indent="1"/>
    </xf>
    <xf numFmtId="182" fontId="4" fillId="0" borderId="0" xfId="574" applyNumberFormat="1" applyFont="1" applyFill="1" applyBorder="1" applyAlignment="1" applyProtection="1">
      <alignment horizontal="left"/>
    </xf>
    <xf numFmtId="182" fontId="5" fillId="0" borderId="0" xfId="574" applyNumberFormat="1" applyFont="1" applyFill="1" applyBorder="1" applyAlignment="1" applyProtection="1">
      <alignment horizontal="left"/>
    </xf>
    <xf numFmtId="0" fontId="4" fillId="0" borderId="50" xfId="574" applyFont="1" applyFill="1" applyBorder="1" applyProtection="1"/>
    <xf numFmtId="0" fontId="4" fillId="0" borderId="1" xfId="574" applyFont="1" applyFill="1" applyBorder="1" applyProtection="1"/>
    <xf numFmtId="0" fontId="4" fillId="0" borderId="51" xfId="574" applyFont="1" applyFill="1" applyBorder="1" applyProtection="1"/>
    <xf numFmtId="43" fontId="101" fillId="0" borderId="0" xfId="575" applyNumberFormat="1" applyFont="1" applyFill="1" applyBorder="1" applyAlignment="1" applyProtection="1">
      <alignment horizontal="center"/>
    </xf>
    <xf numFmtId="0" fontId="94" fillId="0" borderId="0" xfId="574" applyFont="1" applyFill="1" applyBorder="1" applyAlignment="1" applyProtection="1">
      <alignment horizontal="right"/>
    </xf>
    <xf numFmtId="43" fontId="98" fillId="0" borderId="0" xfId="572" applyNumberFormat="1" applyFont="1" applyFill="1" applyBorder="1" applyAlignment="1" applyProtection="1">
      <alignment horizontal="center"/>
    </xf>
    <xf numFmtId="43" fontId="98" fillId="0" borderId="0" xfId="575" applyNumberFormat="1" applyFont="1" applyFill="1" applyBorder="1" applyAlignment="1" applyProtection="1">
      <alignment horizontal="center"/>
    </xf>
    <xf numFmtId="43" fontId="88" fillId="0" borderId="0" xfId="575" applyNumberFormat="1" applyFont="1" applyFill="1" applyBorder="1" applyAlignment="1" applyProtection="1">
      <alignment horizontal="center"/>
    </xf>
    <xf numFmtId="0" fontId="4" fillId="0" borderId="0" xfId="574" applyFont="1" applyBorder="1"/>
    <xf numFmtId="43" fontId="98" fillId="0" borderId="0" xfId="575" applyFont="1" applyFill="1" applyBorder="1" applyAlignment="1" applyProtection="1">
      <alignment horizontal="center"/>
    </xf>
    <xf numFmtId="0" fontId="4" fillId="0" borderId="0" xfId="574" applyFont="1" applyAlignment="1" applyProtection="1">
      <alignment horizontal="right"/>
    </xf>
    <xf numFmtId="43" fontId="98" fillId="69" borderId="45" xfId="575" applyFont="1" applyFill="1" applyBorder="1" applyAlignment="1" applyProtection="1">
      <alignment horizontal="center"/>
    </xf>
    <xf numFmtId="43" fontId="98" fillId="69" borderId="46" xfId="575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43" fontId="5" fillId="0" borderId="0" xfId="0" applyNumberFormat="1" applyFont="1" applyAlignment="1">
      <alignment horizontal="center"/>
    </xf>
    <xf numFmtId="0" fontId="5" fillId="0" borderId="0" xfId="577" applyFont="1" applyAlignment="1">
      <alignment horizontal="center"/>
    </xf>
    <xf numFmtId="0" fontId="5" fillId="0" borderId="5" xfId="577" applyFont="1" applyBorder="1" applyAlignment="1">
      <alignment horizontal="center"/>
    </xf>
  </cellXfs>
  <cellStyles count="596">
    <cellStyle name="20% - Accent1 10" xfId="18" xr:uid="{00000000-0005-0000-0000-000000000000}"/>
    <cellStyle name="20% - Accent1 11" xfId="19" xr:uid="{00000000-0005-0000-0000-000001000000}"/>
    <cellStyle name="20% - Accent1 12" xfId="20" xr:uid="{00000000-0005-0000-0000-000002000000}"/>
    <cellStyle name="20% - Accent1 13" xfId="21" xr:uid="{00000000-0005-0000-0000-000003000000}"/>
    <cellStyle name="20% - Accent1 14" xfId="22" xr:uid="{00000000-0005-0000-0000-000004000000}"/>
    <cellStyle name="20% - Accent1 15" xfId="23" xr:uid="{00000000-0005-0000-0000-000005000000}"/>
    <cellStyle name="20% - Accent1 16" xfId="24" xr:uid="{00000000-0005-0000-0000-000006000000}"/>
    <cellStyle name="20% - Accent1 17" xfId="25" xr:uid="{00000000-0005-0000-0000-000007000000}"/>
    <cellStyle name="20% - Accent1 18" xfId="26" xr:uid="{00000000-0005-0000-0000-000008000000}"/>
    <cellStyle name="20% - Accent1 19" xfId="27" xr:uid="{00000000-0005-0000-0000-000009000000}"/>
    <cellStyle name="20% - Accent1 2" xfId="28" xr:uid="{00000000-0005-0000-0000-00000A000000}"/>
    <cellStyle name="20% - Accent1 20" xfId="29" xr:uid="{00000000-0005-0000-0000-00000B000000}"/>
    <cellStyle name="20% - Accent1 3" xfId="30" xr:uid="{00000000-0005-0000-0000-00000C000000}"/>
    <cellStyle name="20% - Accent1 4" xfId="31" xr:uid="{00000000-0005-0000-0000-00000D000000}"/>
    <cellStyle name="20% - Accent1 5" xfId="32" xr:uid="{00000000-0005-0000-0000-00000E000000}"/>
    <cellStyle name="20% - Accent1 6" xfId="33" xr:uid="{00000000-0005-0000-0000-00000F000000}"/>
    <cellStyle name="20% - Accent1 7" xfId="34" xr:uid="{00000000-0005-0000-0000-000010000000}"/>
    <cellStyle name="20% - Accent1 8" xfId="35" xr:uid="{00000000-0005-0000-0000-000011000000}"/>
    <cellStyle name="20% - Accent1 9" xfId="36" xr:uid="{00000000-0005-0000-0000-000012000000}"/>
    <cellStyle name="20% - Accent2 10" xfId="37" xr:uid="{00000000-0005-0000-0000-000013000000}"/>
    <cellStyle name="20% - Accent2 11" xfId="38" xr:uid="{00000000-0005-0000-0000-000014000000}"/>
    <cellStyle name="20% - Accent2 12" xfId="39" xr:uid="{00000000-0005-0000-0000-000015000000}"/>
    <cellStyle name="20% - Accent2 13" xfId="40" xr:uid="{00000000-0005-0000-0000-000016000000}"/>
    <cellStyle name="20% - Accent2 14" xfId="41" xr:uid="{00000000-0005-0000-0000-000017000000}"/>
    <cellStyle name="20% - Accent2 15" xfId="42" xr:uid="{00000000-0005-0000-0000-000018000000}"/>
    <cellStyle name="20% - Accent2 16" xfId="43" xr:uid="{00000000-0005-0000-0000-000019000000}"/>
    <cellStyle name="20% - Accent2 17" xfId="44" xr:uid="{00000000-0005-0000-0000-00001A000000}"/>
    <cellStyle name="20% - Accent2 18" xfId="45" xr:uid="{00000000-0005-0000-0000-00001B000000}"/>
    <cellStyle name="20% - Accent2 19" xfId="46" xr:uid="{00000000-0005-0000-0000-00001C000000}"/>
    <cellStyle name="20% - Accent2 2" xfId="47" xr:uid="{00000000-0005-0000-0000-00001D000000}"/>
    <cellStyle name="20% - Accent2 20" xfId="48" xr:uid="{00000000-0005-0000-0000-00001E000000}"/>
    <cellStyle name="20% - Accent2 3" xfId="49" xr:uid="{00000000-0005-0000-0000-00001F000000}"/>
    <cellStyle name="20% - Accent2 4" xfId="50" xr:uid="{00000000-0005-0000-0000-000020000000}"/>
    <cellStyle name="20% - Accent2 5" xfId="51" xr:uid="{00000000-0005-0000-0000-000021000000}"/>
    <cellStyle name="20% - Accent2 6" xfId="52" xr:uid="{00000000-0005-0000-0000-000022000000}"/>
    <cellStyle name="20% - Accent2 7" xfId="53" xr:uid="{00000000-0005-0000-0000-000023000000}"/>
    <cellStyle name="20% - Accent2 8" xfId="54" xr:uid="{00000000-0005-0000-0000-000024000000}"/>
    <cellStyle name="20% - Accent2 9" xfId="55" xr:uid="{00000000-0005-0000-0000-000025000000}"/>
    <cellStyle name="20% - Accent3 10" xfId="56" xr:uid="{00000000-0005-0000-0000-000026000000}"/>
    <cellStyle name="20% - Accent3 11" xfId="57" xr:uid="{00000000-0005-0000-0000-000027000000}"/>
    <cellStyle name="20% - Accent3 12" xfId="58" xr:uid="{00000000-0005-0000-0000-000028000000}"/>
    <cellStyle name="20% - Accent3 13" xfId="59" xr:uid="{00000000-0005-0000-0000-000029000000}"/>
    <cellStyle name="20% - Accent3 14" xfId="60" xr:uid="{00000000-0005-0000-0000-00002A000000}"/>
    <cellStyle name="20% - Accent3 15" xfId="61" xr:uid="{00000000-0005-0000-0000-00002B000000}"/>
    <cellStyle name="20% - Accent3 16" xfId="62" xr:uid="{00000000-0005-0000-0000-00002C000000}"/>
    <cellStyle name="20% - Accent3 17" xfId="63" xr:uid="{00000000-0005-0000-0000-00002D000000}"/>
    <cellStyle name="20% - Accent3 18" xfId="64" xr:uid="{00000000-0005-0000-0000-00002E000000}"/>
    <cellStyle name="20% - Accent3 19" xfId="65" xr:uid="{00000000-0005-0000-0000-00002F000000}"/>
    <cellStyle name="20% - Accent3 2" xfId="66" xr:uid="{00000000-0005-0000-0000-000030000000}"/>
    <cellStyle name="20% - Accent3 20" xfId="67" xr:uid="{00000000-0005-0000-0000-000031000000}"/>
    <cellStyle name="20% - Accent3 3" xfId="68" xr:uid="{00000000-0005-0000-0000-000032000000}"/>
    <cellStyle name="20% - Accent3 4" xfId="69" xr:uid="{00000000-0005-0000-0000-000033000000}"/>
    <cellStyle name="20% - Accent3 5" xfId="70" xr:uid="{00000000-0005-0000-0000-000034000000}"/>
    <cellStyle name="20% - Accent3 6" xfId="71" xr:uid="{00000000-0005-0000-0000-000035000000}"/>
    <cellStyle name="20% - Accent3 7" xfId="72" xr:uid="{00000000-0005-0000-0000-000036000000}"/>
    <cellStyle name="20% - Accent3 8" xfId="73" xr:uid="{00000000-0005-0000-0000-000037000000}"/>
    <cellStyle name="20% - Accent3 9" xfId="74" xr:uid="{00000000-0005-0000-0000-000038000000}"/>
    <cellStyle name="20% - Accent4 10" xfId="75" xr:uid="{00000000-0005-0000-0000-000039000000}"/>
    <cellStyle name="20% - Accent4 11" xfId="76" xr:uid="{00000000-0005-0000-0000-00003A000000}"/>
    <cellStyle name="20% - Accent4 12" xfId="77" xr:uid="{00000000-0005-0000-0000-00003B000000}"/>
    <cellStyle name="20% - Accent4 13" xfId="78" xr:uid="{00000000-0005-0000-0000-00003C000000}"/>
    <cellStyle name="20% - Accent4 14" xfId="79" xr:uid="{00000000-0005-0000-0000-00003D000000}"/>
    <cellStyle name="20% - Accent4 15" xfId="80" xr:uid="{00000000-0005-0000-0000-00003E000000}"/>
    <cellStyle name="20% - Accent4 16" xfId="81" xr:uid="{00000000-0005-0000-0000-00003F000000}"/>
    <cellStyle name="20% - Accent4 17" xfId="82" xr:uid="{00000000-0005-0000-0000-000040000000}"/>
    <cellStyle name="20% - Accent4 18" xfId="83" xr:uid="{00000000-0005-0000-0000-000041000000}"/>
    <cellStyle name="20% - Accent4 19" xfId="84" xr:uid="{00000000-0005-0000-0000-000042000000}"/>
    <cellStyle name="20% - Accent4 2" xfId="85" xr:uid="{00000000-0005-0000-0000-000043000000}"/>
    <cellStyle name="20% - Accent4 20" xfId="86" xr:uid="{00000000-0005-0000-0000-000044000000}"/>
    <cellStyle name="20% - Accent4 3" xfId="87" xr:uid="{00000000-0005-0000-0000-000045000000}"/>
    <cellStyle name="20% - Accent4 4" xfId="88" xr:uid="{00000000-0005-0000-0000-000046000000}"/>
    <cellStyle name="20% - Accent4 5" xfId="89" xr:uid="{00000000-0005-0000-0000-000047000000}"/>
    <cellStyle name="20% - Accent4 6" xfId="90" xr:uid="{00000000-0005-0000-0000-000048000000}"/>
    <cellStyle name="20% - Accent4 7" xfId="91" xr:uid="{00000000-0005-0000-0000-000049000000}"/>
    <cellStyle name="20% - Accent4 8" xfId="92" xr:uid="{00000000-0005-0000-0000-00004A000000}"/>
    <cellStyle name="20% - Accent4 9" xfId="93" xr:uid="{00000000-0005-0000-0000-00004B000000}"/>
    <cellStyle name="20% - Accent5 10" xfId="94" xr:uid="{00000000-0005-0000-0000-00004C000000}"/>
    <cellStyle name="20% - Accent5 11" xfId="95" xr:uid="{00000000-0005-0000-0000-00004D000000}"/>
    <cellStyle name="20% - Accent5 12" xfId="96" xr:uid="{00000000-0005-0000-0000-00004E000000}"/>
    <cellStyle name="20% - Accent5 13" xfId="97" xr:uid="{00000000-0005-0000-0000-00004F000000}"/>
    <cellStyle name="20% - Accent5 14" xfId="98" xr:uid="{00000000-0005-0000-0000-000050000000}"/>
    <cellStyle name="20% - Accent5 15" xfId="99" xr:uid="{00000000-0005-0000-0000-000051000000}"/>
    <cellStyle name="20% - Accent5 16" xfId="100" xr:uid="{00000000-0005-0000-0000-000052000000}"/>
    <cellStyle name="20% - Accent5 17" xfId="101" xr:uid="{00000000-0005-0000-0000-000053000000}"/>
    <cellStyle name="20% - Accent5 18" xfId="102" xr:uid="{00000000-0005-0000-0000-000054000000}"/>
    <cellStyle name="20% - Accent5 19" xfId="103" xr:uid="{00000000-0005-0000-0000-000055000000}"/>
    <cellStyle name="20% - Accent5 2" xfId="104" xr:uid="{00000000-0005-0000-0000-000056000000}"/>
    <cellStyle name="20% - Accent5 20" xfId="105" xr:uid="{00000000-0005-0000-0000-000057000000}"/>
    <cellStyle name="20% - Accent5 3" xfId="106" xr:uid="{00000000-0005-0000-0000-000058000000}"/>
    <cellStyle name="20% - Accent5 4" xfId="107" xr:uid="{00000000-0005-0000-0000-000059000000}"/>
    <cellStyle name="20% - Accent5 5" xfId="108" xr:uid="{00000000-0005-0000-0000-00005A000000}"/>
    <cellStyle name="20% - Accent5 6" xfId="109" xr:uid="{00000000-0005-0000-0000-00005B000000}"/>
    <cellStyle name="20% - Accent5 7" xfId="110" xr:uid="{00000000-0005-0000-0000-00005C000000}"/>
    <cellStyle name="20% - Accent5 8" xfId="111" xr:uid="{00000000-0005-0000-0000-00005D000000}"/>
    <cellStyle name="20% - Accent5 9" xfId="112" xr:uid="{00000000-0005-0000-0000-00005E000000}"/>
    <cellStyle name="20% - Accent6 10" xfId="113" xr:uid="{00000000-0005-0000-0000-00005F000000}"/>
    <cellStyle name="20% - Accent6 11" xfId="114" xr:uid="{00000000-0005-0000-0000-000060000000}"/>
    <cellStyle name="20% - Accent6 12" xfId="115" xr:uid="{00000000-0005-0000-0000-000061000000}"/>
    <cellStyle name="20% - Accent6 13" xfId="116" xr:uid="{00000000-0005-0000-0000-000062000000}"/>
    <cellStyle name="20% - Accent6 14" xfId="117" xr:uid="{00000000-0005-0000-0000-000063000000}"/>
    <cellStyle name="20% - Accent6 15" xfId="118" xr:uid="{00000000-0005-0000-0000-000064000000}"/>
    <cellStyle name="20% - Accent6 16" xfId="119" xr:uid="{00000000-0005-0000-0000-000065000000}"/>
    <cellStyle name="20% - Accent6 17" xfId="120" xr:uid="{00000000-0005-0000-0000-000066000000}"/>
    <cellStyle name="20% - Accent6 18" xfId="121" xr:uid="{00000000-0005-0000-0000-000067000000}"/>
    <cellStyle name="20% - Accent6 19" xfId="122" xr:uid="{00000000-0005-0000-0000-000068000000}"/>
    <cellStyle name="20% - Accent6 2" xfId="123" xr:uid="{00000000-0005-0000-0000-000069000000}"/>
    <cellStyle name="20% - Accent6 20" xfId="124" xr:uid="{00000000-0005-0000-0000-00006A000000}"/>
    <cellStyle name="20% - Accent6 3" xfId="125" xr:uid="{00000000-0005-0000-0000-00006B000000}"/>
    <cellStyle name="20% - Accent6 4" xfId="126" xr:uid="{00000000-0005-0000-0000-00006C000000}"/>
    <cellStyle name="20% - Accent6 5" xfId="127" xr:uid="{00000000-0005-0000-0000-00006D000000}"/>
    <cellStyle name="20% - Accent6 6" xfId="128" xr:uid="{00000000-0005-0000-0000-00006E000000}"/>
    <cellStyle name="20% - Accent6 7" xfId="129" xr:uid="{00000000-0005-0000-0000-00006F000000}"/>
    <cellStyle name="20% - Accent6 8" xfId="130" xr:uid="{00000000-0005-0000-0000-000070000000}"/>
    <cellStyle name="20% - Accent6 9" xfId="131" xr:uid="{00000000-0005-0000-0000-000071000000}"/>
    <cellStyle name="40% - Accent1 10" xfId="132" xr:uid="{00000000-0005-0000-0000-000072000000}"/>
    <cellStyle name="40% - Accent1 11" xfId="133" xr:uid="{00000000-0005-0000-0000-000073000000}"/>
    <cellStyle name="40% - Accent1 12" xfId="134" xr:uid="{00000000-0005-0000-0000-000074000000}"/>
    <cellStyle name="40% - Accent1 13" xfId="135" xr:uid="{00000000-0005-0000-0000-000075000000}"/>
    <cellStyle name="40% - Accent1 14" xfId="136" xr:uid="{00000000-0005-0000-0000-000076000000}"/>
    <cellStyle name="40% - Accent1 15" xfId="137" xr:uid="{00000000-0005-0000-0000-000077000000}"/>
    <cellStyle name="40% - Accent1 16" xfId="138" xr:uid="{00000000-0005-0000-0000-000078000000}"/>
    <cellStyle name="40% - Accent1 17" xfId="139" xr:uid="{00000000-0005-0000-0000-000079000000}"/>
    <cellStyle name="40% - Accent1 18" xfId="140" xr:uid="{00000000-0005-0000-0000-00007A000000}"/>
    <cellStyle name="40% - Accent1 19" xfId="141" xr:uid="{00000000-0005-0000-0000-00007B000000}"/>
    <cellStyle name="40% - Accent1 2" xfId="142" xr:uid="{00000000-0005-0000-0000-00007C000000}"/>
    <cellStyle name="40% - Accent1 20" xfId="143" xr:uid="{00000000-0005-0000-0000-00007D000000}"/>
    <cellStyle name="40% - Accent1 3" xfId="144" xr:uid="{00000000-0005-0000-0000-00007E000000}"/>
    <cellStyle name="40% - Accent1 4" xfId="145" xr:uid="{00000000-0005-0000-0000-00007F000000}"/>
    <cellStyle name="40% - Accent1 5" xfId="146" xr:uid="{00000000-0005-0000-0000-000080000000}"/>
    <cellStyle name="40% - Accent1 6" xfId="147" xr:uid="{00000000-0005-0000-0000-000081000000}"/>
    <cellStyle name="40% - Accent1 7" xfId="148" xr:uid="{00000000-0005-0000-0000-000082000000}"/>
    <cellStyle name="40% - Accent1 8" xfId="149" xr:uid="{00000000-0005-0000-0000-000083000000}"/>
    <cellStyle name="40% - Accent1 9" xfId="150" xr:uid="{00000000-0005-0000-0000-000084000000}"/>
    <cellStyle name="40% - Accent2 10" xfId="151" xr:uid="{00000000-0005-0000-0000-000085000000}"/>
    <cellStyle name="40% - Accent2 11" xfId="152" xr:uid="{00000000-0005-0000-0000-000086000000}"/>
    <cellStyle name="40% - Accent2 12" xfId="153" xr:uid="{00000000-0005-0000-0000-000087000000}"/>
    <cellStyle name="40% - Accent2 13" xfId="154" xr:uid="{00000000-0005-0000-0000-000088000000}"/>
    <cellStyle name="40% - Accent2 14" xfId="155" xr:uid="{00000000-0005-0000-0000-000089000000}"/>
    <cellStyle name="40% - Accent2 15" xfId="156" xr:uid="{00000000-0005-0000-0000-00008A000000}"/>
    <cellStyle name="40% - Accent2 16" xfId="157" xr:uid="{00000000-0005-0000-0000-00008B000000}"/>
    <cellStyle name="40% - Accent2 17" xfId="158" xr:uid="{00000000-0005-0000-0000-00008C000000}"/>
    <cellStyle name="40% - Accent2 18" xfId="159" xr:uid="{00000000-0005-0000-0000-00008D000000}"/>
    <cellStyle name="40% - Accent2 19" xfId="160" xr:uid="{00000000-0005-0000-0000-00008E000000}"/>
    <cellStyle name="40% - Accent2 2" xfId="161" xr:uid="{00000000-0005-0000-0000-00008F000000}"/>
    <cellStyle name="40% - Accent2 20" xfId="162" xr:uid="{00000000-0005-0000-0000-000090000000}"/>
    <cellStyle name="40% - Accent2 3" xfId="163" xr:uid="{00000000-0005-0000-0000-000091000000}"/>
    <cellStyle name="40% - Accent2 4" xfId="164" xr:uid="{00000000-0005-0000-0000-000092000000}"/>
    <cellStyle name="40% - Accent2 5" xfId="165" xr:uid="{00000000-0005-0000-0000-000093000000}"/>
    <cellStyle name="40% - Accent2 6" xfId="166" xr:uid="{00000000-0005-0000-0000-000094000000}"/>
    <cellStyle name="40% - Accent2 7" xfId="167" xr:uid="{00000000-0005-0000-0000-000095000000}"/>
    <cellStyle name="40% - Accent2 8" xfId="168" xr:uid="{00000000-0005-0000-0000-000096000000}"/>
    <cellStyle name="40% - Accent2 9" xfId="169" xr:uid="{00000000-0005-0000-0000-000097000000}"/>
    <cellStyle name="40% - Accent3 10" xfId="170" xr:uid="{00000000-0005-0000-0000-000098000000}"/>
    <cellStyle name="40% - Accent3 11" xfId="171" xr:uid="{00000000-0005-0000-0000-000099000000}"/>
    <cellStyle name="40% - Accent3 12" xfId="172" xr:uid="{00000000-0005-0000-0000-00009A000000}"/>
    <cellStyle name="40% - Accent3 13" xfId="173" xr:uid="{00000000-0005-0000-0000-00009B000000}"/>
    <cellStyle name="40% - Accent3 14" xfId="174" xr:uid="{00000000-0005-0000-0000-00009C000000}"/>
    <cellStyle name="40% - Accent3 15" xfId="175" xr:uid="{00000000-0005-0000-0000-00009D000000}"/>
    <cellStyle name="40% - Accent3 16" xfId="176" xr:uid="{00000000-0005-0000-0000-00009E000000}"/>
    <cellStyle name="40% - Accent3 17" xfId="177" xr:uid="{00000000-0005-0000-0000-00009F000000}"/>
    <cellStyle name="40% - Accent3 18" xfId="178" xr:uid="{00000000-0005-0000-0000-0000A0000000}"/>
    <cellStyle name="40% - Accent3 19" xfId="179" xr:uid="{00000000-0005-0000-0000-0000A1000000}"/>
    <cellStyle name="40% - Accent3 2" xfId="180" xr:uid="{00000000-0005-0000-0000-0000A2000000}"/>
    <cellStyle name="40% - Accent3 20" xfId="181" xr:uid="{00000000-0005-0000-0000-0000A3000000}"/>
    <cellStyle name="40% - Accent3 3" xfId="182" xr:uid="{00000000-0005-0000-0000-0000A4000000}"/>
    <cellStyle name="40% - Accent3 4" xfId="183" xr:uid="{00000000-0005-0000-0000-0000A5000000}"/>
    <cellStyle name="40% - Accent3 5" xfId="184" xr:uid="{00000000-0005-0000-0000-0000A6000000}"/>
    <cellStyle name="40% - Accent3 6" xfId="185" xr:uid="{00000000-0005-0000-0000-0000A7000000}"/>
    <cellStyle name="40% - Accent3 7" xfId="186" xr:uid="{00000000-0005-0000-0000-0000A8000000}"/>
    <cellStyle name="40% - Accent3 8" xfId="187" xr:uid="{00000000-0005-0000-0000-0000A9000000}"/>
    <cellStyle name="40% - Accent3 9" xfId="188" xr:uid="{00000000-0005-0000-0000-0000AA000000}"/>
    <cellStyle name="40% - Accent4 10" xfId="189" xr:uid="{00000000-0005-0000-0000-0000AB000000}"/>
    <cellStyle name="40% - Accent4 11" xfId="190" xr:uid="{00000000-0005-0000-0000-0000AC000000}"/>
    <cellStyle name="40% - Accent4 12" xfId="191" xr:uid="{00000000-0005-0000-0000-0000AD000000}"/>
    <cellStyle name="40% - Accent4 13" xfId="192" xr:uid="{00000000-0005-0000-0000-0000AE000000}"/>
    <cellStyle name="40% - Accent4 14" xfId="193" xr:uid="{00000000-0005-0000-0000-0000AF000000}"/>
    <cellStyle name="40% - Accent4 15" xfId="194" xr:uid="{00000000-0005-0000-0000-0000B0000000}"/>
    <cellStyle name="40% - Accent4 16" xfId="195" xr:uid="{00000000-0005-0000-0000-0000B1000000}"/>
    <cellStyle name="40% - Accent4 17" xfId="196" xr:uid="{00000000-0005-0000-0000-0000B2000000}"/>
    <cellStyle name="40% - Accent4 18" xfId="197" xr:uid="{00000000-0005-0000-0000-0000B3000000}"/>
    <cellStyle name="40% - Accent4 19" xfId="198" xr:uid="{00000000-0005-0000-0000-0000B4000000}"/>
    <cellStyle name="40% - Accent4 2" xfId="199" xr:uid="{00000000-0005-0000-0000-0000B5000000}"/>
    <cellStyle name="40% - Accent4 20" xfId="200" xr:uid="{00000000-0005-0000-0000-0000B6000000}"/>
    <cellStyle name="40% - Accent4 3" xfId="201" xr:uid="{00000000-0005-0000-0000-0000B7000000}"/>
    <cellStyle name="40% - Accent4 4" xfId="202" xr:uid="{00000000-0005-0000-0000-0000B8000000}"/>
    <cellStyle name="40% - Accent4 5" xfId="203" xr:uid="{00000000-0005-0000-0000-0000B9000000}"/>
    <cellStyle name="40% - Accent4 6" xfId="204" xr:uid="{00000000-0005-0000-0000-0000BA000000}"/>
    <cellStyle name="40% - Accent4 7" xfId="205" xr:uid="{00000000-0005-0000-0000-0000BB000000}"/>
    <cellStyle name="40% - Accent4 8" xfId="206" xr:uid="{00000000-0005-0000-0000-0000BC000000}"/>
    <cellStyle name="40% - Accent4 9" xfId="207" xr:uid="{00000000-0005-0000-0000-0000BD000000}"/>
    <cellStyle name="40% - Accent5 10" xfId="208" xr:uid="{00000000-0005-0000-0000-0000BE000000}"/>
    <cellStyle name="40% - Accent5 11" xfId="209" xr:uid="{00000000-0005-0000-0000-0000BF000000}"/>
    <cellStyle name="40% - Accent5 12" xfId="210" xr:uid="{00000000-0005-0000-0000-0000C0000000}"/>
    <cellStyle name="40% - Accent5 13" xfId="211" xr:uid="{00000000-0005-0000-0000-0000C1000000}"/>
    <cellStyle name="40% - Accent5 14" xfId="212" xr:uid="{00000000-0005-0000-0000-0000C2000000}"/>
    <cellStyle name="40% - Accent5 15" xfId="213" xr:uid="{00000000-0005-0000-0000-0000C3000000}"/>
    <cellStyle name="40% - Accent5 16" xfId="214" xr:uid="{00000000-0005-0000-0000-0000C4000000}"/>
    <cellStyle name="40% - Accent5 17" xfId="215" xr:uid="{00000000-0005-0000-0000-0000C5000000}"/>
    <cellStyle name="40% - Accent5 18" xfId="216" xr:uid="{00000000-0005-0000-0000-0000C6000000}"/>
    <cellStyle name="40% - Accent5 19" xfId="217" xr:uid="{00000000-0005-0000-0000-0000C7000000}"/>
    <cellStyle name="40% - Accent5 2" xfId="218" xr:uid="{00000000-0005-0000-0000-0000C8000000}"/>
    <cellStyle name="40% - Accent5 20" xfId="219" xr:uid="{00000000-0005-0000-0000-0000C9000000}"/>
    <cellStyle name="40% - Accent5 3" xfId="220" xr:uid="{00000000-0005-0000-0000-0000CA000000}"/>
    <cellStyle name="40% - Accent5 4" xfId="221" xr:uid="{00000000-0005-0000-0000-0000CB000000}"/>
    <cellStyle name="40% - Accent5 5" xfId="222" xr:uid="{00000000-0005-0000-0000-0000CC000000}"/>
    <cellStyle name="40% - Accent5 6" xfId="223" xr:uid="{00000000-0005-0000-0000-0000CD000000}"/>
    <cellStyle name="40% - Accent5 7" xfId="224" xr:uid="{00000000-0005-0000-0000-0000CE000000}"/>
    <cellStyle name="40% - Accent5 8" xfId="225" xr:uid="{00000000-0005-0000-0000-0000CF000000}"/>
    <cellStyle name="40% - Accent5 9" xfId="226" xr:uid="{00000000-0005-0000-0000-0000D0000000}"/>
    <cellStyle name="40% - Accent6 10" xfId="227" xr:uid="{00000000-0005-0000-0000-0000D1000000}"/>
    <cellStyle name="40% - Accent6 11" xfId="228" xr:uid="{00000000-0005-0000-0000-0000D2000000}"/>
    <cellStyle name="40% - Accent6 12" xfId="229" xr:uid="{00000000-0005-0000-0000-0000D3000000}"/>
    <cellStyle name="40% - Accent6 13" xfId="230" xr:uid="{00000000-0005-0000-0000-0000D4000000}"/>
    <cellStyle name="40% - Accent6 14" xfId="231" xr:uid="{00000000-0005-0000-0000-0000D5000000}"/>
    <cellStyle name="40% - Accent6 15" xfId="232" xr:uid="{00000000-0005-0000-0000-0000D6000000}"/>
    <cellStyle name="40% - Accent6 16" xfId="233" xr:uid="{00000000-0005-0000-0000-0000D7000000}"/>
    <cellStyle name="40% - Accent6 17" xfId="234" xr:uid="{00000000-0005-0000-0000-0000D8000000}"/>
    <cellStyle name="40% - Accent6 18" xfId="235" xr:uid="{00000000-0005-0000-0000-0000D9000000}"/>
    <cellStyle name="40% - Accent6 19" xfId="236" xr:uid="{00000000-0005-0000-0000-0000DA000000}"/>
    <cellStyle name="40% - Accent6 2" xfId="237" xr:uid="{00000000-0005-0000-0000-0000DB000000}"/>
    <cellStyle name="40% - Accent6 20" xfId="238" xr:uid="{00000000-0005-0000-0000-0000DC000000}"/>
    <cellStyle name="40% - Accent6 3" xfId="239" xr:uid="{00000000-0005-0000-0000-0000DD000000}"/>
    <cellStyle name="40% - Accent6 4" xfId="240" xr:uid="{00000000-0005-0000-0000-0000DE000000}"/>
    <cellStyle name="40% - Accent6 5" xfId="241" xr:uid="{00000000-0005-0000-0000-0000DF000000}"/>
    <cellStyle name="40% - Accent6 6" xfId="242" xr:uid="{00000000-0005-0000-0000-0000E0000000}"/>
    <cellStyle name="40% - Accent6 7" xfId="243" xr:uid="{00000000-0005-0000-0000-0000E1000000}"/>
    <cellStyle name="40% - Accent6 8" xfId="244" xr:uid="{00000000-0005-0000-0000-0000E2000000}"/>
    <cellStyle name="40% - Accent6 9" xfId="245" xr:uid="{00000000-0005-0000-0000-0000E3000000}"/>
    <cellStyle name="60% - Accent1 2" xfId="246" xr:uid="{00000000-0005-0000-0000-0000E4000000}"/>
    <cellStyle name="60% - Accent2 2" xfId="247" xr:uid="{00000000-0005-0000-0000-0000E5000000}"/>
    <cellStyle name="60% - Accent3 2" xfId="248" xr:uid="{00000000-0005-0000-0000-0000E6000000}"/>
    <cellStyle name="60% - Accent4 2" xfId="249" xr:uid="{00000000-0005-0000-0000-0000E7000000}"/>
    <cellStyle name="60% - Accent5 2" xfId="250" xr:uid="{00000000-0005-0000-0000-0000E8000000}"/>
    <cellStyle name="60% - Accent6 2" xfId="251" xr:uid="{00000000-0005-0000-0000-0000E9000000}"/>
    <cellStyle name="Accent1 2" xfId="252" xr:uid="{00000000-0005-0000-0000-0000EA000000}"/>
    <cellStyle name="Accent2 2" xfId="253" xr:uid="{00000000-0005-0000-0000-0000EB000000}"/>
    <cellStyle name="Accent3 2" xfId="254" xr:uid="{00000000-0005-0000-0000-0000EC000000}"/>
    <cellStyle name="Accent4 2" xfId="255" xr:uid="{00000000-0005-0000-0000-0000ED000000}"/>
    <cellStyle name="Accent5 2" xfId="256" xr:uid="{00000000-0005-0000-0000-0000EE000000}"/>
    <cellStyle name="Accent6 2" xfId="257" xr:uid="{00000000-0005-0000-0000-0000EF000000}"/>
    <cellStyle name="Actual Date" xfId="258" xr:uid="{00000000-0005-0000-0000-0000F0000000}"/>
    <cellStyle name="Affinity Input" xfId="259" xr:uid="{00000000-0005-0000-0000-0000F1000000}"/>
    <cellStyle name="Bad 2" xfId="260" xr:uid="{00000000-0005-0000-0000-0000F2000000}"/>
    <cellStyle name="Body" xfId="261" xr:uid="{00000000-0005-0000-0000-0000F3000000}"/>
    <cellStyle name="Calculation 2" xfId="262" xr:uid="{00000000-0005-0000-0000-0000F4000000}"/>
    <cellStyle name="Check Cell 2" xfId="263" xr:uid="{00000000-0005-0000-0000-0000F5000000}"/>
    <cellStyle name="ColumnAttributeAbovePrompt" xfId="264" xr:uid="{00000000-0005-0000-0000-0000F6000000}"/>
    <cellStyle name="ColumnAttributePrompt" xfId="265" xr:uid="{00000000-0005-0000-0000-0000F7000000}"/>
    <cellStyle name="ColumnAttributeValue" xfId="266" xr:uid="{00000000-0005-0000-0000-0000F8000000}"/>
    <cellStyle name="ColumnHeadingPrompt" xfId="267" xr:uid="{00000000-0005-0000-0000-0000F9000000}"/>
    <cellStyle name="ColumnHeadingValue" xfId="268" xr:uid="{00000000-0005-0000-0000-0000FA000000}"/>
    <cellStyle name="Comma" xfId="572" builtinId="3"/>
    <cellStyle name="Comma [0] 2" xfId="16" xr:uid="{00000000-0005-0000-0000-0000FC000000}"/>
    <cellStyle name="Comma [0] 3" xfId="269" xr:uid="{00000000-0005-0000-0000-0000FD000000}"/>
    <cellStyle name="Comma 10" xfId="529" xr:uid="{00000000-0005-0000-0000-0000FE000000}"/>
    <cellStyle name="Comma 11" xfId="530" xr:uid="{00000000-0005-0000-0000-0000FF000000}"/>
    <cellStyle name="Comma 12" xfId="531" xr:uid="{00000000-0005-0000-0000-000000010000}"/>
    <cellStyle name="Comma 13" xfId="527" xr:uid="{00000000-0005-0000-0000-000001010000}"/>
    <cellStyle name="Comma 14" xfId="575" xr:uid="{00000000-0005-0000-0000-000002010000}"/>
    <cellStyle name="Comma 15" xfId="583" xr:uid="{D7287647-A26F-470F-8F4B-0EEF99D83307}"/>
    <cellStyle name="Comma 2" xfId="6" xr:uid="{00000000-0005-0000-0000-000003010000}"/>
    <cellStyle name="Comma 2 2" xfId="271" xr:uid="{00000000-0005-0000-0000-000004010000}"/>
    <cellStyle name="Comma 2 2 2" xfId="272" xr:uid="{00000000-0005-0000-0000-000005010000}"/>
    <cellStyle name="Comma 2 3" xfId="270" xr:uid="{00000000-0005-0000-0000-000006010000}"/>
    <cellStyle name="Comma 2 4" xfId="578" xr:uid="{00000000-0005-0000-0000-000007010000}"/>
    <cellStyle name="Comma 3" xfId="4" xr:uid="{00000000-0005-0000-0000-000008010000}"/>
    <cellStyle name="Comma 3 2" xfId="532" xr:uid="{00000000-0005-0000-0000-000009010000}"/>
    <cellStyle name="Comma 4" xfId="2" xr:uid="{00000000-0005-0000-0000-00000A010000}"/>
    <cellStyle name="Comma 4 2" xfId="274" xr:uid="{00000000-0005-0000-0000-00000B010000}"/>
    <cellStyle name="Comma 4 3" xfId="273" xr:uid="{00000000-0005-0000-0000-00000C010000}"/>
    <cellStyle name="Comma 4 4" xfId="553" xr:uid="{00000000-0005-0000-0000-00000D010000}"/>
    <cellStyle name="Comma 4 5" xfId="584" xr:uid="{4346E822-7794-4C88-BA95-E51A955147C8}"/>
    <cellStyle name="Comma 5" xfId="275" xr:uid="{00000000-0005-0000-0000-00000E010000}"/>
    <cellStyle name="Comma 5 2" xfId="276" xr:uid="{00000000-0005-0000-0000-00000F010000}"/>
    <cellStyle name="Comma 6" xfId="277" xr:uid="{00000000-0005-0000-0000-000010010000}"/>
    <cellStyle name="Comma 6 2" xfId="278" xr:uid="{00000000-0005-0000-0000-000011010000}"/>
    <cellStyle name="Comma 7" xfId="279" xr:uid="{00000000-0005-0000-0000-000012010000}"/>
    <cellStyle name="Comma 8" xfId="523" xr:uid="{00000000-0005-0000-0000-000013010000}"/>
    <cellStyle name="Comma 9" xfId="533" xr:uid="{00000000-0005-0000-0000-000014010000}"/>
    <cellStyle name="CommaBlank" xfId="280" xr:uid="{00000000-0005-0000-0000-000015010000}"/>
    <cellStyle name="ContentsHyperlink" xfId="281" xr:uid="{00000000-0005-0000-0000-000016010000}"/>
    <cellStyle name="costper" xfId="282" xr:uid="{00000000-0005-0000-0000-000017010000}"/>
    <cellStyle name="Currency" xfId="573" builtinId="4"/>
    <cellStyle name="Currency [0] 2" xfId="283" xr:uid="{00000000-0005-0000-0000-000019010000}"/>
    <cellStyle name="Currency [2]" xfId="284" xr:uid="{00000000-0005-0000-0000-00001A010000}"/>
    <cellStyle name="Currency 10" xfId="285" xr:uid="{00000000-0005-0000-0000-00001B010000}"/>
    <cellStyle name="Currency 11" xfId="286" xr:uid="{00000000-0005-0000-0000-00001C010000}"/>
    <cellStyle name="Currency 12" xfId="524" xr:uid="{00000000-0005-0000-0000-00001D010000}"/>
    <cellStyle name="Currency 13" xfId="534" xr:uid="{00000000-0005-0000-0000-00001E010000}"/>
    <cellStyle name="Currency 14" xfId="535" xr:uid="{00000000-0005-0000-0000-00001F010000}"/>
    <cellStyle name="Currency 15" xfId="536" xr:uid="{00000000-0005-0000-0000-000020010000}"/>
    <cellStyle name="Currency 16" xfId="537" xr:uid="{00000000-0005-0000-0000-000021010000}"/>
    <cellStyle name="Currency 17" xfId="526" xr:uid="{00000000-0005-0000-0000-000022010000}"/>
    <cellStyle name="Currency 2" xfId="5" xr:uid="{00000000-0005-0000-0000-000023010000}"/>
    <cellStyle name="Currency 2 2" xfId="288" xr:uid="{00000000-0005-0000-0000-000024010000}"/>
    <cellStyle name="Currency 2 2 2" xfId="538" xr:uid="{00000000-0005-0000-0000-000025010000}"/>
    <cellStyle name="Currency 2 3" xfId="287" xr:uid="{00000000-0005-0000-0000-000026010000}"/>
    <cellStyle name="Currency 2 3 2" xfId="559" xr:uid="{00000000-0005-0000-0000-000027010000}"/>
    <cellStyle name="Currency 2 3 3" xfId="539" xr:uid="{00000000-0005-0000-0000-000028010000}"/>
    <cellStyle name="Currency 2 4" xfId="540" xr:uid="{00000000-0005-0000-0000-000029010000}"/>
    <cellStyle name="Currency 2 5" xfId="579" xr:uid="{00000000-0005-0000-0000-00002A010000}"/>
    <cellStyle name="Currency 2 6" xfId="585" xr:uid="{7260A9BE-8191-48F4-88AB-63B52587213F}"/>
    <cellStyle name="Currency 3" xfId="3" xr:uid="{00000000-0005-0000-0000-00002B010000}"/>
    <cellStyle name="Currency 3 2" xfId="289" xr:uid="{00000000-0005-0000-0000-00002C010000}"/>
    <cellStyle name="Currency 3 3" xfId="554" xr:uid="{00000000-0005-0000-0000-00002D010000}"/>
    <cellStyle name="Currency 3 4" xfId="586" xr:uid="{264F6838-EC8F-454E-802E-FD02B1C51395}"/>
    <cellStyle name="Currency 4" xfId="290" xr:uid="{00000000-0005-0000-0000-00002E010000}"/>
    <cellStyle name="Currency 5" xfId="291" xr:uid="{00000000-0005-0000-0000-00002F010000}"/>
    <cellStyle name="Currency 5 2" xfId="587" xr:uid="{6B211182-8482-4337-A61B-158F2B57B425}"/>
    <cellStyle name="Currency 6" xfId="292" xr:uid="{00000000-0005-0000-0000-000030010000}"/>
    <cellStyle name="Currency 7" xfId="293" xr:uid="{00000000-0005-0000-0000-000031010000}"/>
    <cellStyle name="Currency 8" xfId="294" xr:uid="{00000000-0005-0000-0000-000032010000}"/>
    <cellStyle name="Currency 9" xfId="295" xr:uid="{00000000-0005-0000-0000-000033010000}"/>
    <cellStyle name="Currency Space" xfId="296" xr:uid="{00000000-0005-0000-0000-000034010000}"/>
    <cellStyle name="Custom - Style1" xfId="297" xr:uid="{00000000-0005-0000-0000-000035010000}"/>
    <cellStyle name="Custom - Style8" xfId="298" xr:uid="{00000000-0005-0000-0000-000036010000}"/>
    <cellStyle name="Data   - Style2" xfId="299" xr:uid="{00000000-0005-0000-0000-000037010000}"/>
    <cellStyle name="Date" xfId="300" xr:uid="{00000000-0005-0000-0000-000038010000}"/>
    <cellStyle name="Edit" xfId="301" xr:uid="{00000000-0005-0000-0000-000039010000}"/>
    <cellStyle name="Edit 2" xfId="560" xr:uid="{00000000-0005-0000-0000-00003A010000}"/>
    <cellStyle name="Engine" xfId="302" xr:uid="{00000000-0005-0000-0000-00003B010000}"/>
    <cellStyle name="Explanatory Text 2" xfId="303" xr:uid="{00000000-0005-0000-0000-00003C010000}"/>
    <cellStyle name="Fixed" xfId="304" xr:uid="{00000000-0005-0000-0000-00003D010000}"/>
    <cellStyle name="Good 2" xfId="305" xr:uid="{00000000-0005-0000-0000-00003E010000}"/>
    <cellStyle name="Grey" xfId="306" xr:uid="{00000000-0005-0000-0000-00003F010000}"/>
    <cellStyle name="Grey 2" xfId="561" xr:uid="{00000000-0005-0000-0000-000040010000}"/>
    <cellStyle name="HEADER" xfId="307" xr:uid="{00000000-0005-0000-0000-000041010000}"/>
    <cellStyle name="Header1" xfId="308" xr:uid="{00000000-0005-0000-0000-000042010000}"/>
    <cellStyle name="Header2" xfId="309" xr:uid="{00000000-0005-0000-0000-000043010000}"/>
    <cellStyle name="heading" xfId="310" xr:uid="{00000000-0005-0000-0000-000044010000}"/>
    <cellStyle name="Heading 1 2" xfId="311" xr:uid="{00000000-0005-0000-0000-000045010000}"/>
    <cellStyle name="Heading 2 2" xfId="312" xr:uid="{00000000-0005-0000-0000-000046010000}"/>
    <cellStyle name="Heading 3 2" xfId="313" xr:uid="{00000000-0005-0000-0000-000047010000}"/>
    <cellStyle name="Heading 4 2" xfId="314" xr:uid="{00000000-0005-0000-0000-000048010000}"/>
    <cellStyle name="Heading1" xfId="315" xr:uid="{00000000-0005-0000-0000-000049010000}"/>
    <cellStyle name="Heading2" xfId="316" xr:uid="{00000000-0005-0000-0000-00004A010000}"/>
    <cellStyle name="HIGHLIGHT" xfId="317" xr:uid="{00000000-0005-0000-0000-00004B010000}"/>
    <cellStyle name="Hyperlink 2" xfId="318" xr:uid="{00000000-0005-0000-0000-00004C010000}"/>
    <cellStyle name="Hyperlink 3" xfId="319" xr:uid="{00000000-0005-0000-0000-00004D010000}"/>
    <cellStyle name="Input [yellow]" xfId="320" xr:uid="{00000000-0005-0000-0000-00004E010000}"/>
    <cellStyle name="Input [yellow] 2" xfId="562" xr:uid="{00000000-0005-0000-0000-00004F010000}"/>
    <cellStyle name="Input 2" xfId="321" xr:uid="{00000000-0005-0000-0000-000050010000}"/>
    <cellStyle name="ITALIC - Style2" xfId="322" xr:uid="{00000000-0005-0000-0000-000051010000}"/>
    <cellStyle name="kirkdollars" xfId="323" xr:uid="{00000000-0005-0000-0000-000052010000}"/>
    <cellStyle name="Labels - Style3" xfId="324" xr:uid="{00000000-0005-0000-0000-000053010000}"/>
    <cellStyle name="Large Page Heading" xfId="325" xr:uid="{00000000-0005-0000-0000-000054010000}"/>
    <cellStyle name="LineItemPrompt" xfId="326" xr:uid="{00000000-0005-0000-0000-000055010000}"/>
    <cellStyle name="LineItemValue" xfId="327" xr:uid="{00000000-0005-0000-0000-000056010000}"/>
    <cellStyle name="Lines" xfId="328" xr:uid="{00000000-0005-0000-0000-000057010000}"/>
    <cellStyle name="Lines 2" xfId="563" xr:uid="{00000000-0005-0000-0000-000058010000}"/>
    <cellStyle name="Linked Cell 2" xfId="329" xr:uid="{00000000-0005-0000-0000-000059010000}"/>
    <cellStyle name="MCFMMBTU" xfId="330" xr:uid="{00000000-0005-0000-0000-00005A010000}"/>
    <cellStyle name="Neutral 2" xfId="331" xr:uid="{00000000-0005-0000-0000-00005B010000}"/>
    <cellStyle name="no dec" xfId="332" xr:uid="{00000000-0005-0000-0000-00005C010000}"/>
    <cellStyle name="No Edit" xfId="333" xr:uid="{00000000-0005-0000-0000-00005D010000}"/>
    <cellStyle name="No Edit 2" xfId="564" xr:uid="{00000000-0005-0000-0000-00005E010000}"/>
    <cellStyle name="Normal" xfId="0" builtinId="0"/>
    <cellStyle name="Normal - Style1" xfId="334" xr:uid="{00000000-0005-0000-0000-000060010000}"/>
    <cellStyle name="Normal - Style2" xfId="335" xr:uid="{00000000-0005-0000-0000-000061010000}"/>
    <cellStyle name="Normal - Style3" xfId="336" xr:uid="{00000000-0005-0000-0000-000062010000}"/>
    <cellStyle name="Normal - Style4" xfId="337" xr:uid="{00000000-0005-0000-0000-000063010000}"/>
    <cellStyle name="Normal - Style5" xfId="338" xr:uid="{00000000-0005-0000-0000-000064010000}"/>
    <cellStyle name="Normal - Style6" xfId="339" xr:uid="{00000000-0005-0000-0000-000065010000}"/>
    <cellStyle name="Normal - Style7" xfId="340" xr:uid="{00000000-0005-0000-0000-000066010000}"/>
    <cellStyle name="Normal - Style8" xfId="341" xr:uid="{00000000-0005-0000-0000-000067010000}"/>
    <cellStyle name="Normal 10" xfId="342" xr:uid="{00000000-0005-0000-0000-000068010000}"/>
    <cellStyle name="Normal 11" xfId="343" xr:uid="{00000000-0005-0000-0000-000069010000}"/>
    <cellStyle name="Normal 110" xfId="344" xr:uid="{00000000-0005-0000-0000-00006A010000}"/>
    <cellStyle name="Normal 110 2" xfId="345" xr:uid="{00000000-0005-0000-0000-00006B010000}"/>
    <cellStyle name="Normal 111" xfId="346" xr:uid="{00000000-0005-0000-0000-00006C010000}"/>
    <cellStyle name="Normal 112" xfId="347" xr:uid="{00000000-0005-0000-0000-00006D010000}"/>
    <cellStyle name="Normal 112 2" xfId="348" xr:uid="{00000000-0005-0000-0000-00006E010000}"/>
    <cellStyle name="Normal 12" xfId="349" xr:uid="{00000000-0005-0000-0000-00006F010000}"/>
    <cellStyle name="Normal 121" xfId="581" xr:uid="{00000000-0005-0000-0000-000070010000}"/>
    <cellStyle name="Normal 13" xfId="350" xr:uid="{00000000-0005-0000-0000-000071010000}"/>
    <cellStyle name="Normal 14" xfId="351" xr:uid="{00000000-0005-0000-0000-000072010000}"/>
    <cellStyle name="Normal 15" xfId="352" xr:uid="{00000000-0005-0000-0000-000073010000}"/>
    <cellStyle name="Normal 16" xfId="353" xr:uid="{00000000-0005-0000-0000-000074010000}"/>
    <cellStyle name="Normal 17" xfId="354" xr:uid="{00000000-0005-0000-0000-000075010000}"/>
    <cellStyle name="Normal 18" xfId="355" xr:uid="{00000000-0005-0000-0000-000076010000}"/>
    <cellStyle name="Normal 19" xfId="356" xr:uid="{00000000-0005-0000-0000-000077010000}"/>
    <cellStyle name="Normal 19 3" xfId="357" xr:uid="{00000000-0005-0000-0000-000078010000}"/>
    <cellStyle name="Normal 2" xfId="8" xr:uid="{00000000-0005-0000-0000-000079010000}"/>
    <cellStyle name="Normal 2 2" xfId="11" xr:uid="{00000000-0005-0000-0000-00007A010000}"/>
    <cellStyle name="Normal 2 2 2" xfId="358" xr:uid="{00000000-0005-0000-0000-00007B010000}"/>
    <cellStyle name="Normal 2 2 3" xfId="17" xr:uid="{00000000-0005-0000-0000-00007C010000}"/>
    <cellStyle name="Normal 2 2 4" xfId="557" xr:uid="{00000000-0005-0000-0000-00007D010000}"/>
    <cellStyle name="Normal 2 2 5" xfId="589" xr:uid="{E0EB364D-A1C7-401B-97D8-6956B98B80F2}"/>
    <cellStyle name="Normal 2 3" xfId="359" xr:uid="{00000000-0005-0000-0000-00007E010000}"/>
    <cellStyle name="Normal 2 3 2" xfId="590" xr:uid="{1DB2DB77-8E2F-4DAC-AF8C-2B07DC7D8996}"/>
    <cellStyle name="Normal 2 4" xfId="15" xr:uid="{00000000-0005-0000-0000-00007F010000}"/>
    <cellStyle name="Normal 2 5" xfId="14" xr:uid="{00000000-0005-0000-0000-000080010000}"/>
    <cellStyle name="Normal 2 5 2" xfId="558" xr:uid="{00000000-0005-0000-0000-000081010000}"/>
    <cellStyle name="Normal 2 5 3" xfId="528" xr:uid="{00000000-0005-0000-0000-000082010000}"/>
    <cellStyle name="Normal 2 6" xfId="556" xr:uid="{00000000-0005-0000-0000-000083010000}"/>
    <cellStyle name="Normal 2 7" xfId="577" xr:uid="{00000000-0005-0000-0000-000084010000}"/>
    <cellStyle name="Normal 2 8" xfId="588" xr:uid="{8DAC389C-4862-40E8-B187-2676AD05EFDF}"/>
    <cellStyle name="Normal 2_WP 25-3-2" xfId="360" xr:uid="{00000000-0005-0000-0000-000085010000}"/>
    <cellStyle name="Normal 20" xfId="361" xr:uid="{00000000-0005-0000-0000-000086010000}"/>
    <cellStyle name="Normal 21" xfId="362" xr:uid="{00000000-0005-0000-0000-000087010000}"/>
    <cellStyle name="Normal 22" xfId="363" xr:uid="{00000000-0005-0000-0000-000088010000}"/>
    <cellStyle name="Normal 23" xfId="364" xr:uid="{00000000-0005-0000-0000-000089010000}"/>
    <cellStyle name="Normal 24" xfId="365" xr:uid="{00000000-0005-0000-0000-00008A010000}"/>
    <cellStyle name="Normal 25" xfId="366" xr:uid="{00000000-0005-0000-0000-00008B010000}"/>
    <cellStyle name="Normal 26" xfId="367" xr:uid="{00000000-0005-0000-0000-00008C010000}"/>
    <cellStyle name="Normal 27" xfId="368" xr:uid="{00000000-0005-0000-0000-00008D010000}"/>
    <cellStyle name="Normal 28" xfId="369" xr:uid="{00000000-0005-0000-0000-00008E010000}"/>
    <cellStyle name="Normal 29" xfId="370" xr:uid="{00000000-0005-0000-0000-00008F010000}"/>
    <cellStyle name="Normal 3" xfId="9" xr:uid="{00000000-0005-0000-0000-000090010000}"/>
    <cellStyle name="Normal 3 2" xfId="371" xr:uid="{00000000-0005-0000-0000-000091010000}"/>
    <cellStyle name="Normal 3 2 2" xfId="541" xr:uid="{00000000-0005-0000-0000-000092010000}"/>
    <cellStyle name="Normal 3 2 3" xfId="580" xr:uid="{00000000-0005-0000-0000-000093010000}"/>
    <cellStyle name="Normal 30" xfId="13" xr:uid="{00000000-0005-0000-0000-000094010000}"/>
    <cellStyle name="Normal 31" xfId="542" xr:uid="{00000000-0005-0000-0000-000095010000}"/>
    <cellStyle name="Normal 32" xfId="372" xr:uid="{00000000-0005-0000-0000-000096010000}"/>
    <cellStyle name="Normal 33" xfId="543" xr:uid="{00000000-0005-0000-0000-000097010000}"/>
    <cellStyle name="Normal 34" xfId="373" xr:uid="{00000000-0005-0000-0000-000098010000}"/>
    <cellStyle name="Normal 35" xfId="374" xr:uid="{00000000-0005-0000-0000-000099010000}"/>
    <cellStyle name="Normal 36" xfId="375" xr:uid="{00000000-0005-0000-0000-00009A010000}"/>
    <cellStyle name="Normal 37" xfId="544" xr:uid="{00000000-0005-0000-0000-00009B010000}"/>
    <cellStyle name="Normal 38" xfId="376" xr:uid="{00000000-0005-0000-0000-00009C010000}"/>
    <cellStyle name="Normal 39" xfId="545" xr:uid="{00000000-0005-0000-0000-00009D010000}"/>
    <cellStyle name="Normal 4" xfId="1" xr:uid="{00000000-0005-0000-0000-00009E010000}"/>
    <cellStyle name="Normal 4 2" xfId="378" xr:uid="{00000000-0005-0000-0000-00009F010000}"/>
    <cellStyle name="Normal 4 3" xfId="377" xr:uid="{00000000-0005-0000-0000-0000A0010000}"/>
    <cellStyle name="Normal 4 4" xfId="552" xr:uid="{00000000-0005-0000-0000-0000A1010000}"/>
    <cellStyle name="Normal 4_VA SAVE PLAN working model 3 year" xfId="379" xr:uid="{00000000-0005-0000-0000-0000A2010000}"/>
    <cellStyle name="Normal 40" xfId="380" xr:uid="{00000000-0005-0000-0000-0000A3010000}"/>
    <cellStyle name="Normal 41" xfId="381" xr:uid="{00000000-0005-0000-0000-0000A4010000}"/>
    <cellStyle name="Normal 42" xfId="382" xr:uid="{00000000-0005-0000-0000-0000A5010000}"/>
    <cellStyle name="Normal 43" xfId="383" xr:uid="{00000000-0005-0000-0000-0000A6010000}"/>
    <cellStyle name="Normal 44" xfId="551" xr:uid="{00000000-0005-0000-0000-0000A7010000}"/>
    <cellStyle name="Normal 45" xfId="569" xr:uid="{00000000-0005-0000-0000-0000A8010000}"/>
    <cellStyle name="Normal 46" xfId="570" xr:uid="{00000000-0005-0000-0000-0000A9010000}"/>
    <cellStyle name="Normal 47" xfId="571" xr:uid="{00000000-0005-0000-0000-0000AA010000}"/>
    <cellStyle name="Normal 48" xfId="521" xr:uid="{00000000-0005-0000-0000-0000AB010000}"/>
    <cellStyle name="Normal 49" xfId="574" xr:uid="{00000000-0005-0000-0000-0000AC010000}"/>
    <cellStyle name="Normal 5" xfId="384" xr:uid="{00000000-0005-0000-0000-0000AD010000}"/>
    <cellStyle name="Normal 5 2" xfId="385" xr:uid="{00000000-0005-0000-0000-0000AE010000}"/>
    <cellStyle name="Normal 50" xfId="582" xr:uid="{93EDD4F8-C745-4721-982B-1CD49F569B3B}"/>
    <cellStyle name="Normal 6" xfId="386" xr:uid="{00000000-0005-0000-0000-0000AF010000}"/>
    <cellStyle name="Normal 6 2" xfId="387" xr:uid="{00000000-0005-0000-0000-0000B0010000}"/>
    <cellStyle name="Normal 6 3" xfId="591" xr:uid="{CC602722-F51D-4DEB-B9A1-CEDB65B2E406}"/>
    <cellStyle name="Normal 7" xfId="388" xr:uid="{00000000-0005-0000-0000-0000B1010000}"/>
    <cellStyle name="Normal 7 2" xfId="389" xr:uid="{00000000-0005-0000-0000-0000B2010000}"/>
    <cellStyle name="Normal 7 3" xfId="592" xr:uid="{ED076B15-406F-4E10-BACC-046DF44C8E52}"/>
    <cellStyle name="Normal 73" xfId="390" xr:uid="{00000000-0005-0000-0000-0000B3010000}"/>
    <cellStyle name="Normal 74 2" xfId="595" xr:uid="{45ADB759-D490-4C26-BCD5-6A4F0C66DE36}"/>
    <cellStyle name="Normal 77" xfId="391" xr:uid="{00000000-0005-0000-0000-0000B4010000}"/>
    <cellStyle name="Normal 8" xfId="392" xr:uid="{00000000-0005-0000-0000-0000B5010000}"/>
    <cellStyle name="Normal 8 2" xfId="393" xr:uid="{00000000-0005-0000-0000-0000B6010000}"/>
    <cellStyle name="Normal 8 3" xfId="593" xr:uid="{65C6C68E-E00B-4882-A7A1-FF7DF21BA21A}"/>
    <cellStyle name="Normal 9" xfId="394" xr:uid="{00000000-0005-0000-0000-0000B7010000}"/>
    <cellStyle name="Normal_Sheet2" xfId="12" xr:uid="{00000000-0005-0000-0000-0000B8010000}"/>
    <cellStyle name="Note 10" xfId="395" xr:uid="{00000000-0005-0000-0000-0000B9010000}"/>
    <cellStyle name="Note 11" xfId="396" xr:uid="{00000000-0005-0000-0000-0000BA010000}"/>
    <cellStyle name="Note 12" xfId="397" xr:uid="{00000000-0005-0000-0000-0000BB010000}"/>
    <cellStyle name="Note 13" xfId="398" xr:uid="{00000000-0005-0000-0000-0000BC010000}"/>
    <cellStyle name="Note 14" xfId="399" xr:uid="{00000000-0005-0000-0000-0000BD010000}"/>
    <cellStyle name="Note 15" xfId="400" xr:uid="{00000000-0005-0000-0000-0000BE010000}"/>
    <cellStyle name="Note 16" xfId="401" xr:uid="{00000000-0005-0000-0000-0000BF010000}"/>
    <cellStyle name="Note 17" xfId="402" xr:uid="{00000000-0005-0000-0000-0000C0010000}"/>
    <cellStyle name="Note 18" xfId="403" xr:uid="{00000000-0005-0000-0000-0000C1010000}"/>
    <cellStyle name="Note 19" xfId="404" xr:uid="{00000000-0005-0000-0000-0000C2010000}"/>
    <cellStyle name="Note 2" xfId="405" xr:uid="{00000000-0005-0000-0000-0000C3010000}"/>
    <cellStyle name="Note 20" xfId="406" xr:uid="{00000000-0005-0000-0000-0000C4010000}"/>
    <cellStyle name="Note 21" xfId="407" xr:uid="{00000000-0005-0000-0000-0000C5010000}"/>
    <cellStyle name="Note 3" xfId="408" xr:uid="{00000000-0005-0000-0000-0000C6010000}"/>
    <cellStyle name="Note 4" xfId="409" xr:uid="{00000000-0005-0000-0000-0000C7010000}"/>
    <cellStyle name="Note 5" xfId="410" xr:uid="{00000000-0005-0000-0000-0000C8010000}"/>
    <cellStyle name="Note 6" xfId="411" xr:uid="{00000000-0005-0000-0000-0000C9010000}"/>
    <cellStyle name="Note 7" xfId="412" xr:uid="{00000000-0005-0000-0000-0000CA010000}"/>
    <cellStyle name="Note 8" xfId="413" xr:uid="{00000000-0005-0000-0000-0000CB010000}"/>
    <cellStyle name="Note 9" xfId="414" xr:uid="{00000000-0005-0000-0000-0000CC010000}"/>
    <cellStyle name="nPlosion" xfId="415" xr:uid="{00000000-0005-0000-0000-0000CD010000}"/>
    <cellStyle name="nvision" xfId="416" xr:uid="{00000000-0005-0000-0000-0000CE010000}"/>
    <cellStyle name="Output 2" xfId="417" xr:uid="{00000000-0005-0000-0000-0000CF010000}"/>
    <cellStyle name="Output Amounts" xfId="418" xr:uid="{00000000-0005-0000-0000-0000D0010000}"/>
    <cellStyle name="Output Column Headings" xfId="419" xr:uid="{00000000-0005-0000-0000-0000D1010000}"/>
    <cellStyle name="Output Line Items" xfId="420" xr:uid="{00000000-0005-0000-0000-0000D2010000}"/>
    <cellStyle name="Output Report Heading" xfId="421" xr:uid="{00000000-0005-0000-0000-0000D3010000}"/>
    <cellStyle name="Output Report Title" xfId="422" xr:uid="{00000000-0005-0000-0000-0000D4010000}"/>
    <cellStyle name="PB Table Heading" xfId="423" xr:uid="{00000000-0005-0000-0000-0000D5010000}"/>
    <cellStyle name="PB Table Highlight1" xfId="424" xr:uid="{00000000-0005-0000-0000-0000D6010000}"/>
    <cellStyle name="PB Table Highlight2" xfId="425" xr:uid="{00000000-0005-0000-0000-0000D7010000}"/>
    <cellStyle name="PB Table Highlight2 2" xfId="565" xr:uid="{00000000-0005-0000-0000-0000D8010000}"/>
    <cellStyle name="PB Table Highlight3" xfId="426" xr:uid="{00000000-0005-0000-0000-0000D9010000}"/>
    <cellStyle name="PB Table Highlight3 2" xfId="566" xr:uid="{00000000-0005-0000-0000-0000DA010000}"/>
    <cellStyle name="PB Table Standard Row" xfId="427" xr:uid="{00000000-0005-0000-0000-0000DB010000}"/>
    <cellStyle name="PB Table Subtotal Row" xfId="428" xr:uid="{00000000-0005-0000-0000-0000DC010000}"/>
    <cellStyle name="PB Table Total Row" xfId="429" xr:uid="{00000000-0005-0000-0000-0000DD010000}"/>
    <cellStyle name="Percent" xfId="576" builtinId="5"/>
    <cellStyle name="Percent [2]" xfId="430" xr:uid="{00000000-0005-0000-0000-0000DF010000}"/>
    <cellStyle name="Percent 10" xfId="431" xr:uid="{00000000-0005-0000-0000-0000E0010000}"/>
    <cellStyle name="Percent 11" xfId="432" xr:uid="{00000000-0005-0000-0000-0000E1010000}"/>
    <cellStyle name="Percent 12" xfId="433" xr:uid="{00000000-0005-0000-0000-0000E2010000}"/>
    <cellStyle name="Percent 13" xfId="434" xr:uid="{00000000-0005-0000-0000-0000E3010000}"/>
    <cellStyle name="Percent 14" xfId="435" xr:uid="{00000000-0005-0000-0000-0000E4010000}"/>
    <cellStyle name="Percent 15" xfId="436" xr:uid="{00000000-0005-0000-0000-0000E5010000}"/>
    <cellStyle name="Percent 16" xfId="525" xr:uid="{00000000-0005-0000-0000-0000E6010000}"/>
    <cellStyle name="Percent 17" xfId="546" xr:uid="{00000000-0005-0000-0000-0000E7010000}"/>
    <cellStyle name="Percent 18" xfId="547" xr:uid="{00000000-0005-0000-0000-0000E8010000}"/>
    <cellStyle name="Percent 19" xfId="548" xr:uid="{00000000-0005-0000-0000-0000E9010000}"/>
    <cellStyle name="Percent 2" xfId="10" xr:uid="{00000000-0005-0000-0000-0000EA010000}"/>
    <cellStyle name="Percent 2 2" xfId="437" xr:uid="{00000000-0005-0000-0000-0000EB010000}"/>
    <cellStyle name="Percent 2 2 2" xfId="549" xr:uid="{00000000-0005-0000-0000-0000EC010000}"/>
    <cellStyle name="Percent 2 2 3" xfId="594" xr:uid="{3AB96A0C-2451-4BB4-91F1-68E848460B72}"/>
    <cellStyle name="Percent 2 3" xfId="438" xr:uid="{00000000-0005-0000-0000-0000ED010000}"/>
    <cellStyle name="Percent 2 3 2" xfId="439" xr:uid="{00000000-0005-0000-0000-0000EE010000}"/>
    <cellStyle name="Percent 20" xfId="550" xr:uid="{00000000-0005-0000-0000-0000EF010000}"/>
    <cellStyle name="Percent 21" xfId="522" xr:uid="{00000000-0005-0000-0000-0000F0010000}"/>
    <cellStyle name="Percent 22" xfId="440" xr:uid="{00000000-0005-0000-0000-0000F1010000}"/>
    <cellStyle name="Percent 3" xfId="7" xr:uid="{00000000-0005-0000-0000-0000F2010000}"/>
    <cellStyle name="Percent 3 2" xfId="442" xr:uid="{00000000-0005-0000-0000-0000F3010000}"/>
    <cellStyle name="Percent 3 3" xfId="441" xr:uid="{00000000-0005-0000-0000-0000F4010000}"/>
    <cellStyle name="Percent 3 4" xfId="555" xr:uid="{00000000-0005-0000-0000-0000F5010000}"/>
    <cellStyle name="Percent 4" xfId="443" xr:uid="{00000000-0005-0000-0000-0000F6010000}"/>
    <cellStyle name="Percent 4 2" xfId="444" xr:uid="{00000000-0005-0000-0000-0000F7010000}"/>
    <cellStyle name="Percent 5" xfId="445" xr:uid="{00000000-0005-0000-0000-0000F8010000}"/>
    <cellStyle name="Percent 5 2" xfId="446" xr:uid="{00000000-0005-0000-0000-0000F9010000}"/>
    <cellStyle name="Percent 6" xfId="447" xr:uid="{00000000-0005-0000-0000-0000FA010000}"/>
    <cellStyle name="Percent 6 2" xfId="448" xr:uid="{00000000-0005-0000-0000-0000FB010000}"/>
    <cellStyle name="Percent 7" xfId="449" xr:uid="{00000000-0005-0000-0000-0000FC010000}"/>
    <cellStyle name="Percent 8" xfId="450" xr:uid="{00000000-0005-0000-0000-0000FD010000}"/>
    <cellStyle name="Percent 9" xfId="451" xr:uid="{00000000-0005-0000-0000-0000FE010000}"/>
    <cellStyle name="PSChar" xfId="452" xr:uid="{00000000-0005-0000-0000-0000FF010000}"/>
    <cellStyle name="PSDate" xfId="453" xr:uid="{00000000-0005-0000-0000-000000020000}"/>
    <cellStyle name="PSDec" xfId="454" xr:uid="{00000000-0005-0000-0000-000001020000}"/>
    <cellStyle name="PSHeading" xfId="455" xr:uid="{00000000-0005-0000-0000-000002020000}"/>
    <cellStyle name="PSInt" xfId="456" xr:uid="{00000000-0005-0000-0000-000003020000}"/>
    <cellStyle name="PSSpacer" xfId="457" xr:uid="{00000000-0005-0000-0000-000004020000}"/>
    <cellStyle name="ReportTitlePrompt" xfId="458" xr:uid="{00000000-0005-0000-0000-000005020000}"/>
    <cellStyle name="ReportTitleValue" xfId="459" xr:uid="{00000000-0005-0000-0000-000006020000}"/>
    <cellStyle name="Reset  - Style4" xfId="460" xr:uid="{00000000-0005-0000-0000-000007020000}"/>
    <cellStyle name="Reset  - Style7" xfId="461" xr:uid="{00000000-0005-0000-0000-000008020000}"/>
    <cellStyle name="RowAcctAbovePrompt" xfId="462" xr:uid="{00000000-0005-0000-0000-000009020000}"/>
    <cellStyle name="RowAcctSOBAbovePrompt" xfId="463" xr:uid="{00000000-0005-0000-0000-00000A020000}"/>
    <cellStyle name="RowAcctSOBValue" xfId="464" xr:uid="{00000000-0005-0000-0000-00000B020000}"/>
    <cellStyle name="RowAcctValue" xfId="465" xr:uid="{00000000-0005-0000-0000-00000C020000}"/>
    <cellStyle name="RowAttrAbovePrompt" xfId="466" xr:uid="{00000000-0005-0000-0000-00000D020000}"/>
    <cellStyle name="RowAttrValue" xfId="467" xr:uid="{00000000-0005-0000-0000-00000E020000}"/>
    <cellStyle name="RowColSetAbovePrompt" xfId="468" xr:uid="{00000000-0005-0000-0000-00000F020000}"/>
    <cellStyle name="RowColSetLeftPrompt" xfId="469" xr:uid="{00000000-0005-0000-0000-000010020000}"/>
    <cellStyle name="RowColSetValue" xfId="470" xr:uid="{00000000-0005-0000-0000-000011020000}"/>
    <cellStyle name="RowLeftPrompt" xfId="471" xr:uid="{00000000-0005-0000-0000-000012020000}"/>
    <cellStyle name="SampleUsingFormatMask" xfId="472" xr:uid="{00000000-0005-0000-0000-000013020000}"/>
    <cellStyle name="SampleWithNoFormatMask" xfId="473" xr:uid="{00000000-0005-0000-0000-000014020000}"/>
    <cellStyle name="SAPBorder" xfId="474" xr:uid="{00000000-0005-0000-0000-000015020000}"/>
    <cellStyle name="SAPDataCell" xfId="475" xr:uid="{00000000-0005-0000-0000-000016020000}"/>
    <cellStyle name="SAPDataTotalCell" xfId="476" xr:uid="{00000000-0005-0000-0000-000017020000}"/>
    <cellStyle name="SAPDimensionCell" xfId="477" xr:uid="{00000000-0005-0000-0000-000018020000}"/>
    <cellStyle name="SAPEditableDataCell" xfId="478" xr:uid="{00000000-0005-0000-0000-000019020000}"/>
    <cellStyle name="SAPEditableDataTotalCell" xfId="479" xr:uid="{00000000-0005-0000-0000-00001A020000}"/>
    <cellStyle name="SAPEmphasized" xfId="480" xr:uid="{00000000-0005-0000-0000-00001B020000}"/>
    <cellStyle name="SAPExceptionLevel1" xfId="481" xr:uid="{00000000-0005-0000-0000-00001C020000}"/>
    <cellStyle name="SAPExceptionLevel2" xfId="482" xr:uid="{00000000-0005-0000-0000-00001D020000}"/>
    <cellStyle name="SAPExceptionLevel3" xfId="483" xr:uid="{00000000-0005-0000-0000-00001E020000}"/>
    <cellStyle name="SAPExceptionLevel4" xfId="484" xr:uid="{00000000-0005-0000-0000-00001F020000}"/>
    <cellStyle name="SAPExceptionLevel5" xfId="485" xr:uid="{00000000-0005-0000-0000-000020020000}"/>
    <cellStyle name="SAPExceptionLevel6" xfId="486" xr:uid="{00000000-0005-0000-0000-000021020000}"/>
    <cellStyle name="SAPExceptionLevel7" xfId="487" xr:uid="{00000000-0005-0000-0000-000022020000}"/>
    <cellStyle name="SAPExceptionLevel8" xfId="488" xr:uid="{00000000-0005-0000-0000-000023020000}"/>
    <cellStyle name="SAPExceptionLevel9" xfId="489" xr:uid="{00000000-0005-0000-0000-000024020000}"/>
    <cellStyle name="SAPHierarchyCell0" xfId="490" xr:uid="{00000000-0005-0000-0000-000025020000}"/>
    <cellStyle name="SAPHierarchyCell1" xfId="491" xr:uid="{00000000-0005-0000-0000-000026020000}"/>
    <cellStyle name="SAPHierarchyCell2" xfId="492" xr:uid="{00000000-0005-0000-0000-000027020000}"/>
    <cellStyle name="SAPHierarchyCell3" xfId="493" xr:uid="{00000000-0005-0000-0000-000028020000}"/>
    <cellStyle name="SAPHierarchyCell4" xfId="494" xr:uid="{00000000-0005-0000-0000-000029020000}"/>
    <cellStyle name="SAPLockedDataCell" xfId="495" xr:uid="{00000000-0005-0000-0000-00002A020000}"/>
    <cellStyle name="SAPLockedDataTotalCell" xfId="496" xr:uid="{00000000-0005-0000-0000-00002B020000}"/>
    <cellStyle name="SAPMemberCell" xfId="497" xr:uid="{00000000-0005-0000-0000-00002C020000}"/>
    <cellStyle name="SAPMemberTotalCell" xfId="498" xr:uid="{00000000-0005-0000-0000-00002D020000}"/>
    <cellStyle name="SAPReadonlyDataCell" xfId="499" xr:uid="{00000000-0005-0000-0000-00002E020000}"/>
    <cellStyle name="SAPReadonlyDataTotalCell" xfId="500" xr:uid="{00000000-0005-0000-0000-00002F020000}"/>
    <cellStyle name="shade - Style1" xfId="501" xr:uid="{00000000-0005-0000-0000-000030020000}"/>
    <cellStyle name="Small Page Heading" xfId="502" xr:uid="{00000000-0005-0000-0000-000031020000}"/>
    <cellStyle name="Table  - Style5" xfId="503" xr:uid="{00000000-0005-0000-0000-000032020000}"/>
    <cellStyle name="Table  - Style6" xfId="504" xr:uid="{00000000-0005-0000-0000-000033020000}"/>
    <cellStyle name="Title  - Style1" xfId="505" xr:uid="{00000000-0005-0000-0000-000034020000}"/>
    <cellStyle name="Title  - Style6" xfId="506" xr:uid="{00000000-0005-0000-0000-000035020000}"/>
    <cellStyle name="Title 2" xfId="507" xr:uid="{00000000-0005-0000-0000-000036020000}"/>
    <cellStyle name="title1" xfId="508" xr:uid="{00000000-0005-0000-0000-000037020000}"/>
    <cellStyle name="Total 2" xfId="509" xr:uid="{00000000-0005-0000-0000-000038020000}"/>
    <cellStyle name="TotCol - Style5" xfId="510" xr:uid="{00000000-0005-0000-0000-000039020000}"/>
    <cellStyle name="TotCol - Style7" xfId="511" xr:uid="{00000000-0005-0000-0000-00003A020000}"/>
    <cellStyle name="TotRow - Style4" xfId="512" xr:uid="{00000000-0005-0000-0000-00003B020000}"/>
    <cellStyle name="TotRow - Style8" xfId="513" xr:uid="{00000000-0005-0000-0000-00003C020000}"/>
    <cellStyle name="Unprot" xfId="514" xr:uid="{00000000-0005-0000-0000-00003D020000}"/>
    <cellStyle name="Unprot 2" xfId="567" xr:uid="{00000000-0005-0000-0000-00003E020000}"/>
    <cellStyle name="Unprot$" xfId="515" xr:uid="{00000000-0005-0000-0000-00003F020000}"/>
    <cellStyle name="Unprot$ 2" xfId="568" xr:uid="{00000000-0005-0000-0000-000040020000}"/>
    <cellStyle name="Unprot_Consol Def Pool FY11 Provision" xfId="516" xr:uid="{00000000-0005-0000-0000-000041020000}"/>
    <cellStyle name="Unprotect" xfId="517" xr:uid="{00000000-0005-0000-0000-000042020000}"/>
    <cellStyle name="UploadThisRowValue" xfId="518" xr:uid="{00000000-0005-0000-0000-000043020000}"/>
    <cellStyle name="Warning Text 2" xfId="519" xr:uid="{00000000-0005-0000-0000-000044020000}"/>
    <cellStyle name="一般_dept code" xfId="520" xr:uid="{00000000-0005-0000-0000-000045020000}"/>
  </cellStyles>
  <dxfs count="0"/>
  <tableStyles count="0" defaultTableStyle="TableStyleMedium2" defaultPivotStyle="PivotStyleLight16"/>
  <colors>
    <mruColors>
      <color rgb="FFFFFF99"/>
      <color rgb="FFFFFF66"/>
      <color rgb="FFB2B2B2"/>
      <color rgb="FF8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A\MEETINGS\10%202000\ProForma%20Disc%20Op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everaged%20Finance\Diversified%20Industries\Manufacturing%20and%20Ind.%20Tech\P&amp;L%20Coal\P&amp;L%20Coal%202002%20Deal\Credit\Natural%20Gas%20and%20GDP%20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nv_grad\Energy\RV%20Secondary%20Energy%202005%20Jan%2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clintock\AppData\Local\Microsoft\Windows\INetCache\Content.Outlook\UHF2Z9MI\Delta%20Lead%20Lag%20Stu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Disc'd Opns"/>
      <sheetName val="Interest Exp"/>
      <sheetName val="9 30 BS"/>
      <sheetName val="Gain (loss)"/>
      <sheetName val="Est Gain"/>
      <sheetName val="Costs"/>
      <sheetName val="FMI Q4"/>
      <sheetName val="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16810396964DCDB399904ED81BA8E"/>
      <sheetName val="General Inputs"/>
      <sheetName val="Lead Lag Days Summary"/>
      <sheetName val="Revenue Lag"/>
      <sheetName val="Billing Lag"/>
      <sheetName val="Collection Lag"/>
      <sheetName val="Avg Daily AR Balance"/>
      <sheetName val="Uncollectibles"/>
      <sheetName val="Purchased Gas and Transportatio"/>
      <sheetName val="Other O&amp;M"/>
      <sheetName val="Affiliate Lead Days"/>
      <sheetName val="Payroll"/>
      <sheetName val="Perf Incentives"/>
      <sheetName val="Payroll Tax"/>
      <sheetName val="Income Tax"/>
      <sheetName val="Property Tax"/>
      <sheetName val="Misc Tax"/>
      <sheetName val="Interest on Debt"/>
      <sheetName val="Sales Tax (Pass-through)"/>
      <sheetName val="Cust Utility Tax (Pass-through)"/>
      <sheetName val="Consumption Tax (Pass-through)"/>
      <sheetName val="Interest on Cust Deposits"/>
      <sheetName val="School Tax (Pass-through)"/>
      <sheetName val="Franchise Fees (Pass-through)"/>
    </sheetNames>
    <sheetDataSet>
      <sheetData sheetId="0" refreshError="1"/>
      <sheetData sheetId="1" refreshError="1">
        <row r="2">
          <cell r="B2" t="str">
            <v>Delta Natural Gas Company</v>
          </cell>
        </row>
        <row r="28">
          <cell r="E28">
            <v>44196</v>
          </cell>
        </row>
        <row r="34">
          <cell r="D34" t="str">
            <v>Case No.</v>
          </cell>
          <cell r="E34" t="str">
            <v>2021-00185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C1"/>
  <sheetViews>
    <sheetView workbookViewId="0"/>
  </sheetViews>
  <sheetFormatPr defaultRowHeight="15"/>
  <sheetData>
    <row r="1" spans="1:3">
      <c r="A1" t="s">
        <v>109</v>
      </c>
      <c r="B1" t="s">
        <v>110</v>
      </c>
      <c r="C1" t="s">
        <v>111</v>
      </c>
    </row>
  </sheetData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>
    <tabColor theme="4" tint="0.39997558519241921"/>
    <pageSetUpPr fitToPage="1"/>
  </sheetPr>
  <dimension ref="A1:X209"/>
  <sheetViews>
    <sheetView showGridLines="0" topLeftCell="H1" zoomScale="85" zoomScaleNormal="85" workbookViewId="0">
      <pane ySplit="5" topLeftCell="A192" activePane="bottomLeft" state="frozen"/>
      <selection pane="bottomLeft" activeCell="K19" sqref="K19"/>
    </sheetView>
  </sheetViews>
  <sheetFormatPr defaultColWidth="8.88671875" defaultRowHeight="15"/>
  <cols>
    <col min="1" max="1" width="9" style="16" bestFit="1" customWidth="1"/>
    <col min="2" max="2" width="43.109375" style="16" customWidth="1"/>
    <col min="3" max="3" width="36.5546875" style="16" customWidth="1"/>
    <col min="4" max="4" width="12.77734375" style="16" customWidth="1"/>
    <col min="5" max="5" width="16" style="29" bestFit="1" customWidth="1"/>
    <col min="6" max="7" width="12.77734375" style="16" customWidth="1"/>
    <col min="8" max="8" width="12.77734375" style="16" bestFit="1" customWidth="1"/>
    <col min="9" max="9" width="12.77734375" style="16" customWidth="1"/>
    <col min="10" max="10" width="10.77734375" style="16" customWidth="1"/>
    <col min="11" max="11" width="9.77734375" style="16" customWidth="1"/>
    <col min="12" max="12" width="15.77734375" style="29" customWidth="1"/>
    <col min="13" max="16384" width="8.88671875" style="16"/>
  </cols>
  <sheetData>
    <row r="1" spans="1:18" s="107" customFormat="1" ht="15.75">
      <c r="C1" s="246"/>
      <c r="E1" s="174"/>
      <c r="I1" s="246"/>
      <c r="L1" s="174"/>
    </row>
    <row r="2" spans="1:18" ht="15.75">
      <c r="A2" s="434" t="str">
        <f>'General Inputs'!$B$2</f>
        <v>Delta Natural Gas Company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8" ht="15.75">
      <c r="A3" s="436" t="str">
        <f>'General Inputs'!$E$34</f>
        <v>2021-00185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</row>
    <row r="4" spans="1:18" ht="15.75">
      <c r="A4" s="434" t="str">
        <f>"For the Year Ended "&amp;TEXT('General Inputs'!E28,"Mmmm dd, yyyy")</f>
        <v>For the Year Ended December 31, 2020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8" ht="16.5" thickBot="1">
      <c r="A5" s="435" t="s">
        <v>82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</row>
    <row r="7" spans="1:18" ht="60.75">
      <c r="A7" s="144" t="s">
        <v>0</v>
      </c>
      <c r="B7" s="144" t="s">
        <v>58</v>
      </c>
      <c r="C7" s="144" t="s">
        <v>165</v>
      </c>
      <c r="D7" s="144" t="s">
        <v>59</v>
      </c>
      <c r="E7" s="144" t="s">
        <v>60</v>
      </c>
      <c r="F7" s="175" t="s">
        <v>186</v>
      </c>
      <c r="G7" s="144" t="s">
        <v>61</v>
      </c>
      <c r="H7" s="144" t="s">
        <v>187</v>
      </c>
      <c r="I7" s="144" t="s">
        <v>519</v>
      </c>
      <c r="J7" s="144" t="s">
        <v>62</v>
      </c>
      <c r="K7" s="144" t="s">
        <v>65</v>
      </c>
      <c r="L7" s="144" t="s">
        <v>167</v>
      </c>
    </row>
    <row r="8" spans="1:18" ht="31.5">
      <c r="A8" s="48"/>
      <c r="B8" s="236" t="s">
        <v>34</v>
      </c>
      <c r="C8" s="236" t="s">
        <v>35</v>
      </c>
      <c r="D8" s="237" t="s">
        <v>36</v>
      </c>
      <c r="E8" s="237" t="s">
        <v>37</v>
      </c>
      <c r="F8" s="236" t="s">
        <v>43</v>
      </c>
      <c r="G8" s="236" t="s">
        <v>55</v>
      </c>
      <c r="H8" s="141" t="s">
        <v>361</v>
      </c>
      <c r="I8" s="236" t="s">
        <v>63</v>
      </c>
      <c r="J8" s="141" t="s">
        <v>362</v>
      </c>
      <c r="K8" s="235" t="s">
        <v>223</v>
      </c>
      <c r="L8" s="237" t="s">
        <v>224</v>
      </c>
    </row>
    <row r="9" spans="1:18">
      <c r="A9" s="49"/>
      <c r="B9" s="50"/>
      <c r="C9" s="50"/>
      <c r="D9" s="50"/>
      <c r="E9" s="51"/>
      <c r="F9" s="258"/>
      <c r="G9" s="258"/>
      <c r="H9" s="50"/>
      <c r="I9" s="258"/>
      <c r="J9" s="50"/>
      <c r="K9" s="50"/>
      <c r="L9" s="51"/>
    </row>
    <row r="10" spans="1:18">
      <c r="A10" s="23">
        <v>1</v>
      </c>
      <c r="B10" s="282" t="s">
        <v>415</v>
      </c>
      <c r="C10" s="282" t="s">
        <v>416</v>
      </c>
      <c r="D10" s="283">
        <v>43892</v>
      </c>
      <c r="E10" s="284">
        <v>35.950000000000003</v>
      </c>
      <c r="F10" s="283">
        <v>43866</v>
      </c>
      <c r="G10" s="283">
        <v>43892</v>
      </c>
      <c r="H10" s="285">
        <f>IF(G10="",0,(G10-F10)/2)</f>
        <v>13</v>
      </c>
      <c r="I10" s="283">
        <v>43928</v>
      </c>
      <c r="J10" s="160">
        <f>IF(G10="",I10-F10,I10-G10)</f>
        <v>36</v>
      </c>
      <c r="K10" s="263">
        <f t="shared" ref="K10" si="0">H10+J10</f>
        <v>49</v>
      </c>
      <c r="L10" s="100">
        <f t="shared" ref="L10" si="1">ROUND(E10*K10,2)</f>
        <v>1761.55</v>
      </c>
    </row>
    <row r="11" spans="1:18">
      <c r="A11" s="23">
        <f t="shared" ref="A11:A74" si="2">A10+1</f>
        <v>2</v>
      </c>
      <c r="B11" s="282" t="s">
        <v>417</v>
      </c>
      <c r="C11" s="282" t="s">
        <v>418</v>
      </c>
      <c r="D11" s="283">
        <v>44154</v>
      </c>
      <c r="E11" s="284">
        <v>257.01</v>
      </c>
      <c r="F11" s="283">
        <v>44124</v>
      </c>
      <c r="G11" s="283">
        <v>44153</v>
      </c>
      <c r="H11" s="285">
        <f t="shared" ref="H11:H44" si="3">IF(G11="",0,(G11-F11)/2)</f>
        <v>14.5</v>
      </c>
      <c r="I11" s="283">
        <v>44166</v>
      </c>
      <c r="J11" s="160">
        <f t="shared" ref="J11:J44" si="4">IF(G11="",I11-F11,I11-G11)</f>
        <v>13</v>
      </c>
      <c r="K11" s="263">
        <f t="shared" ref="K11:K44" si="5">H11+J11</f>
        <v>27.5</v>
      </c>
      <c r="L11" s="100">
        <f t="shared" ref="L11:L44" si="6">ROUND(E11*K11,2)</f>
        <v>7067.78</v>
      </c>
    </row>
    <row r="12" spans="1:18">
      <c r="A12" s="23">
        <f t="shared" si="2"/>
        <v>3</v>
      </c>
      <c r="B12" s="282" t="s">
        <v>419</v>
      </c>
      <c r="C12" s="282" t="s">
        <v>420</v>
      </c>
      <c r="D12" s="283">
        <v>43837</v>
      </c>
      <c r="E12" s="284">
        <v>1809.3</v>
      </c>
      <c r="F12" s="283">
        <v>43800</v>
      </c>
      <c r="G12" s="283">
        <v>43830</v>
      </c>
      <c r="H12" s="285">
        <f t="shared" si="3"/>
        <v>15</v>
      </c>
      <c r="I12" s="283">
        <v>43844</v>
      </c>
      <c r="J12" s="160">
        <f t="shared" si="4"/>
        <v>14</v>
      </c>
      <c r="K12" s="263">
        <f t="shared" si="5"/>
        <v>29</v>
      </c>
      <c r="L12" s="100">
        <f t="shared" si="6"/>
        <v>52469.7</v>
      </c>
    </row>
    <row r="13" spans="1:18">
      <c r="A13" s="23">
        <f t="shared" si="2"/>
        <v>4</v>
      </c>
      <c r="B13" s="282" t="s">
        <v>422</v>
      </c>
      <c r="C13" s="282" t="s">
        <v>418</v>
      </c>
      <c r="D13" s="283">
        <v>43992</v>
      </c>
      <c r="E13" s="284">
        <v>102.65</v>
      </c>
      <c r="F13" s="283">
        <v>43959</v>
      </c>
      <c r="G13" s="283">
        <v>43991</v>
      </c>
      <c r="H13" s="285">
        <f t="shared" si="3"/>
        <v>16</v>
      </c>
      <c r="I13" s="283">
        <v>44005</v>
      </c>
      <c r="J13" s="160">
        <f t="shared" si="4"/>
        <v>14</v>
      </c>
      <c r="K13" s="263">
        <f t="shared" si="5"/>
        <v>30</v>
      </c>
      <c r="L13" s="100">
        <f t="shared" si="6"/>
        <v>3079.5</v>
      </c>
      <c r="M13" s="107"/>
      <c r="N13" s="107"/>
      <c r="O13" s="107"/>
      <c r="P13" s="107"/>
      <c r="Q13" s="107"/>
      <c r="R13" s="107"/>
    </row>
    <row r="14" spans="1:18">
      <c r="A14" s="23">
        <f t="shared" si="2"/>
        <v>5</v>
      </c>
      <c r="B14" s="282" t="s">
        <v>423</v>
      </c>
      <c r="C14" s="282" t="s">
        <v>418</v>
      </c>
      <c r="D14" s="283">
        <v>44117</v>
      </c>
      <c r="E14" s="284">
        <v>52.46</v>
      </c>
      <c r="F14" s="283">
        <v>44082</v>
      </c>
      <c r="G14" s="283">
        <v>44112</v>
      </c>
      <c r="H14" s="285">
        <f t="shared" si="3"/>
        <v>15</v>
      </c>
      <c r="I14" s="283">
        <v>44131</v>
      </c>
      <c r="J14" s="160">
        <f t="shared" si="4"/>
        <v>19</v>
      </c>
      <c r="K14" s="263">
        <f t="shared" si="5"/>
        <v>34</v>
      </c>
      <c r="L14" s="100">
        <f t="shared" si="6"/>
        <v>1783.64</v>
      </c>
      <c r="M14" s="107"/>
      <c r="N14" s="107"/>
      <c r="O14" s="107"/>
      <c r="P14" s="107"/>
      <c r="Q14" s="107"/>
      <c r="R14" s="107"/>
    </row>
    <row r="15" spans="1:18">
      <c r="A15" s="23">
        <f t="shared" si="2"/>
        <v>6</v>
      </c>
      <c r="B15" s="282" t="s">
        <v>424</v>
      </c>
      <c r="C15" s="282" t="s">
        <v>425</v>
      </c>
      <c r="D15" s="283">
        <v>43862</v>
      </c>
      <c r="E15" s="284">
        <v>655.58</v>
      </c>
      <c r="F15" s="283">
        <v>43862</v>
      </c>
      <c r="G15" s="283">
        <v>43890</v>
      </c>
      <c r="H15" s="285">
        <f t="shared" si="3"/>
        <v>14</v>
      </c>
      <c r="I15" s="283">
        <v>43879</v>
      </c>
      <c r="J15" s="160">
        <f t="shared" si="4"/>
        <v>-11</v>
      </c>
      <c r="K15" s="263">
        <f t="shared" si="5"/>
        <v>3</v>
      </c>
      <c r="L15" s="100">
        <f t="shared" si="6"/>
        <v>1966.74</v>
      </c>
      <c r="M15" s="107"/>
      <c r="N15" s="107"/>
      <c r="O15" s="107"/>
      <c r="P15" s="107"/>
      <c r="Q15" s="107"/>
      <c r="R15" s="107"/>
    </row>
    <row r="16" spans="1:18">
      <c r="A16" s="23">
        <f t="shared" si="2"/>
        <v>7</v>
      </c>
      <c r="B16" s="282" t="s">
        <v>426</v>
      </c>
      <c r="C16" s="282"/>
      <c r="D16" s="283">
        <v>44012</v>
      </c>
      <c r="E16" s="284">
        <v>595</v>
      </c>
      <c r="F16" s="283">
        <v>44011</v>
      </c>
      <c r="G16" s="283">
        <v>44012</v>
      </c>
      <c r="H16" s="285">
        <f t="shared" si="3"/>
        <v>0.5</v>
      </c>
      <c r="I16" s="283">
        <v>44026</v>
      </c>
      <c r="J16" s="160">
        <f t="shared" si="4"/>
        <v>14</v>
      </c>
      <c r="K16" s="263">
        <f t="shared" si="5"/>
        <v>14.5</v>
      </c>
      <c r="L16" s="100">
        <f t="shared" si="6"/>
        <v>8627.5</v>
      </c>
      <c r="M16" s="107"/>
      <c r="N16" s="107"/>
      <c r="O16" s="107"/>
      <c r="P16" s="107"/>
      <c r="Q16" s="107"/>
      <c r="R16" s="107"/>
    </row>
    <row r="17" spans="1:18">
      <c r="A17" s="23">
        <f t="shared" si="2"/>
        <v>8</v>
      </c>
      <c r="B17" s="282" t="s">
        <v>427</v>
      </c>
      <c r="C17" s="282" t="s">
        <v>420</v>
      </c>
      <c r="D17" s="283">
        <v>44135</v>
      </c>
      <c r="E17" s="284">
        <v>100</v>
      </c>
      <c r="F17" s="283">
        <v>44105</v>
      </c>
      <c r="G17" s="283">
        <v>44135</v>
      </c>
      <c r="H17" s="285">
        <f t="shared" si="3"/>
        <v>15</v>
      </c>
      <c r="I17" s="283">
        <v>44158</v>
      </c>
      <c r="J17" s="160">
        <f t="shared" si="4"/>
        <v>23</v>
      </c>
      <c r="K17" s="263">
        <f t="shared" si="5"/>
        <v>38</v>
      </c>
      <c r="L17" s="100">
        <f t="shared" si="6"/>
        <v>3800</v>
      </c>
      <c r="M17" s="107"/>
      <c r="N17" s="107"/>
      <c r="O17" s="107"/>
      <c r="P17" s="107"/>
      <c r="Q17" s="107"/>
      <c r="R17" s="107"/>
    </row>
    <row r="18" spans="1:18">
      <c r="A18" s="23">
        <f t="shared" si="2"/>
        <v>9</v>
      </c>
      <c r="B18" s="282" t="s">
        <v>428</v>
      </c>
      <c r="C18" s="282" t="s">
        <v>425</v>
      </c>
      <c r="D18" s="283">
        <v>43985</v>
      </c>
      <c r="E18" s="284">
        <v>953.24</v>
      </c>
      <c r="F18" s="283">
        <v>43983</v>
      </c>
      <c r="G18" s="283">
        <v>44012</v>
      </c>
      <c r="H18" s="285">
        <f t="shared" si="3"/>
        <v>14.5</v>
      </c>
      <c r="I18" s="283">
        <v>43998</v>
      </c>
      <c r="J18" s="160">
        <f t="shared" si="4"/>
        <v>-14</v>
      </c>
      <c r="K18" s="263">
        <f t="shared" si="5"/>
        <v>0.5</v>
      </c>
      <c r="L18" s="100">
        <f t="shared" si="6"/>
        <v>476.62</v>
      </c>
      <c r="M18" s="107"/>
      <c r="N18" s="107"/>
      <c r="O18" s="107"/>
      <c r="P18" s="107"/>
      <c r="Q18" s="107"/>
      <c r="R18" s="107"/>
    </row>
    <row r="19" spans="1:18">
      <c r="A19" s="23">
        <f t="shared" si="2"/>
        <v>10</v>
      </c>
      <c r="B19" s="282" t="s">
        <v>429</v>
      </c>
      <c r="C19" s="282" t="s">
        <v>430</v>
      </c>
      <c r="D19" s="283">
        <v>43843</v>
      </c>
      <c r="E19" s="284">
        <v>765</v>
      </c>
      <c r="F19" s="283">
        <v>43831</v>
      </c>
      <c r="G19" s="283">
        <v>44196</v>
      </c>
      <c r="H19" s="285">
        <f t="shared" si="3"/>
        <v>182.5</v>
      </c>
      <c r="I19" s="283">
        <v>43851</v>
      </c>
      <c r="J19" s="160">
        <f t="shared" si="4"/>
        <v>-345</v>
      </c>
      <c r="K19" s="263">
        <f t="shared" si="5"/>
        <v>-162.5</v>
      </c>
      <c r="L19" s="100">
        <f t="shared" si="6"/>
        <v>-124312.5</v>
      </c>
      <c r="M19" s="107"/>
      <c r="N19" s="107"/>
      <c r="O19" s="107"/>
      <c r="P19" s="107"/>
      <c r="Q19" s="107"/>
      <c r="R19" s="107"/>
    </row>
    <row r="20" spans="1:18">
      <c r="A20" s="23">
        <f t="shared" si="2"/>
        <v>11</v>
      </c>
      <c r="B20" s="282" t="s">
        <v>431</v>
      </c>
      <c r="C20" s="282"/>
      <c r="D20" s="283">
        <v>44085</v>
      </c>
      <c r="E20" s="284">
        <v>1691.72</v>
      </c>
      <c r="F20" s="283">
        <v>44105</v>
      </c>
      <c r="G20" s="283">
        <v>44196</v>
      </c>
      <c r="H20" s="285">
        <f t="shared" si="3"/>
        <v>45.5</v>
      </c>
      <c r="I20" s="283">
        <v>44102</v>
      </c>
      <c r="J20" s="160">
        <f t="shared" si="4"/>
        <v>-94</v>
      </c>
      <c r="K20" s="263">
        <f t="shared" si="5"/>
        <v>-48.5</v>
      </c>
      <c r="L20" s="100">
        <f t="shared" si="6"/>
        <v>-82048.42</v>
      </c>
      <c r="M20" s="107"/>
      <c r="N20" s="107"/>
      <c r="O20" s="107"/>
      <c r="P20" s="107"/>
      <c r="Q20" s="107"/>
      <c r="R20" s="107"/>
    </row>
    <row r="21" spans="1:18">
      <c r="A21" s="23">
        <f t="shared" si="2"/>
        <v>12</v>
      </c>
      <c r="B21" s="282" t="s">
        <v>432</v>
      </c>
      <c r="C21" s="282" t="s">
        <v>421</v>
      </c>
      <c r="D21" s="283">
        <v>43832</v>
      </c>
      <c r="E21" s="284">
        <v>130</v>
      </c>
      <c r="F21" s="283">
        <v>43831</v>
      </c>
      <c r="G21" s="283">
        <v>43861</v>
      </c>
      <c r="H21" s="285">
        <f t="shared" si="3"/>
        <v>15</v>
      </c>
      <c r="I21" s="283">
        <v>43858</v>
      </c>
      <c r="J21" s="160">
        <f t="shared" si="4"/>
        <v>-3</v>
      </c>
      <c r="K21" s="263">
        <f t="shared" si="5"/>
        <v>12</v>
      </c>
      <c r="L21" s="100">
        <f t="shared" si="6"/>
        <v>1560</v>
      </c>
      <c r="M21" s="107"/>
      <c r="N21" s="107"/>
      <c r="O21" s="107"/>
      <c r="P21" s="107"/>
      <c r="Q21" s="107"/>
      <c r="R21" s="107"/>
    </row>
    <row r="22" spans="1:18">
      <c r="A22" s="23">
        <f t="shared" si="2"/>
        <v>13</v>
      </c>
      <c r="B22" s="282" t="s">
        <v>433</v>
      </c>
      <c r="C22" s="282"/>
      <c r="D22" s="283">
        <v>43891</v>
      </c>
      <c r="E22" s="284">
        <v>143.56</v>
      </c>
      <c r="F22" s="283">
        <v>43862</v>
      </c>
      <c r="G22" s="283">
        <v>43890</v>
      </c>
      <c r="H22" s="285">
        <f t="shared" si="3"/>
        <v>14</v>
      </c>
      <c r="I22" s="283">
        <v>43906</v>
      </c>
      <c r="J22" s="160">
        <f t="shared" si="4"/>
        <v>16</v>
      </c>
      <c r="K22" s="263">
        <f t="shared" si="5"/>
        <v>30</v>
      </c>
      <c r="L22" s="100">
        <f t="shared" si="6"/>
        <v>4306.8</v>
      </c>
      <c r="M22" s="107"/>
      <c r="N22" s="107"/>
      <c r="O22" s="107"/>
      <c r="P22" s="107"/>
      <c r="Q22" s="107"/>
      <c r="R22" s="107"/>
    </row>
    <row r="23" spans="1:18">
      <c r="A23" s="23">
        <f t="shared" si="2"/>
        <v>14</v>
      </c>
      <c r="B23" s="282" t="s">
        <v>434</v>
      </c>
      <c r="C23" s="282" t="s">
        <v>421</v>
      </c>
      <c r="D23" s="283">
        <v>44053</v>
      </c>
      <c r="E23" s="284">
        <v>100</v>
      </c>
      <c r="F23" s="283">
        <v>44021</v>
      </c>
      <c r="G23" s="283">
        <v>44040</v>
      </c>
      <c r="H23" s="285">
        <f t="shared" si="3"/>
        <v>9.5</v>
      </c>
      <c r="I23" s="283">
        <v>44068</v>
      </c>
      <c r="J23" s="160">
        <f t="shared" si="4"/>
        <v>28</v>
      </c>
      <c r="K23" s="263">
        <f t="shared" si="5"/>
        <v>37.5</v>
      </c>
      <c r="L23" s="100">
        <f t="shared" si="6"/>
        <v>3750</v>
      </c>
      <c r="M23" s="107"/>
      <c r="N23" s="107"/>
      <c r="O23" s="107"/>
      <c r="P23" s="107"/>
      <c r="Q23" s="107"/>
      <c r="R23" s="107"/>
    </row>
    <row r="24" spans="1:18">
      <c r="A24" s="23">
        <f t="shared" si="2"/>
        <v>15</v>
      </c>
      <c r="B24" s="282" t="s">
        <v>435</v>
      </c>
      <c r="C24" s="282" t="s">
        <v>418</v>
      </c>
      <c r="D24" s="283">
        <v>44133</v>
      </c>
      <c r="E24" s="284">
        <v>51.75</v>
      </c>
      <c r="F24" s="283">
        <v>44104</v>
      </c>
      <c r="G24" s="283">
        <v>44128</v>
      </c>
      <c r="H24" s="285">
        <f t="shared" si="3"/>
        <v>12</v>
      </c>
      <c r="I24" s="283">
        <v>44145</v>
      </c>
      <c r="J24" s="160">
        <f t="shared" si="4"/>
        <v>17</v>
      </c>
      <c r="K24" s="263">
        <f t="shared" si="5"/>
        <v>29</v>
      </c>
      <c r="L24" s="100">
        <f t="shared" si="6"/>
        <v>1500.75</v>
      </c>
      <c r="M24" s="107"/>
      <c r="N24" s="107"/>
      <c r="O24" s="107"/>
      <c r="P24" s="107"/>
      <c r="Q24" s="107"/>
      <c r="R24" s="107"/>
    </row>
    <row r="25" spans="1:18">
      <c r="A25" s="23">
        <f t="shared" si="2"/>
        <v>16</v>
      </c>
      <c r="B25" s="282" t="s">
        <v>436</v>
      </c>
      <c r="C25" s="282" t="s">
        <v>430</v>
      </c>
      <c r="D25" s="283">
        <v>43923</v>
      </c>
      <c r="E25" s="284">
        <v>375</v>
      </c>
      <c r="F25" s="283">
        <v>43922</v>
      </c>
      <c r="G25" s="283">
        <v>43951</v>
      </c>
      <c r="H25" s="285">
        <f t="shared" si="3"/>
        <v>14.5</v>
      </c>
      <c r="I25" s="283">
        <v>43942</v>
      </c>
      <c r="J25" s="160">
        <f t="shared" si="4"/>
        <v>-9</v>
      </c>
      <c r="K25" s="263">
        <f t="shared" si="5"/>
        <v>5.5</v>
      </c>
      <c r="L25" s="100">
        <f t="shared" si="6"/>
        <v>2062.5</v>
      </c>
      <c r="M25" s="107"/>
      <c r="N25" s="107"/>
      <c r="O25" s="107"/>
      <c r="P25" s="107"/>
      <c r="Q25" s="107"/>
      <c r="R25" s="107"/>
    </row>
    <row r="26" spans="1:18">
      <c r="A26" s="23">
        <f t="shared" si="2"/>
        <v>17</v>
      </c>
      <c r="B26" s="282" t="s">
        <v>422</v>
      </c>
      <c r="C26" s="282" t="s">
        <v>418</v>
      </c>
      <c r="D26" s="283">
        <v>43998</v>
      </c>
      <c r="E26" s="284">
        <v>60.79</v>
      </c>
      <c r="F26" s="283">
        <v>43963</v>
      </c>
      <c r="G26" s="283">
        <v>43994</v>
      </c>
      <c r="H26" s="285">
        <f t="shared" si="3"/>
        <v>15.5</v>
      </c>
      <c r="I26" s="283">
        <v>44005</v>
      </c>
      <c r="J26" s="160">
        <f t="shared" si="4"/>
        <v>11</v>
      </c>
      <c r="K26" s="263">
        <f t="shared" si="5"/>
        <v>26.5</v>
      </c>
      <c r="L26" s="100">
        <f t="shared" si="6"/>
        <v>1610.94</v>
      </c>
      <c r="M26" s="107"/>
      <c r="N26" s="107"/>
      <c r="O26" s="107"/>
      <c r="P26" s="107"/>
      <c r="Q26" s="107"/>
      <c r="R26" s="107"/>
    </row>
    <row r="27" spans="1:18">
      <c r="A27" s="23">
        <f t="shared" si="2"/>
        <v>18</v>
      </c>
      <c r="B27" s="282" t="s">
        <v>423</v>
      </c>
      <c r="C27" s="282" t="s">
        <v>418</v>
      </c>
      <c r="D27" s="283">
        <v>44117</v>
      </c>
      <c r="E27" s="284">
        <v>31.43</v>
      </c>
      <c r="F27" s="283">
        <v>44083</v>
      </c>
      <c r="G27" s="283">
        <v>44113</v>
      </c>
      <c r="H27" s="285">
        <f t="shared" si="3"/>
        <v>15</v>
      </c>
      <c r="I27" s="283">
        <v>44131</v>
      </c>
      <c r="J27" s="160">
        <f t="shared" si="4"/>
        <v>18</v>
      </c>
      <c r="K27" s="263">
        <f t="shared" si="5"/>
        <v>33</v>
      </c>
      <c r="L27" s="100">
        <f t="shared" si="6"/>
        <v>1037.19</v>
      </c>
      <c r="M27" s="107"/>
      <c r="N27" s="107"/>
      <c r="O27" s="107"/>
      <c r="P27" s="107"/>
      <c r="Q27" s="107"/>
      <c r="R27" s="107"/>
    </row>
    <row r="28" spans="1:18">
      <c r="A28" s="23">
        <f t="shared" si="2"/>
        <v>19</v>
      </c>
      <c r="B28" s="282" t="s">
        <v>422</v>
      </c>
      <c r="C28" s="282" t="s">
        <v>418</v>
      </c>
      <c r="D28" s="283">
        <v>43951</v>
      </c>
      <c r="E28" s="284">
        <v>35.200000000000003</v>
      </c>
      <c r="F28" s="283">
        <v>43920</v>
      </c>
      <c r="G28" s="283">
        <v>43950</v>
      </c>
      <c r="H28" s="285">
        <f t="shared" si="3"/>
        <v>15</v>
      </c>
      <c r="I28" s="283">
        <v>43963</v>
      </c>
      <c r="J28" s="160">
        <f t="shared" si="4"/>
        <v>13</v>
      </c>
      <c r="K28" s="263">
        <f t="shared" si="5"/>
        <v>28</v>
      </c>
      <c r="L28" s="100">
        <f t="shared" si="6"/>
        <v>985.6</v>
      </c>
      <c r="M28" s="107"/>
      <c r="N28" s="107"/>
      <c r="O28" s="107"/>
      <c r="P28" s="107"/>
      <c r="Q28" s="107"/>
      <c r="R28" s="107"/>
    </row>
    <row r="29" spans="1:18">
      <c r="A29" s="23">
        <f t="shared" si="2"/>
        <v>20</v>
      </c>
      <c r="B29" s="282" t="s">
        <v>437</v>
      </c>
      <c r="C29" s="282" t="s">
        <v>418</v>
      </c>
      <c r="D29" s="283">
        <v>43992</v>
      </c>
      <c r="E29" s="284">
        <v>52.29</v>
      </c>
      <c r="F29" s="283">
        <v>43952</v>
      </c>
      <c r="G29" s="283">
        <v>43983</v>
      </c>
      <c r="H29" s="285">
        <f t="shared" si="3"/>
        <v>15.5</v>
      </c>
      <c r="I29" s="283">
        <v>44005</v>
      </c>
      <c r="J29" s="160">
        <f t="shared" si="4"/>
        <v>22</v>
      </c>
      <c r="K29" s="263">
        <f t="shared" si="5"/>
        <v>37.5</v>
      </c>
      <c r="L29" s="100">
        <f t="shared" si="6"/>
        <v>1960.88</v>
      </c>
      <c r="M29" s="107"/>
      <c r="N29" s="107"/>
      <c r="O29" s="107"/>
      <c r="P29" s="107"/>
      <c r="Q29" s="107"/>
      <c r="R29" s="107"/>
    </row>
    <row r="30" spans="1:18">
      <c r="A30" s="23">
        <f t="shared" si="2"/>
        <v>21</v>
      </c>
      <c r="B30" s="282" t="s">
        <v>428</v>
      </c>
      <c r="C30" s="282" t="s">
        <v>425</v>
      </c>
      <c r="D30" s="283">
        <v>44012</v>
      </c>
      <c r="E30" s="284">
        <v>48.03</v>
      </c>
      <c r="F30" s="283">
        <v>44010</v>
      </c>
      <c r="G30" s="283">
        <v>44039</v>
      </c>
      <c r="H30" s="285">
        <f t="shared" si="3"/>
        <v>14.5</v>
      </c>
      <c r="I30" s="283">
        <v>44026</v>
      </c>
      <c r="J30" s="160">
        <f t="shared" si="4"/>
        <v>-13</v>
      </c>
      <c r="K30" s="263">
        <f t="shared" si="5"/>
        <v>1.5</v>
      </c>
      <c r="L30" s="100">
        <f t="shared" si="6"/>
        <v>72.05</v>
      </c>
      <c r="M30" s="107"/>
      <c r="N30" s="107"/>
      <c r="O30" s="107"/>
      <c r="P30" s="107"/>
      <c r="Q30" s="107"/>
      <c r="R30" s="107"/>
    </row>
    <row r="31" spans="1:18">
      <c r="A31" s="23">
        <f t="shared" si="2"/>
        <v>22</v>
      </c>
      <c r="B31" s="282" t="s">
        <v>438</v>
      </c>
      <c r="C31" s="282" t="s">
        <v>420</v>
      </c>
      <c r="D31" s="283">
        <v>44029</v>
      </c>
      <c r="E31" s="284">
        <v>984</v>
      </c>
      <c r="F31" s="283">
        <v>43922</v>
      </c>
      <c r="G31" s="283">
        <v>44012</v>
      </c>
      <c r="H31" s="285">
        <f t="shared" si="3"/>
        <v>45</v>
      </c>
      <c r="I31" s="283">
        <v>44089</v>
      </c>
      <c r="J31" s="160">
        <f t="shared" si="4"/>
        <v>77</v>
      </c>
      <c r="K31" s="263">
        <f t="shared" si="5"/>
        <v>122</v>
      </c>
      <c r="L31" s="100">
        <f t="shared" si="6"/>
        <v>120048</v>
      </c>
      <c r="M31" s="107"/>
      <c r="N31" s="107"/>
      <c r="O31" s="107"/>
      <c r="P31" s="107"/>
      <c r="Q31" s="107"/>
      <c r="R31" s="107"/>
    </row>
    <row r="32" spans="1:18">
      <c r="A32" s="23">
        <f t="shared" si="2"/>
        <v>23</v>
      </c>
      <c r="B32" s="282" t="s">
        <v>439</v>
      </c>
      <c r="C32" s="282" t="s">
        <v>440</v>
      </c>
      <c r="D32" s="283">
        <v>44044</v>
      </c>
      <c r="E32" s="284">
        <v>1200.23</v>
      </c>
      <c r="F32" s="283">
        <v>43831</v>
      </c>
      <c r="G32" s="283">
        <v>44043</v>
      </c>
      <c r="H32" s="285">
        <f t="shared" si="3"/>
        <v>106</v>
      </c>
      <c r="I32" s="283">
        <v>44068</v>
      </c>
      <c r="J32" s="160">
        <f t="shared" si="4"/>
        <v>25</v>
      </c>
      <c r="K32" s="263">
        <f t="shared" si="5"/>
        <v>131</v>
      </c>
      <c r="L32" s="100">
        <f t="shared" si="6"/>
        <v>157230.13</v>
      </c>
      <c r="M32" s="107"/>
      <c r="N32" s="107"/>
      <c r="O32" s="107"/>
      <c r="P32" s="107"/>
      <c r="Q32" s="107"/>
      <c r="R32" s="107"/>
    </row>
    <row r="33" spans="1:18">
      <c r="A33" s="23">
        <f t="shared" si="2"/>
        <v>24</v>
      </c>
      <c r="B33" s="282" t="s">
        <v>441</v>
      </c>
      <c r="C33" s="282" t="s">
        <v>440</v>
      </c>
      <c r="D33" s="283">
        <v>44004</v>
      </c>
      <c r="E33" s="284">
        <v>612.16999999999996</v>
      </c>
      <c r="F33" s="283">
        <v>44005</v>
      </c>
      <c r="G33" s="283">
        <v>44034</v>
      </c>
      <c r="H33" s="285">
        <f t="shared" si="3"/>
        <v>14.5</v>
      </c>
      <c r="I33" s="283">
        <v>44019</v>
      </c>
      <c r="J33" s="160">
        <f t="shared" si="4"/>
        <v>-15</v>
      </c>
      <c r="K33" s="263">
        <f t="shared" si="5"/>
        <v>-0.5</v>
      </c>
      <c r="L33" s="100">
        <f t="shared" si="6"/>
        <v>-306.08999999999997</v>
      </c>
      <c r="M33" s="107"/>
      <c r="N33" s="107"/>
      <c r="O33" s="107"/>
      <c r="P33" s="107"/>
      <c r="Q33" s="107"/>
      <c r="R33" s="107"/>
    </row>
    <row r="34" spans="1:18">
      <c r="A34" s="23">
        <f t="shared" si="2"/>
        <v>25</v>
      </c>
      <c r="B34" s="282" t="s">
        <v>435</v>
      </c>
      <c r="C34" s="282" t="s">
        <v>418</v>
      </c>
      <c r="D34" s="283">
        <v>44041</v>
      </c>
      <c r="E34" s="284">
        <v>36.229999999999997</v>
      </c>
      <c r="F34" s="283">
        <v>44007</v>
      </c>
      <c r="G34" s="283">
        <v>44037</v>
      </c>
      <c r="H34" s="285">
        <f t="shared" si="3"/>
        <v>15</v>
      </c>
      <c r="I34" s="283">
        <v>44047</v>
      </c>
      <c r="J34" s="160">
        <f t="shared" si="4"/>
        <v>10</v>
      </c>
      <c r="K34" s="263">
        <f t="shared" si="5"/>
        <v>25</v>
      </c>
      <c r="L34" s="100">
        <f t="shared" si="6"/>
        <v>905.75</v>
      </c>
      <c r="M34" s="107"/>
      <c r="N34" s="107"/>
      <c r="O34" s="107"/>
      <c r="P34" s="107"/>
      <c r="Q34" s="107"/>
      <c r="R34" s="107"/>
    </row>
    <row r="35" spans="1:18">
      <c r="A35" s="23">
        <f t="shared" si="2"/>
        <v>26</v>
      </c>
      <c r="B35" s="282" t="s">
        <v>422</v>
      </c>
      <c r="C35" s="282" t="s">
        <v>418</v>
      </c>
      <c r="D35" s="283">
        <v>44153</v>
      </c>
      <c r="E35" s="284">
        <v>1742.68</v>
      </c>
      <c r="F35" s="283">
        <v>44123</v>
      </c>
      <c r="G35" s="283">
        <v>44152</v>
      </c>
      <c r="H35" s="285">
        <f t="shared" si="3"/>
        <v>14.5</v>
      </c>
      <c r="I35" s="283">
        <v>44166</v>
      </c>
      <c r="J35" s="160">
        <f t="shared" si="4"/>
        <v>14</v>
      </c>
      <c r="K35" s="263">
        <f t="shared" si="5"/>
        <v>28.5</v>
      </c>
      <c r="L35" s="100">
        <f t="shared" si="6"/>
        <v>49666.38</v>
      </c>
      <c r="M35" s="107"/>
      <c r="N35" s="107"/>
      <c r="O35" s="107"/>
      <c r="P35" s="107"/>
      <c r="Q35" s="107"/>
      <c r="R35" s="107"/>
    </row>
    <row r="36" spans="1:18">
      <c r="A36" s="23">
        <f t="shared" si="2"/>
        <v>27</v>
      </c>
      <c r="B36" s="282" t="s">
        <v>442</v>
      </c>
      <c r="C36" s="282" t="s">
        <v>440</v>
      </c>
      <c r="D36" s="283">
        <v>43983</v>
      </c>
      <c r="E36" s="284">
        <v>175.6</v>
      </c>
      <c r="F36" s="283">
        <v>43983</v>
      </c>
      <c r="G36" s="283">
        <v>44012</v>
      </c>
      <c r="H36" s="285">
        <f t="shared" si="3"/>
        <v>14.5</v>
      </c>
      <c r="I36" s="283">
        <v>43998</v>
      </c>
      <c r="J36" s="160">
        <f t="shared" si="4"/>
        <v>-14</v>
      </c>
      <c r="K36" s="263">
        <f t="shared" si="5"/>
        <v>0.5</v>
      </c>
      <c r="L36" s="100">
        <f t="shared" si="6"/>
        <v>87.8</v>
      </c>
      <c r="M36" s="107"/>
      <c r="N36" s="107"/>
      <c r="O36" s="107"/>
      <c r="P36" s="107"/>
      <c r="Q36" s="107"/>
      <c r="R36" s="107"/>
    </row>
    <row r="37" spans="1:18">
      <c r="A37" s="23">
        <f t="shared" si="2"/>
        <v>28</v>
      </c>
      <c r="B37" s="282" t="s">
        <v>443</v>
      </c>
      <c r="C37" s="282" t="s">
        <v>416</v>
      </c>
      <c r="D37" s="283">
        <v>44050</v>
      </c>
      <c r="E37" s="284">
        <v>26.21</v>
      </c>
      <c r="F37" s="283">
        <v>44043</v>
      </c>
      <c r="G37" s="283">
        <v>44050</v>
      </c>
      <c r="H37" s="285">
        <f t="shared" si="3"/>
        <v>3.5</v>
      </c>
      <c r="I37" s="283">
        <v>44102</v>
      </c>
      <c r="J37" s="160">
        <f t="shared" si="4"/>
        <v>52</v>
      </c>
      <c r="K37" s="263">
        <f t="shared" si="5"/>
        <v>55.5</v>
      </c>
      <c r="L37" s="100">
        <f t="shared" si="6"/>
        <v>1454.66</v>
      </c>
      <c r="M37" s="107"/>
      <c r="N37" s="107"/>
      <c r="O37" s="107"/>
      <c r="P37" s="107"/>
      <c r="Q37" s="107"/>
      <c r="R37" s="107"/>
    </row>
    <row r="38" spans="1:18">
      <c r="A38" s="23">
        <f t="shared" si="2"/>
        <v>29</v>
      </c>
      <c r="B38" s="282" t="s">
        <v>422</v>
      </c>
      <c r="C38" s="282" t="s">
        <v>418</v>
      </c>
      <c r="D38" s="283">
        <v>44062</v>
      </c>
      <c r="E38" s="284">
        <v>1149.44</v>
      </c>
      <c r="F38" s="283">
        <v>44032</v>
      </c>
      <c r="G38" s="283">
        <v>44061</v>
      </c>
      <c r="H38" s="285">
        <f t="shared" si="3"/>
        <v>14.5</v>
      </c>
      <c r="I38" s="283">
        <v>44068</v>
      </c>
      <c r="J38" s="160">
        <f t="shared" si="4"/>
        <v>7</v>
      </c>
      <c r="K38" s="263">
        <f t="shared" si="5"/>
        <v>21.5</v>
      </c>
      <c r="L38" s="100">
        <f t="shared" si="6"/>
        <v>24712.959999999999</v>
      </c>
      <c r="M38" s="107"/>
      <c r="N38" s="107"/>
      <c r="O38" s="107"/>
      <c r="P38" s="107"/>
      <c r="Q38" s="107"/>
      <c r="R38" s="107"/>
    </row>
    <row r="39" spans="1:18">
      <c r="A39" s="23">
        <f t="shared" si="2"/>
        <v>30</v>
      </c>
      <c r="B39" s="282" t="s">
        <v>444</v>
      </c>
      <c r="C39" s="282"/>
      <c r="D39" s="283">
        <v>43861</v>
      </c>
      <c r="E39" s="284">
        <v>3929.71</v>
      </c>
      <c r="F39" s="283">
        <v>43831</v>
      </c>
      <c r="G39" s="283">
        <v>43861</v>
      </c>
      <c r="H39" s="285">
        <f t="shared" si="3"/>
        <v>15</v>
      </c>
      <c r="I39" s="283">
        <v>43872</v>
      </c>
      <c r="J39" s="160">
        <f t="shared" si="4"/>
        <v>11</v>
      </c>
      <c r="K39" s="263">
        <f t="shared" si="5"/>
        <v>26</v>
      </c>
      <c r="L39" s="100">
        <f t="shared" si="6"/>
        <v>102172.46</v>
      </c>
      <c r="M39" s="107"/>
      <c r="N39" s="107"/>
      <c r="O39" s="107"/>
      <c r="P39" s="107"/>
      <c r="Q39" s="107"/>
      <c r="R39" s="107"/>
    </row>
    <row r="40" spans="1:18">
      <c r="A40" s="23">
        <f t="shared" si="2"/>
        <v>31</v>
      </c>
      <c r="B40" s="282" t="s">
        <v>422</v>
      </c>
      <c r="C40" s="282" t="s">
        <v>418</v>
      </c>
      <c r="D40" s="283">
        <v>44028</v>
      </c>
      <c r="E40" s="284">
        <v>82.66</v>
      </c>
      <c r="F40" s="283">
        <v>43994</v>
      </c>
      <c r="G40" s="283">
        <v>44025</v>
      </c>
      <c r="H40" s="285">
        <f t="shared" si="3"/>
        <v>15.5</v>
      </c>
      <c r="I40" s="283">
        <v>44040</v>
      </c>
      <c r="J40" s="160">
        <f t="shared" si="4"/>
        <v>15</v>
      </c>
      <c r="K40" s="263">
        <f t="shared" si="5"/>
        <v>30.5</v>
      </c>
      <c r="L40" s="100">
        <f t="shared" si="6"/>
        <v>2521.13</v>
      </c>
      <c r="M40" s="107"/>
      <c r="N40" s="107"/>
      <c r="O40" s="107"/>
      <c r="P40" s="107"/>
      <c r="Q40" s="107"/>
      <c r="R40" s="107"/>
    </row>
    <row r="41" spans="1:18">
      <c r="A41" s="23">
        <f t="shared" si="2"/>
        <v>32</v>
      </c>
      <c r="B41" s="282" t="s">
        <v>445</v>
      </c>
      <c r="C41" s="282" t="s">
        <v>446</v>
      </c>
      <c r="D41" s="283">
        <v>44028</v>
      </c>
      <c r="E41" s="284">
        <v>97.95</v>
      </c>
      <c r="F41" s="283">
        <v>44027</v>
      </c>
      <c r="G41" s="283">
        <v>44057</v>
      </c>
      <c r="H41" s="285">
        <f t="shared" si="3"/>
        <v>15</v>
      </c>
      <c r="I41" s="283">
        <v>44040</v>
      </c>
      <c r="J41" s="160">
        <f t="shared" si="4"/>
        <v>-17</v>
      </c>
      <c r="K41" s="263">
        <f t="shared" si="5"/>
        <v>-2</v>
      </c>
      <c r="L41" s="100">
        <f t="shared" si="6"/>
        <v>-195.9</v>
      </c>
      <c r="M41" s="107"/>
      <c r="N41" s="107"/>
      <c r="O41" s="107"/>
      <c r="P41" s="107"/>
      <c r="Q41" s="107"/>
      <c r="R41" s="107"/>
    </row>
    <row r="42" spans="1:18">
      <c r="A42" s="23">
        <f t="shared" si="2"/>
        <v>33</v>
      </c>
      <c r="B42" s="282" t="s">
        <v>424</v>
      </c>
      <c r="C42" s="282" t="s">
        <v>425</v>
      </c>
      <c r="D42" s="283">
        <v>44108</v>
      </c>
      <c r="E42" s="284">
        <v>165.12</v>
      </c>
      <c r="F42" s="283">
        <v>44108</v>
      </c>
      <c r="G42" s="283">
        <v>44138</v>
      </c>
      <c r="H42" s="285">
        <f t="shared" si="3"/>
        <v>15</v>
      </c>
      <c r="I42" s="283">
        <v>44124</v>
      </c>
      <c r="J42" s="160">
        <f t="shared" si="4"/>
        <v>-14</v>
      </c>
      <c r="K42" s="263">
        <f t="shared" si="5"/>
        <v>1</v>
      </c>
      <c r="L42" s="100">
        <f t="shared" si="6"/>
        <v>165.12</v>
      </c>
      <c r="M42" s="107"/>
      <c r="N42" s="107"/>
      <c r="O42" s="107"/>
      <c r="P42" s="107"/>
      <c r="Q42" s="107"/>
      <c r="R42" s="107"/>
    </row>
    <row r="43" spans="1:18">
      <c r="A43" s="23">
        <f t="shared" si="2"/>
        <v>34</v>
      </c>
      <c r="B43" s="282" t="s">
        <v>428</v>
      </c>
      <c r="C43" s="282" t="s">
        <v>425</v>
      </c>
      <c r="D43" s="283">
        <v>43860</v>
      </c>
      <c r="E43" s="284">
        <v>277.77999999999997</v>
      </c>
      <c r="F43" s="283">
        <v>43856</v>
      </c>
      <c r="G43" s="283">
        <v>43888</v>
      </c>
      <c r="H43" s="285">
        <f t="shared" si="3"/>
        <v>16</v>
      </c>
      <c r="I43" s="283">
        <v>43872</v>
      </c>
      <c r="J43" s="160">
        <f t="shared" si="4"/>
        <v>-16</v>
      </c>
      <c r="K43" s="263">
        <f t="shared" si="5"/>
        <v>0</v>
      </c>
      <c r="L43" s="100">
        <f t="shared" si="6"/>
        <v>0</v>
      </c>
      <c r="M43" s="107"/>
      <c r="N43" s="107"/>
      <c r="O43" s="107"/>
      <c r="P43" s="107"/>
      <c r="Q43" s="107"/>
      <c r="R43" s="107"/>
    </row>
    <row r="44" spans="1:18">
      <c r="A44" s="23">
        <f t="shared" si="2"/>
        <v>35</v>
      </c>
      <c r="B44" s="282" t="s">
        <v>435</v>
      </c>
      <c r="C44" s="282" t="s">
        <v>418</v>
      </c>
      <c r="D44" s="283">
        <v>43888</v>
      </c>
      <c r="E44" s="284">
        <v>18.02</v>
      </c>
      <c r="F44" s="283">
        <v>43854</v>
      </c>
      <c r="G44" s="283">
        <v>43885</v>
      </c>
      <c r="H44" s="285">
        <f t="shared" si="3"/>
        <v>15.5</v>
      </c>
      <c r="I44" s="283">
        <v>43893</v>
      </c>
      <c r="J44" s="160">
        <f t="shared" si="4"/>
        <v>8</v>
      </c>
      <c r="K44" s="263">
        <f t="shared" si="5"/>
        <v>23.5</v>
      </c>
      <c r="L44" s="100">
        <f t="shared" si="6"/>
        <v>423.47</v>
      </c>
      <c r="M44" s="107"/>
      <c r="N44" s="107"/>
      <c r="O44" s="107"/>
      <c r="P44" s="107"/>
      <c r="Q44" s="107"/>
      <c r="R44" s="107"/>
    </row>
    <row r="45" spans="1:18">
      <c r="A45" s="23">
        <f t="shared" si="2"/>
        <v>36</v>
      </c>
      <c r="B45" s="282" t="s">
        <v>422</v>
      </c>
      <c r="C45" s="282" t="s">
        <v>418</v>
      </c>
      <c r="D45" s="283">
        <v>44005</v>
      </c>
      <c r="E45" s="284">
        <v>2317.98</v>
      </c>
      <c r="F45" s="283">
        <v>43971</v>
      </c>
      <c r="G45" s="283">
        <v>44001</v>
      </c>
      <c r="H45" s="285">
        <f t="shared" ref="H45:H84" si="7">IF(G45="",0,(G45-F45)/2)</f>
        <v>15</v>
      </c>
      <c r="I45" s="283">
        <v>44019</v>
      </c>
      <c r="J45" s="160">
        <f t="shared" ref="J45:J84" si="8">IF(G45="",I45-F45,I45-G45)</f>
        <v>18</v>
      </c>
      <c r="K45" s="263">
        <f t="shared" ref="K45:K84" si="9">H45+J45</f>
        <v>33</v>
      </c>
      <c r="L45" s="100">
        <f t="shared" ref="L45:L84" si="10">ROUND(E45*K45,2)</f>
        <v>76493.34</v>
      </c>
    </row>
    <row r="46" spans="1:18">
      <c r="A46" s="23">
        <f t="shared" si="2"/>
        <v>37</v>
      </c>
      <c r="B46" s="282" t="s">
        <v>422</v>
      </c>
      <c r="C46" s="282" t="s">
        <v>418</v>
      </c>
      <c r="D46" s="283">
        <v>44138</v>
      </c>
      <c r="E46" s="284">
        <v>52.7</v>
      </c>
      <c r="F46" s="283">
        <v>44106</v>
      </c>
      <c r="G46" s="283">
        <v>44137</v>
      </c>
      <c r="H46" s="285">
        <f t="shared" si="7"/>
        <v>15.5</v>
      </c>
      <c r="I46" s="283">
        <v>44145</v>
      </c>
      <c r="J46" s="160">
        <f t="shared" si="8"/>
        <v>8</v>
      </c>
      <c r="K46" s="263">
        <f t="shared" si="9"/>
        <v>23.5</v>
      </c>
      <c r="L46" s="100">
        <f t="shared" si="10"/>
        <v>1238.45</v>
      </c>
    </row>
    <row r="47" spans="1:18">
      <c r="A47" s="23">
        <f t="shared" si="2"/>
        <v>38</v>
      </c>
      <c r="B47" s="282" t="s">
        <v>447</v>
      </c>
      <c r="C47" s="282" t="s">
        <v>416</v>
      </c>
      <c r="D47" s="283">
        <v>44120</v>
      </c>
      <c r="E47" s="284">
        <v>27.09</v>
      </c>
      <c r="F47" s="283">
        <v>44091</v>
      </c>
      <c r="G47" s="283">
        <v>44120</v>
      </c>
      <c r="H47" s="285">
        <f t="shared" si="7"/>
        <v>14.5</v>
      </c>
      <c r="I47" s="283">
        <v>44138</v>
      </c>
      <c r="J47" s="160">
        <f t="shared" si="8"/>
        <v>18</v>
      </c>
      <c r="K47" s="263">
        <f t="shared" si="9"/>
        <v>32.5</v>
      </c>
      <c r="L47" s="100">
        <f t="shared" si="10"/>
        <v>880.43</v>
      </c>
    </row>
    <row r="48" spans="1:18">
      <c r="A48" s="23">
        <f t="shared" si="2"/>
        <v>39</v>
      </c>
      <c r="B48" s="282" t="s">
        <v>428</v>
      </c>
      <c r="C48" s="282" t="s">
        <v>425</v>
      </c>
      <c r="D48" s="283">
        <v>43882</v>
      </c>
      <c r="E48" s="284">
        <v>267.61</v>
      </c>
      <c r="F48" s="283">
        <v>43880</v>
      </c>
      <c r="G48" s="283">
        <v>43908</v>
      </c>
      <c r="H48" s="285">
        <f t="shared" si="7"/>
        <v>14</v>
      </c>
      <c r="I48" s="283">
        <v>43893</v>
      </c>
      <c r="J48" s="160">
        <f t="shared" si="8"/>
        <v>-15</v>
      </c>
      <c r="K48" s="263">
        <f t="shared" si="9"/>
        <v>-1</v>
      </c>
      <c r="L48" s="100">
        <f t="shared" si="10"/>
        <v>-267.61</v>
      </c>
    </row>
    <row r="49" spans="1:12">
      <c r="A49" s="23">
        <f t="shared" si="2"/>
        <v>40</v>
      </c>
      <c r="B49" s="282" t="s">
        <v>424</v>
      </c>
      <c r="C49" s="282" t="s">
        <v>425</v>
      </c>
      <c r="D49" s="283">
        <v>43967</v>
      </c>
      <c r="E49" s="284">
        <v>1.85</v>
      </c>
      <c r="F49" s="283">
        <v>43967</v>
      </c>
      <c r="G49" s="283">
        <v>43997</v>
      </c>
      <c r="H49" s="285">
        <f t="shared" si="7"/>
        <v>15</v>
      </c>
      <c r="I49" s="283">
        <v>43984</v>
      </c>
      <c r="J49" s="160">
        <f t="shared" si="8"/>
        <v>-13</v>
      </c>
      <c r="K49" s="263">
        <f t="shared" si="9"/>
        <v>2</v>
      </c>
      <c r="L49" s="100">
        <f t="shared" si="10"/>
        <v>3.7</v>
      </c>
    </row>
    <row r="50" spans="1:12">
      <c r="A50" s="23">
        <f t="shared" si="2"/>
        <v>41</v>
      </c>
      <c r="B50" s="282" t="s">
        <v>448</v>
      </c>
      <c r="C50" s="282" t="s">
        <v>416</v>
      </c>
      <c r="D50" s="283">
        <v>43977</v>
      </c>
      <c r="E50" s="284">
        <v>42.18</v>
      </c>
      <c r="F50" s="283">
        <v>43942</v>
      </c>
      <c r="G50" s="283">
        <v>43975</v>
      </c>
      <c r="H50" s="285">
        <f t="shared" si="7"/>
        <v>16.5</v>
      </c>
      <c r="I50" s="283">
        <v>43991</v>
      </c>
      <c r="J50" s="160">
        <f t="shared" si="8"/>
        <v>16</v>
      </c>
      <c r="K50" s="263">
        <f t="shared" si="9"/>
        <v>32.5</v>
      </c>
      <c r="L50" s="100">
        <f t="shared" si="10"/>
        <v>1370.85</v>
      </c>
    </row>
    <row r="51" spans="1:12">
      <c r="A51" s="23">
        <f t="shared" si="2"/>
        <v>42</v>
      </c>
      <c r="B51" s="282" t="s">
        <v>441</v>
      </c>
      <c r="C51" s="282" t="s">
        <v>440</v>
      </c>
      <c r="D51" s="283">
        <v>43879</v>
      </c>
      <c r="E51" s="284">
        <v>913.38</v>
      </c>
      <c r="F51" s="283">
        <v>44184</v>
      </c>
      <c r="G51" s="283">
        <v>44214</v>
      </c>
      <c r="H51" s="285">
        <f t="shared" si="7"/>
        <v>15</v>
      </c>
      <c r="I51" s="283">
        <v>43900</v>
      </c>
      <c r="J51" s="160">
        <f t="shared" si="8"/>
        <v>-314</v>
      </c>
      <c r="K51" s="263">
        <f t="shared" si="9"/>
        <v>-299</v>
      </c>
      <c r="L51" s="100">
        <f t="shared" si="10"/>
        <v>-273100.62</v>
      </c>
    </row>
    <row r="52" spans="1:12">
      <c r="A52" s="23">
        <f t="shared" si="2"/>
        <v>43</v>
      </c>
      <c r="B52" s="282" t="s">
        <v>449</v>
      </c>
      <c r="C52" s="282" t="s">
        <v>418</v>
      </c>
      <c r="D52" s="283">
        <v>43948</v>
      </c>
      <c r="E52" s="284">
        <v>22</v>
      </c>
      <c r="F52" s="283">
        <v>43916</v>
      </c>
      <c r="G52" s="283">
        <v>43948</v>
      </c>
      <c r="H52" s="285">
        <f t="shared" si="7"/>
        <v>16</v>
      </c>
      <c r="I52" s="283">
        <v>43956</v>
      </c>
      <c r="J52" s="160">
        <f t="shared" si="8"/>
        <v>8</v>
      </c>
      <c r="K52" s="263">
        <f t="shared" si="9"/>
        <v>24</v>
      </c>
      <c r="L52" s="100">
        <f t="shared" si="10"/>
        <v>528</v>
      </c>
    </row>
    <row r="53" spans="1:12">
      <c r="A53" s="23">
        <f t="shared" si="2"/>
        <v>44</v>
      </c>
      <c r="B53" s="282" t="s">
        <v>432</v>
      </c>
      <c r="C53" s="282" t="s">
        <v>421</v>
      </c>
      <c r="D53" s="283">
        <v>44046</v>
      </c>
      <c r="E53" s="284">
        <v>130</v>
      </c>
      <c r="F53" s="283">
        <v>44044</v>
      </c>
      <c r="G53" s="283">
        <v>44074</v>
      </c>
      <c r="H53" s="285">
        <f t="shared" si="7"/>
        <v>15</v>
      </c>
      <c r="I53" s="283">
        <v>44075</v>
      </c>
      <c r="J53" s="160">
        <f t="shared" si="8"/>
        <v>1</v>
      </c>
      <c r="K53" s="263">
        <f t="shared" si="9"/>
        <v>16</v>
      </c>
      <c r="L53" s="100">
        <f t="shared" si="10"/>
        <v>2080</v>
      </c>
    </row>
    <row r="54" spans="1:12">
      <c r="A54" s="23">
        <f t="shared" si="2"/>
        <v>45</v>
      </c>
      <c r="B54" s="282" t="s">
        <v>424</v>
      </c>
      <c r="C54" s="282" t="s">
        <v>425</v>
      </c>
      <c r="D54" s="283">
        <v>44136</v>
      </c>
      <c r="E54" s="284">
        <v>689.23</v>
      </c>
      <c r="F54" s="283">
        <v>44136</v>
      </c>
      <c r="G54" s="283">
        <v>44165</v>
      </c>
      <c r="H54" s="285">
        <f t="shared" si="7"/>
        <v>14.5</v>
      </c>
      <c r="I54" s="283">
        <v>44152</v>
      </c>
      <c r="J54" s="160">
        <f t="shared" si="8"/>
        <v>-13</v>
      </c>
      <c r="K54" s="263">
        <f t="shared" si="9"/>
        <v>1.5</v>
      </c>
      <c r="L54" s="100">
        <f t="shared" si="10"/>
        <v>1033.8499999999999</v>
      </c>
    </row>
    <row r="55" spans="1:12">
      <c r="A55" s="23">
        <f t="shared" si="2"/>
        <v>46</v>
      </c>
      <c r="B55" s="282" t="s">
        <v>441</v>
      </c>
      <c r="C55" s="282" t="s">
        <v>450</v>
      </c>
      <c r="D55" s="283">
        <v>43817</v>
      </c>
      <c r="E55" s="284">
        <v>266.05</v>
      </c>
      <c r="F55" s="283">
        <v>44184</v>
      </c>
      <c r="G55" s="283">
        <v>44214</v>
      </c>
      <c r="H55" s="285">
        <f t="shared" si="7"/>
        <v>15</v>
      </c>
      <c r="I55" s="283">
        <v>43837</v>
      </c>
      <c r="J55" s="160">
        <f t="shared" si="8"/>
        <v>-377</v>
      </c>
      <c r="K55" s="263">
        <f t="shared" si="9"/>
        <v>-362</v>
      </c>
      <c r="L55" s="100">
        <f t="shared" si="10"/>
        <v>-96310.1</v>
      </c>
    </row>
    <row r="56" spans="1:12">
      <c r="A56" s="23">
        <f t="shared" si="2"/>
        <v>47</v>
      </c>
      <c r="B56" s="282" t="s">
        <v>422</v>
      </c>
      <c r="C56" s="282" t="s">
        <v>418</v>
      </c>
      <c r="D56" s="283">
        <v>43927</v>
      </c>
      <c r="E56" s="284">
        <v>68.150000000000006</v>
      </c>
      <c r="F56" s="283">
        <v>43895</v>
      </c>
      <c r="G56" s="283">
        <v>43924</v>
      </c>
      <c r="H56" s="285">
        <f t="shared" si="7"/>
        <v>14.5</v>
      </c>
      <c r="I56" s="283">
        <v>43935</v>
      </c>
      <c r="J56" s="160">
        <f t="shared" si="8"/>
        <v>11</v>
      </c>
      <c r="K56" s="263">
        <f t="shared" si="9"/>
        <v>25.5</v>
      </c>
      <c r="L56" s="100">
        <f t="shared" si="10"/>
        <v>1737.83</v>
      </c>
    </row>
    <row r="57" spans="1:12">
      <c r="A57" s="23">
        <f t="shared" si="2"/>
        <v>48</v>
      </c>
      <c r="B57" s="282" t="s">
        <v>435</v>
      </c>
      <c r="C57" s="282" t="s">
        <v>418</v>
      </c>
      <c r="D57" s="283">
        <v>44163</v>
      </c>
      <c r="E57" s="284">
        <v>24.73</v>
      </c>
      <c r="F57" s="283">
        <v>44131</v>
      </c>
      <c r="G57" s="283">
        <v>44162</v>
      </c>
      <c r="H57" s="285">
        <f t="shared" si="7"/>
        <v>15.5</v>
      </c>
      <c r="I57" s="283">
        <v>44186</v>
      </c>
      <c r="J57" s="160">
        <f t="shared" si="8"/>
        <v>24</v>
      </c>
      <c r="K57" s="263">
        <f t="shared" si="9"/>
        <v>39.5</v>
      </c>
      <c r="L57" s="100">
        <f t="shared" si="10"/>
        <v>976.84</v>
      </c>
    </row>
    <row r="58" spans="1:12">
      <c r="A58" s="23">
        <f t="shared" si="2"/>
        <v>49</v>
      </c>
      <c r="B58" s="282" t="s">
        <v>451</v>
      </c>
      <c r="C58" s="282" t="s">
        <v>418</v>
      </c>
      <c r="D58" s="283">
        <v>44053</v>
      </c>
      <c r="E58" s="284">
        <v>25.56</v>
      </c>
      <c r="F58" s="283">
        <v>44013</v>
      </c>
      <c r="G58" s="283">
        <v>44044</v>
      </c>
      <c r="H58" s="285">
        <f t="shared" si="7"/>
        <v>15.5</v>
      </c>
      <c r="I58" s="283">
        <v>44061</v>
      </c>
      <c r="J58" s="160">
        <f t="shared" si="8"/>
        <v>17</v>
      </c>
      <c r="K58" s="263">
        <f t="shared" si="9"/>
        <v>32.5</v>
      </c>
      <c r="L58" s="100">
        <f t="shared" si="10"/>
        <v>830.7</v>
      </c>
    </row>
    <row r="59" spans="1:12">
      <c r="A59" s="23">
        <f t="shared" si="2"/>
        <v>50</v>
      </c>
      <c r="B59" s="282" t="s">
        <v>452</v>
      </c>
      <c r="C59" s="282" t="s">
        <v>418</v>
      </c>
      <c r="D59" s="283">
        <v>44063</v>
      </c>
      <c r="E59" s="284">
        <v>19</v>
      </c>
      <c r="F59" s="283">
        <v>44033</v>
      </c>
      <c r="G59" s="283">
        <v>44063</v>
      </c>
      <c r="H59" s="285">
        <f t="shared" si="7"/>
        <v>15</v>
      </c>
      <c r="I59" s="283">
        <v>44082</v>
      </c>
      <c r="J59" s="160">
        <f t="shared" si="8"/>
        <v>19</v>
      </c>
      <c r="K59" s="263">
        <f t="shared" si="9"/>
        <v>34</v>
      </c>
      <c r="L59" s="100">
        <f t="shared" si="10"/>
        <v>646</v>
      </c>
    </row>
    <row r="60" spans="1:12">
      <c r="A60" s="23">
        <f t="shared" si="2"/>
        <v>51</v>
      </c>
      <c r="B60" s="282" t="s">
        <v>453</v>
      </c>
      <c r="C60" s="282" t="s">
        <v>418</v>
      </c>
      <c r="D60" s="283">
        <v>44104</v>
      </c>
      <c r="E60" s="284">
        <v>2214.3200000000002</v>
      </c>
      <c r="F60" s="283">
        <v>44105</v>
      </c>
      <c r="G60" s="283">
        <v>44196</v>
      </c>
      <c r="H60" s="285">
        <f t="shared" si="7"/>
        <v>45.5</v>
      </c>
      <c r="I60" s="283">
        <v>44117</v>
      </c>
      <c r="J60" s="160">
        <f t="shared" si="8"/>
        <v>-79</v>
      </c>
      <c r="K60" s="263">
        <f t="shared" si="9"/>
        <v>-33.5</v>
      </c>
      <c r="L60" s="100">
        <f t="shared" si="10"/>
        <v>-74179.72</v>
      </c>
    </row>
    <row r="61" spans="1:12">
      <c r="A61" s="23">
        <f t="shared" si="2"/>
        <v>52</v>
      </c>
      <c r="B61" s="282" t="s">
        <v>428</v>
      </c>
      <c r="C61" s="282" t="s">
        <v>425</v>
      </c>
      <c r="D61" s="283">
        <v>43949</v>
      </c>
      <c r="E61" s="284">
        <v>74.36</v>
      </c>
      <c r="F61" s="283">
        <v>43946</v>
      </c>
      <c r="G61" s="283">
        <v>43975</v>
      </c>
      <c r="H61" s="285">
        <f t="shared" si="7"/>
        <v>14.5</v>
      </c>
      <c r="I61" s="283">
        <v>43963</v>
      </c>
      <c r="J61" s="160">
        <f t="shared" si="8"/>
        <v>-12</v>
      </c>
      <c r="K61" s="263">
        <f t="shared" si="9"/>
        <v>2.5</v>
      </c>
      <c r="L61" s="100">
        <f t="shared" si="10"/>
        <v>185.9</v>
      </c>
    </row>
    <row r="62" spans="1:12">
      <c r="A62" s="23">
        <f t="shared" si="2"/>
        <v>53</v>
      </c>
      <c r="B62" s="282" t="s">
        <v>445</v>
      </c>
      <c r="C62" s="282" t="s">
        <v>446</v>
      </c>
      <c r="D62" s="283">
        <v>43875</v>
      </c>
      <c r="E62" s="284">
        <v>83.85</v>
      </c>
      <c r="F62" s="283">
        <v>43874</v>
      </c>
      <c r="G62" s="283">
        <v>43902</v>
      </c>
      <c r="H62" s="285">
        <f t="shared" si="7"/>
        <v>14</v>
      </c>
      <c r="I62" s="283">
        <v>43886</v>
      </c>
      <c r="J62" s="160">
        <f t="shared" si="8"/>
        <v>-16</v>
      </c>
      <c r="K62" s="263">
        <f t="shared" si="9"/>
        <v>-2</v>
      </c>
      <c r="L62" s="100">
        <f t="shared" si="10"/>
        <v>-167.7</v>
      </c>
    </row>
    <row r="63" spans="1:12">
      <c r="A63" s="23">
        <f t="shared" si="2"/>
        <v>54</v>
      </c>
      <c r="B63" s="282" t="s">
        <v>454</v>
      </c>
      <c r="C63" s="282" t="s">
        <v>416</v>
      </c>
      <c r="D63" s="283">
        <v>44130</v>
      </c>
      <c r="E63" s="284">
        <v>56.79</v>
      </c>
      <c r="F63" s="283">
        <v>44099</v>
      </c>
      <c r="G63" s="283">
        <v>44130</v>
      </c>
      <c r="H63" s="285">
        <f t="shared" si="7"/>
        <v>15.5</v>
      </c>
      <c r="I63" s="283">
        <v>44138</v>
      </c>
      <c r="J63" s="160">
        <f t="shared" si="8"/>
        <v>8</v>
      </c>
      <c r="K63" s="263">
        <f t="shared" si="9"/>
        <v>23.5</v>
      </c>
      <c r="L63" s="100">
        <f t="shared" si="10"/>
        <v>1334.57</v>
      </c>
    </row>
    <row r="64" spans="1:12">
      <c r="A64" s="23">
        <f t="shared" si="2"/>
        <v>55</v>
      </c>
      <c r="B64" s="282" t="s">
        <v>456</v>
      </c>
      <c r="C64" s="282" t="s">
        <v>440</v>
      </c>
      <c r="D64" s="283">
        <v>44046</v>
      </c>
      <c r="E64" s="284">
        <v>46.08</v>
      </c>
      <c r="F64" s="283">
        <v>44016</v>
      </c>
      <c r="G64" s="283">
        <v>44046</v>
      </c>
      <c r="H64" s="285">
        <f t="shared" si="7"/>
        <v>15</v>
      </c>
      <c r="I64" s="283">
        <v>44061</v>
      </c>
      <c r="J64" s="160">
        <f t="shared" si="8"/>
        <v>15</v>
      </c>
      <c r="K64" s="263">
        <f t="shared" si="9"/>
        <v>30</v>
      </c>
      <c r="L64" s="100">
        <f t="shared" si="10"/>
        <v>1382.4</v>
      </c>
    </row>
    <row r="65" spans="1:12">
      <c r="A65" s="23">
        <f t="shared" si="2"/>
        <v>56</v>
      </c>
      <c r="B65" s="282" t="s">
        <v>457</v>
      </c>
      <c r="C65" s="282" t="s">
        <v>418</v>
      </c>
      <c r="D65" s="283">
        <v>43989</v>
      </c>
      <c r="E65" s="284">
        <v>47.15</v>
      </c>
      <c r="F65" s="283">
        <v>43952</v>
      </c>
      <c r="G65" s="283">
        <v>43983</v>
      </c>
      <c r="H65" s="285">
        <f t="shared" si="7"/>
        <v>15.5</v>
      </c>
      <c r="I65" s="283">
        <v>43998</v>
      </c>
      <c r="J65" s="160">
        <f t="shared" si="8"/>
        <v>15</v>
      </c>
      <c r="K65" s="263">
        <f t="shared" si="9"/>
        <v>30.5</v>
      </c>
      <c r="L65" s="100">
        <f t="shared" si="10"/>
        <v>1438.08</v>
      </c>
    </row>
    <row r="66" spans="1:12">
      <c r="A66" s="23">
        <f t="shared" si="2"/>
        <v>57</v>
      </c>
      <c r="B66" s="282" t="s">
        <v>424</v>
      </c>
      <c r="C66" s="282" t="s">
        <v>425</v>
      </c>
      <c r="D66" s="283">
        <v>43962</v>
      </c>
      <c r="E66" s="284">
        <v>780.85</v>
      </c>
      <c r="F66" s="283">
        <v>43932</v>
      </c>
      <c r="G66" s="283">
        <v>43961</v>
      </c>
      <c r="H66" s="285">
        <f t="shared" si="7"/>
        <v>14.5</v>
      </c>
      <c r="I66" s="283">
        <v>43977</v>
      </c>
      <c r="J66" s="160">
        <f t="shared" si="8"/>
        <v>16</v>
      </c>
      <c r="K66" s="263">
        <f t="shared" si="9"/>
        <v>30.5</v>
      </c>
      <c r="L66" s="100">
        <f t="shared" si="10"/>
        <v>23815.93</v>
      </c>
    </row>
    <row r="67" spans="1:12">
      <c r="A67" s="23">
        <f t="shared" si="2"/>
        <v>58</v>
      </c>
      <c r="B67" s="282" t="s">
        <v>458</v>
      </c>
      <c r="C67" s="282"/>
      <c r="D67" s="283">
        <v>43894</v>
      </c>
      <c r="E67" s="284">
        <v>1006.57</v>
      </c>
      <c r="F67" s="283">
        <v>43952</v>
      </c>
      <c r="G67" s="283">
        <v>44316</v>
      </c>
      <c r="H67" s="285">
        <f t="shared" si="7"/>
        <v>182</v>
      </c>
      <c r="I67" s="283">
        <v>43984</v>
      </c>
      <c r="J67" s="160">
        <f t="shared" si="8"/>
        <v>-332</v>
      </c>
      <c r="K67" s="263">
        <f t="shared" si="9"/>
        <v>-150</v>
      </c>
      <c r="L67" s="100">
        <f t="shared" si="10"/>
        <v>-150985.5</v>
      </c>
    </row>
    <row r="68" spans="1:12">
      <c r="A68" s="23">
        <f t="shared" si="2"/>
        <v>59</v>
      </c>
      <c r="B68" s="282" t="s">
        <v>422</v>
      </c>
      <c r="C68" s="282" t="s">
        <v>418</v>
      </c>
      <c r="D68" s="283">
        <v>43910</v>
      </c>
      <c r="E68" s="284">
        <v>828.54</v>
      </c>
      <c r="F68" s="283">
        <v>43880</v>
      </c>
      <c r="G68" s="283">
        <v>43909</v>
      </c>
      <c r="H68" s="285">
        <f t="shared" si="7"/>
        <v>14.5</v>
      </c>
      <c r="I68" s="283">
        <v>43914</v>
      </c>
      <c r="J68" s="160">
        <f t="shared" si="8"/>
        <v>5</v>
      </c>
      <c r="K68" s="263">
        <f t="shared" si="9"/>
        <v>19.5</v>
      </c>
      <c r="L68" s="100">
        <f t="shared" si="10"/>
        <v>16156.53</v>
      </c>
    </row>
    <row r="69" spans="1:12">
      <c r="A69" s="23">
        <f t="shared" si="2"/>
        <v>60</v>
      </c>
      <c r="B69" s="282" t="s">
        <v>427</v>
      </c>
      <c r="C69" s="282" t="s">
        <v>420</v>
      </c>
      <c r="D69" s="283">
        <v>43861</v>
      </c>
      <c r="E69" s="284">
        <v>400</v>
      </c>
      <c r="F69" s="283">
        <v>43851</v>
      </c>
      <c r="G69" s="283">
        <v>43860</v>
      </c>
      <c r="H69" s="285">
        <f t="shared" si="7"/>
        <v>4.5</v>
      </c>
      <c r="I69" s="283">
        <v>43893</v>
      </c>
      <c r="J69" s="160">
        <f t="shared" si="8"/>
        <v>33</v>
      </c>
      <c r="K69" s="263">
        <f t="shared" si="9"/>
        <v>37.5</v>
      </c>
      <c r="L69" s="100">
        <f t="shared" si="10"/>
        <v>15000</v>
      </c>
    </row>
    <row r="70" spans="1:12">
      <c r="A70" s="23">
        <f t="shared" si="2"/>
        <v>61</v>
      </c>
      <c r="B70" s="282" t="s">
        <v>422</v>
      </c>
      <c r="C70" s="282" t="s">
        <v>418</v>
      </c>
      <c r="D70" s="283">
        <v>44056</v>
      </c>
      <c r="E70" s="284">
        <v>57.95</v>
      </c>
      <c r="F70" s="283">
        <v>44025</v>
      </c>
      <c r="G70" s="283">
        <v>44055</v>
      </c>
      <c r="H70" s="285">
        <f t="shared" si="7"/>
        <v>15</v>
      </c>
      <c r="I70" s="283">
        <v>44068</v>
      </c>
      <c r="J70" s="160">
        <f t="shared" si="8"/>
        <v>13</v>
      </c>
      <c r="K70" s="263">
        <f t="shared" si="9"/>
        <v>28</v>
      </c>
      <c r="L70" s="100">
        <f t="shared" si="10"/>
        <v>1622.6</v>
      </c>
    </row>
    <row r="71" spans="1:12">
      <c r="A71" s="23">
        <f t="shared" si="2"/>
        <v>62</v>
      </c>
      <c r="B71" s="282" t="s">
        <v>424</v>
      </c>
      <c r="C71" s="282" t="s">
        <v>455</v>
      </c>
      <c r="D71" s="283">
        <v>43937</v>
      </c>
      <c r="E71" s="284">
        <v>1.85</v>
      </c>
      <c r="F71" s="283">
        <v>43937</v>
      </c>
      <c r="G71" s="283">
        <v>43966</v>
      </c>
      <c r="H71" s="285">
        <f t="shared" si="7"/>
        <v>14.5</v>
      </c>
      <c r="I71" s="283">
        <v>43956</v>
      </c>
      <c r="J71" s="160">
        <f t="shared" si="8"/>
        <v>-10</v>
      </c>
      <c r="K71" s="263">
        <f t="shared" si="9"/>
        <v>4.5</v>
      </c>
      <c r="L71" s="100">
        <f t="shared" si="10"/>
        <v>8.33</v>
      </c>
    </row>
    <row r="72" spans="1:12">
      <c r="A72" s="23">
        <f t="shared" si="2"/>
        <v>63</v>
      </c>
      <c r="B72" s="282" t="s">
        <v>428</v>
      </c>
      <c r="C72" s="282" t="s">
        <v>425</v>
      </c>
      <c r="D72" s="283">
        <v>44111</v>
      </c>
      <c r="E72" s="284">
        <v>132.22999999999999</v>
      </c>
      <c r="F72" s="283">
        <v>44108</v>
      </c>
      <c r="G72" s="283">
        <v>44138</v>
      </c>
      <c r="H72" s="285">
        <f t="shared" si="7"/>
        <v>15</v>
      </c>
      <c r="I72" s="283">
        <v>44124</v>
      </c>
      <c r="J72" s="160">
        <f t="shared" si="8"/>
        <v>-14</v>
      </c>
      <c r="K72" s="263">
        <f t="shared" si="9"/>
        <v>1</v>
      </c>
      <c r="L72" s="100">
        <f t="shared" si="10"/>
        <v>132.22999999999999</v>
      </c>
    </row>
    <row r="73" spans="1:12">
      <c r="A73" s="23">
        <f t="shared" si="2"/>
        <v>64</v>
      </c>
      <c r="B73" s="282" t="s">
        <v>437</v>
      </c>
      <c r="C73" s="282" t="s">
        <v>418</v>
      </c>
      <c r="D73" s="283">
        <v>43906</v>
      </c>
      <c r="E73" s="284">
        <v>86.24</v>
      </c>
      <c r="F73" s="283">
        <v>43862</v>
      </c>
      <c r="G73" s="283">
        <v>43891</v>
      </c>
      <c r="H73" s="285">
        <f t="shared" si="7"/>
        <v>14.5</v>
      </c>
      <c r="I73" s="283">
        <v>43920</v>
      </c>
      <c r="J73" s="160">
        <f t="shared" si="8"/>
        <v>29</v>
      </c>
      <c r="K73" s="263">
        <f t="shared" si="9"/>
        <v>43.5</v>
      </c>
      <c r="L73" s="100">
        <f t="shared" si="10"/>
        <v>3751.44</v>
      </c>
    </row>
    <row r="74" spans="1:12">
      <c r="A74" s="23">
        <f t="shared" si="2"/>
        <v>65</v>
      </c>
      <c r="B74" s="282" t="s">
        <v>452</v>
      </c>
      <c r="C74" s="282" t="s">
        <v>418</v>
      </c>
      <c r="D74" s="283">
        <v>44113</v>
      </c>
      <c r="E74" s="284">
        <v>23.21</v>
      </c>
      <c r="F74" s="283">
        <v>44089</v>
      </c>
      <c r="G74" s="283">
        <v>44113</v>
      </c>
      <c r="H74" s="285">
        <f t="shared" si="7"/>
        <v>12</v>
      </c>
      <c r="I74" s="283">
        <v>44145</v>
      </c>
      <c r="J74" s="160">
        <f t="shared" si="8"/>
        <v>32</v>
      </c>
      <c r="K74" s="263">
        <f t="shared" si="9"/>
        <v>44</v>
      </c>
      <c r="L74" s="100">
        <f t="shared" si="10"/>
        <v>1021.24</v>
      </c>
    </row>
    <row r="75" spans="1:12">
      <c r="A75" s="23">
        <f t="shared" ref="A75:A138" si="11">A74+1</f>
        <v>66</v>
      </c>
      <c r="B75" s="282" t="s">
        <v>424</v>
      </c>
      <c r="C75" s="282" t="s">
        <v>455</v>
      </c>
      <c r="D75" s="283">
        <v>44130</v>
      </c>
      <c r="E75" s="284">
        <v>42.64</v>
      </c>
      <c r="F75" s="283">
        <v>44130</v>
      </c>
      <c r="G75" s="283">
        <v>44160</v>
      </c>
      <c r="H75" s="285">
        <f t="shared" si="7"/>
        <v>15</v>
      </c>
      <c r="I75" s="283">
        <v>44145</v>
      </c>
      <c r="J75" s="160">
        <f t="shared" si="8"/>
        <v>-15</v>
      </c>
      <c r="K75" s="263">
        <f t="shared" si="9"/>
        <v>0</v>
      </c>
      <c r="L75" s="100">
        <f t="shared" si="10"/>
        <v>0</v>
      </c>
    </row>
    <row r="76" spans="1:12">
      <c r="A76" s="23">
        <f t="shared" si="11"/>
        <v>67</v>
      </c>
      <c r="B76" s="282" t="s">
        <v>459</v>
      </c>
      <c r="C76" s="282" t="s">
        <v>523</v>
      </c>
      <c r="D76" s="283">
        <v>44044</v>
      </c>
      <c r="E76" s="284">
        <v>93.43</v>
      </c>
      <c r="F76" s="283">
        <v>44044</v>
      </c>
      <c r="G76" s="283">
        <v>44074</v>
      </c>
      <c r="H76" s="285">
        <f t="shared" si="7"/>
        <v>15</v>
      </c>
      <c r="I76" s="283">
        <v>44054</v>
      </c>
      <c r="J76" s="160">
        <f t="shared" si="8"/>
        <v>-20</v>
      </c>
      <c r="K76" s="263">
        <f t="shared" si="9"/>
        <v>-5</v>
      </c>
      <c r="L76" s="100">
        <f t="shared" si="10"/>
        <v>-467.15</v>
      </c>
    </row>
    <row r="77" spans="1:12">
      <c r="A77" s="23">
        <f t="shared" si="11"/>
        <v>68</v>
      </c>
      <c r="B77" s="282" t="s">
        <v>448</v>
      </c>
      <c r="C77" s="282" t="s">
        <v>418</v>
      </c>
      <c r="D77" s="283">
        <v>44102</v>
      </c>
      <c r="E77" s="284">
        <v>80</v>
      </c>
      <c r="F77" s="283">
        <v>43882</v>
      </c>
      <c r="G77" s="283">
        <v>43913</v>
      </c>
      <c r="H77" s="285">
        <f t="shared" si="7"/>
        <v>15.5</v>
      </c>
      <c r="I77" s="283">
        <v>44110</v>
      </c>
      <c r="J77" s="160">
        <f t="shared" si="8"/>
        <v>197</v>
      </c>
      <c r="K77" s="263">
        <f t="shared" si="9"/>
        <v>212.5</v>
      </c>
      <c r="L77" s="100">
        <f t="shared" si="10"/>
        <v>17000</v>
      </c>
    </row>
    <row r="78" spans="1:12">
      <c r="A78" s="23">
        <f t="shared" si="11"/>
        <v>69</v>
      </c>
      <c r="B78" s="282" t="s">
        <v>422</v>
      </c>
      <c r="C78" s="282" t="s">
        <v>418</v>
      </c>
      <c r="D78" s="283">
        <v>44188</v>
      </c>
      <c r="E78" s="284">
        <v>85.48</v>
      </c>
      <c r="F78" s="283">
        <v>44153</v>
      </c>
      <c r="G78" s="283">
        <v>44187</v>
      </c>
      <c r="H78" s="285">
        <f t="shared" si="7"/>
        <v>17</v>
      </c>
      <c r="I78" s="283">
        <v>44201</v>
      </c>
      <c r="J78" s="160">
        <f t="shared" si="8"/>
        <v>14</v>
      </c>
      <c r="K78" s="263">
        <f t="shared" si="9"/>
        <v>31</v>
      </c>
      <c r="L78" s="100">
        <f t="shared" si="10"/>
        <v>2649.88</v>
      </c>
    </row>
    <row r="79" spans="1:12">
      <c r="A79" s="23">
        <f t="shared" si="11"/>
        <v>70</v>
      </c>
      <c r="B79" s="282" t="s">
        <v>428</v>
      </c>
      <c r="C79" s="282" t="s">
        <v>425</v>
      </c>
      <c r="D79" s="283">
        <v>44096</v>
      </c>
      <c r="E79" s="284">
        <v>266.89</v>
      </c>
      <c r="F79" s="283">
        <v>44093</v>
      </c>
      <c r="G79" s="283">
        <v>44122</v>
      </c>
      <c r="H79" s="285">
        <f t="shared" si="7"/>
        <v>14.5</v>
      </c>
      <c r="I79" s="283">
        <v>44110</v>
      </c>
      <c r="J79" s="160">
        <f t="shared" si="8"/>
        <v>-12</v>
      </c>
      <c r="K79" s="263">
        <f t="shared" si="9"/>
        <v>2.5</v>
      </c>
      <c r="L79" s="100">
        <f t="shared" si="10"/>
        <v>667.23</v>
      </c>
    </row>
    <row r="80" spans="1:12">
      <c r="A80" s="23">
        <f t="shared" si="11"/>
        <v>71</v>
      </c>
      <c r="B80" s="282" t="s">
        <v>460</v>
      </c>
      <c r="C80" s="282" t="s">
        <v>416</v>
      </c>
      <c r="D80" s="283">
        <v>44048</v>
      </c>
      <c r="E80" s="284">
        <v>24.41</v>
      </c>
      <c r="F80" s="283">
        <v>44018</v>
      </c>
      <c r="G80" s="283">
        <v>44048</v>
      </c>
      <c r="H80" s="285">
        <f t="shared" si="7"/>
        <v>15</v>
      </c>
      <c r="I80" s="283">
        <v>44075</v>
      </c>
      <c r="J80" s="160">
        <f t="shared" si="8"/>
        <v>27</v>
      </c>
      <c r="K80" s="263">
        <f t="shared" si="9"/>
        <v>42</v>
      </c>
      <c r="L80" s="100">
        <f t="shared" si="10"/>
        <v>1025.22</v>
      </c>
    </row>
    <row r="81" spans="1:12">
      <c r="A81" s="23">
        <f t="shared" si="11"/>
        <v>72</v>
      </c>
      <c r="B81" s="282" t="s">
        <v>461</v>
      </c>
      <c r="C81" s="282" t="s">
        <v>421</v>
      </c>
      <c r="D81" s="283">
        <v>43962</v>
      </c>
      <c r="E81" s="284">
        <v>352.5</v>
      </c>
      <c r="F81" s="283">
        <v>43962</v>
      </c>
      <c r="G81" s="283">
        <v>43987</v>
      </c>
      <c r="H81" s="285">
        <f t="shared" si="7"/>
        <v>12.5</v>
      </c>
      <c r="I81" s="283">
        <v>43984</v>
      </c>
      <c r="J81" s="160">
        <f t="shared" si="8"/>
        <v>-3</v>
      </c>
      <c r="K81" s="263">
        <f t="shared" si="9"/>
        <v>9.5</v>
      </c>
      <c r="L81" s="100">
        <f t="shared" si="10"/>
        <v>3348.75</v>
      </c>
    </row>
    <row r="82" spans="1:12">
      <c r="A82" s="23">
        <f t="shared" si="11"/>
        <v>73</v>
      </c>
      <c r="B82" s="282" t="s">
        <v>422</v>
      </c>
      <c r="C82" s="282" t="s">
        <v>418</v>
      </c>
      <c r="D82" s="283">
        <v>43998</v>
      </c>
      <c r="E82" s="284">
        <v>535.28</v>
      </c>
      <c r="F82" s="283">
        <v>43963</v>
      </c>
      <c r="G82" s="283">
        <v>43994</v>
      </c>
      <c r="H82" s="285">
        <f t="shared" si="7"/>
        <v>15.5</v>
      </c>
      <c r="I82" s="283">
        <v>44005</v>
      </c>
      <c r="J82" s="160">
        <f t="shared" si="8"/>
        <v>11</v>
      </c>
      <c r="K82" s="263">
        <f t="shared" si="9"/>
        <v>26.5</v>
      </c>
      <c r="L82" s="100">
        <f t="shared" si="10"/>
        <v>14184.92</v>
      </c>
    </row>
    <row r="83" spans="1:12">
      <c r="A83" s="23">
        <f t="shared" si="11"/>
        <v>74</v>
      </c>
      <c r="B83" s="282" t="s">
        <v>424</v>
      </c>
      <c r="C83" s="282" t="s">
        <v>425</v>
      </c>
      <c r="D83" s="283">
        <v>43846</v>
      </c>
      <c r="E83" s="284">
        <v>145.58000000000001</v>
      </c>
      <c r="F83" s="283">
        <v>43846</v>
      </c>
      <c r="G83" s="283">
        <v>43876</v>
      </c>
      <c r="H83" s="285">
        <f t="shared" si="7"/>
        <v>15</v>
      </c>
      <c r="I83" s="283">
        <v>43858</v>
      </c>
      <c r="J83" s="160">
        <f t="shared" si="8"/>
        <v>-18</v>
      </c>
      <c r="K83" s="263">
        <f t="shared" si="9"/>
        <v>-3</v>
      </c>
      <c r="L83" s="100">
        <f t="shared" si="10"/>
        <v>-436.74</v>
      </c>
    </row>
    <row r="84" spans="1:12">
      <c r="A84" s="23">
        <f t="shared" si="11"/>
        <v>75</v>
      </c>
      <c r="B84" s="282" t="s">
        <v>462</v>
      </c>
      <c r="C84" s="282" t="s">
        <v>416</v>
      </c>
      <c r="D84" s="283">
        <v>43907</v>
      </c>
      <c r="E84" s="284">
        <v>386.61</v>
      </c>
      <c r="F84" s="283">
        <v>43872</v>
      </c>
      <c r="G84" s="283">
        <v>43907</v>
      </c>
      <c r="H84" s="285">
        <f t="shared" si="7"/>
        <v>17.5</v>
      </c>
      <c r="I84" s="283">
        <v>43928</v>
      </c>
      <c r="J84" s="160">
        <f t="shared" si="8"/>
        <v>21</v>
      </c>
      <c r="K84" s="263">
        <f t="shared" si="9"/>
        <v>38.5</v>
      </c>
      <c r="L84" s="100">
        <f t="shared" si="10"/>
        <v>14884.49</v>
      </c>
    </row>
    <row r="85" spans="1:12">
      <c r="A85" s="23">
        <f t="shared" si="11"/>
        <v>76</v>
      </c>
      <c r="B85" s="282" t="s">
        <v>422</v>
      </c>
      <c r="C85" s="282" t="s">
        <v>418</v>
      </c>
      <c r="D85" s="283">
        <v>43958</v>
      </c>
      <c r="E85" s="284">
        <v>40.869999999999997</v>
      </c>
      <c r="F85" s="283">
        <v>43924</v>
      </c>
      <c r="G85" s="283">
        <v>43957</v>
      </c>
      <c r="H85" s="285">
        <f t="shared" ref="H85:H117" si="12">IF(G85="",0,(G85-F85)/2)</f>
        <v>16.5</v>
      </c>
      <c r="I85" s="283">
        <v>43970</v>
      </c>
      <c r="J85" s="160">
        <f t="shared" ref="J85:J117" si="13">IF(G85="",I85-F85,I85-G85)</f>
        <v>13</v>
      </c>
      <c r="K85" s="263">
        <f t="shared" ref="K85:K117" si="14">H85+J85</f>
        <v>29.5</v>
      </c>
      <c r="L85" s="100">
        <f t="shared" ref="L85:L117" si="15">ROUND(E85*K85,2)</f>
        <v>1205.67</v>
      </c>
    </row>
    <row r="86" spans="1:12">
      <c r="A86" s="23">
        <f t="shared" si="11"/>
        <v>77</v>
      </c>
      <c r="B86" s="282" t="s">
        <v>422</v>
      </c>
      <c r="C86" s="282" t="s">
        <v>418</v>
      </c>
      <c r="D86" s="283">
        <v>44033</v>
      </c>
      <c r="E86" s="284">
        <v>1228.47</v>
      </c>
      <c r="F86" s="283">
        <v>44000</v>
      </c>
      <c r="G86" s="283">
        <v>44032</v>
      </c>
      <c r="H86" s="285">
        <f t="shared" si="12"/>
        <v>16</v>
      </c>
      <c r="I86" s="283">
        <v>44040</v>
      </c>
      <c r="J86" s="160">
        <f t="shared" si="13"/>
        <v>8</v>
      </c>
      <c r="K86" s="263">
        <f t="shared" si="14"/>
        <v>24</v>
      </c>
      <c r="L86" s="100">
        <f t="shared" si="15"/>
        <v>29483.279999999999</v>
      </c>
    </row>
    <row r="87" spans="1:12">
      <c r="A87" s="23">
        <f t="shared" si="11"/>
        <v>78</v>
      </c>
      <c r="B87" s="282" t="s">
        <v>463</v>
      </c>
      <c r="C87" s="282" t="s">
        <v>524</v>
      </c>
      <c r="D87" s="283">
        <v>44035</v>
      </c>
      <c r="E87" s="284">
        <v>237.5</v>
      </c>
      <c r="F87" s="283">
        <v>44035</v>
      </c>
      <c r="G87" s="283"/>
      <c r="H87" s="285">
        <f t="shared" si="12"/>
        <v>0</v>
      </c>
      <c r="I87" s="283">
        <v>44047</v>
      </c>
      <c r="J87" s="160">
        <f t="shared" si="13"/>
        <v>12</v>
      </c>
      <c r="K87" s="263">
        <f t="shared" si="14"/>
        <v>12</v>
      </c>
      <c r="L87" s="100">
        <f t="shared" si="15"/>
        <v>2850</v>
      </c>
    </row>
    <row r="88" spans="1:12">
      <c r="A88" s="23">
        <f t="shared" si="11"/>
        <v>79</v>
      </c>
      <c r="B88" s="282" t="s">
        <v>464</v>
      </c>
      <c r="C88" s="282" t="s">
        <v>446</v>
      </c>
      <c r="D88" s="283">
        <v>43916</v>
      </c>
      <c r="E88" s="284">
        <v>6105</v>
      </c>
      <c r="F88" s="283">
        <v>43837</v>
      </c>
      <c r="G88" s="283">
        <v>43898</v>
      </c>
      <c r="H88" s="285">
        <f t="shared" si="12"/>
        <v>30.5</v>
      </c>
      <c r="I88" s="283">
        <v>43928</v>
      </c>
      <c r="J88" s="160">
        <f t="shared" si="13"/>
        <v>30</v>
      </c>
      <c r="K88" s="263">
        <f t="shared" si="14"/>
        <v>60.5</v>
      </c>
      <c r="L88" s="100">
        <f t="shared" si="15"/>
        <v>369352.5</v>
      </c>
    </row>
    <row r="89" spans="1:12">
      <c r="A89" s="23">
        <f t="shared" si="11"/>
        <v>80</v>
      </c>
      <c r="B89" s="282" t="s">
        <v>415</v>
      </c>
      <c r="C89" s="282" t="s">
        <v>416</v>
      </c>
      <c r="D89" s="283">
        <v>43923</v>
      </c>
      <c r="E89" s="284">
        <v>38.49</v>
      </c>
      <c r="F89" s="283">
        <v>43892</v>
      </c>
      <c r="G89" s="283">
        <v>43923</v>
      </c>
      <c r="H89" s="285">
        <f t="shared" si="12"/>
        <v>15.5</v>
      </c>
      <c r="I89" s="283">
        <v>43956</v>
      </c>
      <c r="J89" s="160">
        <f t="shared" si="13"/>
        <v>33</v>
      </c>
      <c r="K89" s="263">
        <f t="shared" si="14"/>
        <v>48.5</v>
      </c>
      <c r="L89" s="100">
        <f t="shared" si="15"/>
        <v>1866.77</v>
      </c>
    </row>
    <row r="90" spans="1:12">
      <c r="A90" s="23">
        <f t="shared" si="11"/>
        <v>81</v>
      </c>
      <c r="B90" s="282" t="s">
        <v>422</v>
      </c>
      <c r="C90" s="282" t="s">
        <v>418</v>
      </c>
      <c r="D90" s="283">
        <v>44064</v>
      </c>
      <c r="E90" s="284">
        <v>35.380000000000003</v>
      </c>
      <c r="F90" s="283">
        <v>44034</v>
      </c>
      <c r="G90" s="283">
        <v>44063</v>
      </c>
      <c r="H90" s="285">
        <f t="shared" si="12"/>
        <v>14.5</v>
      </c>
      <c r="I90" s="283">
        <v>44075</v>
      </c>
      <c r="J90" s="160">
        <f t="shared" si="13"/>
        <v>12</v>
      </c>
      <c r="K90" s="263">
        <f t="shared" si="14"/>
        <v>26.5</v>
      </c>
      <c r="L90" s="100">
        <f t="shared" si="15"/>
        <v>937.57</v>
      </c>
    </row>
    <row r="91" spans="1:12">
      <c r="A91" s="23">
        <f t="shared" si="11"/>
        <v>82</v>
      </c>
      <c r="B91" s="282" t="s">
        <v>439</v>
      </c>
      <c r="C91" s="282" t="s">
        <v>440</v>
      </c>
      <c r="D91" s="283">
        <v>43983</v>
      </c>
      <c r="E91" s="284">
        <v>1134.76</v>
      </c>
      <c r="F91" s="283">
        <v>43831</v>
      </c>
      <c r="G91" s="283">
        <v>43982</v>
      </c>
      <c r="H91" s="285">
        <f t="shared" si="12"/>
        <v>75.5</v>
      </c>
      <c r="I91" s="283">
        <v>44011</v>
      </c>
      <c r="J91" s="160">
        <f t="shared" si="13"/>
        <v>29</v>
      </c>
      <c r="K91" s="263">
        <f t="shared" si="14"/>
        <v>104.5</v>
      </c>
      <c r="L91" s="100">
        <f t="shared" si="15"/>
        <v>118582.42</v>
      </c>
    </row>
    <row r="92" spans="1:12">
      <c r="A92" s="23">
        <f t="shared" si="11"/>
        <v>83</v>
      </c>
      <c r="B92" s="282" t="s">
        <v>465</v>
      </c>
      <c r="C92" s="282" t="s">
        <v>418</v>
      </c>
      <c r="D92" s="283">
        <v>44008</v>
      </c>
      <c r="E92" s="284">
        <v>94.55</v>
      </c>
      <c r="F92" s="283">
        <v>43957</v>
      </c>
      <c r="G92" s="283">
        <v>43990</v>
      </c>
      <c r="H92" s="285">
        <f t="shared" si="12"/>
        <v>16.5</v>
      </c>
      <c r="I92" s="283">
        <v>44019</v>
      </c>
      <c r="J92" s="160">
        <f t="shared" si="13"/>
        <v>29</v>
      </c>
      <c r="K92" s="263">
        <f t="shared" si="14"/>
        <v>45.5</v>
      </c>
      <c r="L92" s="100">
        <f t="shared" si="15"/>
        <v>4302.03</v>
      </c>
    </row>
    <row r="93" spans="1:12">
      <c r="A93" s="23">
        <f t="shared" si="11"/>
        <v>84</v>
      </c>
      <c r="B93" s="282" t="s">
        <v>454</v>
      </c>
      <c r="C93" s="282" t="s">
        <v>418</v>
      </c>
      <c r="D93" s="283">
        <v>44008</v>
      </c>
      <c r="E93" s="284">
        <v>300.27</v>
      </c>
      <c r="F93" s="283">
        <v>43978</v>
      </c>
      <c r="G93" s="283">
        <v>44007</v>
      </c>
      <c r="H93" s="285">
        <f t="shared" si="12"/>
        <v>14.5</v>
      </c>
      <c r="I93" s="283">
        <v>44019</v>
      </c>
      <c r="J93" s="160">
        <f t="shared" si="13"/>
        <v>12</v>
      </c>
      <c r="K93" s="263">
        <f t="shared" si="14"/>
        <v>26.5</v>
      </c>
      <c r="L93" s="100">
        <f t="shared" si="15"/>
        <v>7957.16</v>
      </c>
    </row>
    <row r="94" spans="1:12">
      <c r="A94" s="23">
        <f t="shared" si="11"/>
        <v>85</v>
      </c>
      <c r="B94" s="282" t="s">
        <v>441</v>
      </c>
      <c r="C94" s="282" t="s">
        <v>440</v>
      </c>
      <c r="D94" s="283">
        <v>44157</v>
      </c>
      <c r="E94" s="284">
        <v>4410.04</v>
      </c>
      <c r="F94" s="283">
        <v>44158</v>
      </c>
      <c r="G94" s="283">
        <v>44187</v>
      </c>
      <c r="H94" s="285">
        <f t="shared" si="12"/>
        <v>14.5</v>
      </c>
      <c r="I94" s="283">
        <v>44180</v>
      </c>
      <c r="J94" s="160">
        <f t="shared" si="13"/>
        <v>-7</v>
      </c>
      <c r="K94" s="263">
        <f t="shared" si="14"/>
        <v>7.5</v>
      </c>
      <c r="L94" s="100">
        <f t="shared" si="15"/>
        <v>33075.300000000003</v>
      </c>
    </row>
    <row r="95" spans="1:12">
      <c r="A95" s="23">
        <f t="shared" si="11"/>
        <v>86</v>
      </c>
      <c r="B95" s="282" t="s">
        <v>466</v>
      </c>
      <c r="C95" s="282" t="s">
        <v>416</v>
      </c>
      <c r="D95" s="283">
        <v>44057</v>
      </c>
      <c r="E95" s="284">
        <v>22.25</v>
      </c>
      <c r="F95" s="283">
        <v>44027</v>
      </c>
      <c r="G95" s="283">
        <v>44057</v>
      </c>
      <c r="H95" s="285">
        <f t="shared" si="12"/>
        <v>15</v>
      </c>
      <c r="I95" s="283">
        <v>44089</v>
      </c>
      <c r="J95" s="160">
        <f t="shared" si="13"/>
        <v>32</v>
      </c>
      <c r="K95" s="263">
        <f t="shared" si="14"/>
        <v>47</v>
      </c>
      <c r="L95" s="100">
        <f t="shared" si="15"/>
        <v>1045.75</v>
      </c>
    </row>
    <row r="96" spans="1:12">
      <c r="A96" s="23">
        <f t="shared" si="11"/>
        <v>87</v>
      </c>
      <c r="B96" s="282" t="s">
        <v>467</v>
      </c>
      <c r="C96" s="282" t="s">
        <v>416</v>
      </c>
      <c r="D96" s="283">
        <v>43990</v>
      </c>
      <c r="E96" s="284">
        <v>29.25</v>
      </c>
      <c r="F96" s="283">
        <v>43959</v>
      </c>
      <c r="G96" s="283">
        <v>43990</v>
      </c>
      <c r="H96" s="285">
        <f t="shared" si="12"/>
        <v>15.5</v>
      </c>
      <c r="I96" s="283">
        <v>44019</v>
      </c>
      <c r="J96" s="160">
        <f t="shared" si="13"/>
        <v>29</v>
      </c>
      <c r="K96" s="263">
        <f t="shared" si="14"/>
        <v>44.5</v>
      </c>
      <c r="L96" s="100">
        <f t="shared" si="15"/>
        <v>1301.6300000000001</v>
      </c>
    </row>
    <row r="97" spans="1:12">
      <c r="A97" s="23">
        <f t="shared" si="11"/>
        <v>88</v>
      </c>
      <c r="B97" s="282" t="s">
        <v>422</v>
      </c>
      <c r="C97" s="282" t="s">
        <v>418</v>
      </c>
      <c r="D97" s="283">
        <v>44064</v>
      </c>
      <c r="E97" s="284">
        <v>50.9</v>
      </c>
      <c r="F97" s="283">
        <v>44033</v>
      </c>
      <c r="G97" s="283">
        <v>44063</v>
      </c>
      <c r="H97" s="285">
        <f t="shared" si="12"/>
        <v>15</v>
      </c>
      <c r="I97" s="283">
        <v>44075</v>
      </c>
      <c r="J97" s="160">
        <f t="shared" si="13"/>
        <v>12</v>
      </c>
      <c r="K97" s="263">
        <f t="shared" si="14"/>
        <v>27</v>
      </c>
      <c r="L97" s="100">
        <f t="shared" si="15"/>
        <v>1374.3</v>
      </c>
    </row>
    <row r="98" spans="1:12">
      <c r="A98" s="23">
        <f t="shared" si="11"/>
        <v>89</v>
      </c>
      <c r="B98" s="282" t="s">
        <v>422</v>
      </c>
      <c r="C98" s="282" t="s">
        <v>418</v>
      </c>
      <c r="D98" s="283">
        <v>44056</v>
      </c>
      <c r="E98" s="284">
        <v>583.21</v>
      </c>
      <c r="F98" s="283">
        <v>44025</v>
      </c>
      <c r="G98" s="283">
        <v>44055</v>
      </c>
      <c r="H98" s="285">
        <f t="shared" si="12"/>
        <v>15</v>
      </c>
      <c r="I98" s="283">
        <v>44068</v>
      </c>
      <c r="J98" s="160">
        <f t="shared" si="13"/>
        <v>13</v>
      </c>
      <c r="K98" s="263">
        <f t="shared" si="14"/>
        <v>28</v>
      </c>
      <c r="L98" s="100">
        <f t="shared" si="15"/>
        <v>16329.88</v>
      </c>
    </row>
    <row r="99" spans="1:12">
      <c r="A99" s="23">
        <f t="shared" si="11"/>
        <v>90</v>
      </c>
      <c r="B99" s="282" t="s">
        <v>435</v>
      </c>
      <c r="C99" s="282" t="s">
        <v>418</v>
      </c>
      <c r="D99" s="283">
        <v>44041</v>
      </c>
      <c r="E99" s="284">
        <v>21.4</v>
      </c>
      <c r="F99" s="283">
        <v>44006</v>
      </c>
      <c r="G99" s="283">
        <v>44036</v>
      </c>
      <c r="H99" s="285">
        <f t="shared" si="12"/>
        <v>15</v>
      </c>
      <c r="I99" s="283">
        <v>44047</v>
      </c>
      <c r="J99" s="160">
        <f t="shared" si="13"/>
        <v>11</v>
      </c>
      <c r="K99" s="263">
        <f t="shared" si="14"/>
        <v>26</v>
      </c>
      <c r="L99" s="100">
        <f t="shared" si="15"/>
        <v>556.4</v>
      </c>
    </row>
    <row r="100" spans="1:12">
      <c r="A100" s="23">
        <f t="shared" si="11"/>
        <v>91</v>
      </c>
      <c r="B100" s="282" t="s">
        <v>437</v>
      </c>
      <c r="C100" s="282" t="s">
        <v>418</v>
      </c>
      <c r="D100" s="283">
        <v>43998</v>
      </c>
      <c r="E100" s="284">
        <v>59.68</v>
      </c>
      <c r="F100" s="283">
        <v>43952</v>
      </c>
      <c r="G100" s="283">
        <v>43983</v>
      </c>
      <c r="H100" s="285">
        <f t="shared" si="12"/>
        <v>15.5</v>
      </c>
      <c r="I100" s="283">
        <v>44011</v>
      </c>
      <c r="J100" s="160">
        <f t="shared" si="13"/>
        <v>28</v>
      </c>
      <c r="K100" s="263">
        <f t="shared" si="14"/>
        <v>43.5</v>
      </c>
      <c r="L100" s="100">
        <f t="shared" si="15"/>
        <v>2596.08</v>
      </c>
    </row>
    <row r="101" spans="1:12">
      <c r="A101" s="23">
        <f t="shared" si="11"/>
        <v>92</v>
      </c>
      <c r="B101" s="282" t="s">
        <v>424</v>
      </c>
      <c r="C101" s="282" t="s">
        <v>425</v>
      </c>
      <c r="D101" s="283">
        <v>44170</v>
      </c>
      <c r="E101" s="284">
        <v>1220.29</v>
      </c>
      <c r="F101" s="283">
        <v>44170</v>
      </c>
      <c r="G101" s="283">
        <v>44200</v>
      </c>
      <c r="H101" s="285">
        <f t="shared" si="12"/>
        <v>15</v>
      </c>
      <c r="I101" s="283">
        <v>44194</v>
      </c>
      <c r="J101" s="160">
        <f t="shared" si="13"/>
        <v>-6</v>
      </c>
      <c r="K101" s="263">
        <f t="shared" si="14"/>
        <v>9</v>
      </c>
      <c r="L101" s="100">
        <f t="shared" si="15"/>
        <v>10982.61</v>
      </c>
    </row>
    <row r="102" spans="1:12">
      <c r="A102" s="23">
        <f t="shared" si="11"/>
        <v>93</v>
      </c>
      <c r="B102" s="282" t="s">
        <v>454</v>
      </c>
      <c r="C102" s="282" t="s">
        <v>416</v>
      </c>
      <c r="D102" s="283">
        <v>43977</v>
      </c>
      <c r="E102" s="284">
        <v>7.08</v>
      </c>
      <c r="F102" s="283">
        <v>43945</v>
      </c>
      <c r="G102" s="283">
        <v>43960</v>
      </c>
      <c r="H102" s="285">
        <f t="shared" si="12"/>
        <v>7.5</v>
      </c>
      <c r="I102" s="283">
        <v>43984</v>
      </c>
      <c r="J102" s="160">
        <f t="shared" si="13"/>
        <v>24</v>
      </c>
      <c r="K102" s="263">
        <f t="shared" si="14"/>
        <v>31.5</v>
      </c>
      <c r="L102" s="100">
        <f t="shared" si="15"/>
        <v>223.02</v>
      </c>
    </row>
    <row r="103" spans="1:12">
      <c r="A103" s="23">
        <f t="shared" si="11"/>
        <v>94</v>
      </c>
      <c r="B103" s="282" t="s">
        <v>424</v>
      </c>
      <c r="C103" s="282" t="s">
        <v>425</v>
      </c>
      <c r="D103" s="283">
        <v>44123</v>
      </c>
      <c r="E103" s="284">
        <v>1145.26</v>
      </c>
      <c r="F103" s="283">
        <v>44123</v>
      </c>
      <c r="G103" s="283">
        <v>44153</v>
      </c>
      <c r="H103" s="285">
        <f t="shared" si="12"/>
        <v>15</v>
      </c>
      <c r="I103" s="283">
        <v>44145</v>
      </c>
      <c r="J103" s="160">
        <f t="shared" si="13"/>
        <v>-8</v>
      </c>
      <c r="K103" s="263">
        <f t="shared" si="14"/>
        <v>7</v>
      </c>
      <c r="L103" s="100">
        <f t="shared" si="15"/>
        <v>8016.82</v>
      </c>
    </row>
    <row r="104" spans="1:12">
      <c r="A104" s="23">
        <f t="shared" si="11"/>
        <v>95</v>
      </c>
      <c r="B104" s="282" t="s">
        <v>468</v>
      </c>
      <c r="C104" s="282" t="s">
        <v>446</v>
      </c>
      <c r="D104" s="283">
        <v>43951</v>
      </c>
      <c r="E104" s="284">
        <v>476.61</v>
      </c>
      <c r="F104" s="283">
        <v>43915</v>
      </c>
      <c r="G104" s="283">
        <v>43949</v>
      </c>
      <c r="H104" s="285">
        <f t="shared" si="12"/>
        <v>17</v>
      </c>
      <c r="I104" s="283">
        <v>43977</v>
      </c>
      <c r="J104" s="160">
        <f t="shared" si="13"/>
        <v>28</v>
      </c>
      <c r="K104" s="263">
        <f t="shared" si="14"/>
        <v>45</v>
      </c>
      <c r="L104" s="100">
        <f t="shared" si="15"/>
        <v>21447.45</v>
      </c>
    </row>
    <row r="105" spans="1:12">
      <c r="A105" s="23">
        <f t="shared" si="11"/>
        <v>96</v>
      </c>
      <c r="B105" s="282" t="s">
        <v>422</v>
      </c>
      <c r="C105" s="282" t="s">
        <v>418</v>
      </c>
      <c r="D105" s="283">
        <v>44071</v>
      </c>
      <c r="E105" s="284">
        <v>34.21</v>
      </c>
      <c r="F105" s="283">
        <v>44042</v>
      </c>
      <c r="G105" s="283">
        <v>44070</v>
      </c>
      <c r="H105" s="285">
        <f t="shared" si="12"/>
        <v>14</v>
      </c>
      <c r="I105" s="283">
        <v>44082</v>
      </c>
      <c r="J105" s="160">
        <f t="shared" si="13"/>
        <v>12</v>
      </c>
      <c r="K105" s="263">
        <f t="shared" si="14"/>
        <v>26</v>
      </c>
      <c r="L105" s="100">
        <f t="shared" si="15"/>
        <v>889.46</v>
      </c>
    </row>
    <row r="106" spans="1:12">
      <c r="A106" s="23">
        <f t="shared" si="11"/>
        <v>97</v>
      </c>
      <c r="B106" s="282" t="s">
        <v>469</v>
      </c>
      <c r="C106" s="282" t="s">
        <v>446</v>
      </c>
      <c r="D106" s="283">
        <v>43952</v>
      </c>
      <c r="E106" s="284">
        <v>100</v>
      </c>
      <c r="F106" s="283">
        <v>43922</v>
      </c>
      <c r="G106" s="283">
        <v>43951</v>
      </c>
      <c r="H106" s="285">
        <f t="shared" si="12"/>
        <v>14.5</v>
      </c>
      <c r="I106" s="283">
        <v>43977</v>
      </c>
      <c r="J106" s="160">
        <f t="shared" si="13"/>
        <v>26</v>
      </c>
      <c r="K106" s="263">
        <f t="shared" si="14"/>
        <v>40.5</v>
      </c>
      <c r="L106" s="100">
        <f t="shared" si="15"/>
        <v>4050</v>
      </c>
    </row>
    <row r="107" spans="1:12">
      <c r="A107" s="23">
        <f t="shared" si="11"/>
        <v>98</v>
      </c>
      <c r="B107" s="282" t="s">
        <v>448</v>
      </c>
      <c r="C107" s="282" t="s">
        <v>418</v>
      </c>
      <c r="D107" s="283">
        <v>43915</v>
      </c>
      <c r="E107" s="284">
        <v>80</v>
      </c>
      <c r="F107" s="283">
        <v>43882</v>
      </c>
      <c r="G107" s="283">
        <v>43913</v>
      </c>
      <c r="H107" s="285">
        <f t="shared" si="12"/>
        <v>15.5</v>
      </c>
      <c r="I107" s="283">
        <v>43928</v>
      </c>
      <c r="J107" s="160">
        <f t="shared" si="13"/>
        <v>15</v>
      </c>
      <c r="K107" s="263">
        <f t="shared" si="14"/>
        <v>30.5</v>
      </c>
      <c r="L107" s="100">
        <f t="shared" si="15"/>
        <v>2440</v>
      </c>
    </row>
    <row r="108" spans="1:12">
      <c r="A108" s="23">
        <f t="shared" si="11"/>
        <v>99</v>
      </c>
      <c r="B108" s="282" t="s">
        <v>435</v>
      </c>
      <c r="C108" s="282" t="s">
        <v>418</v>
      </c>
      <c r="D108" s="283">
        <v>44041</v>
      </c>
      <c r="E108" s="284">
        <v>18.18</v>
      </c>
      <c r="F108" s="283">
        <v>44006</v>
      </c>
      <c r="G108" s="283">
        <v>44036</v>
      </c>
      <c r="H108" s="285">
        <f t="shared" si="12"/>
        <v>15</v>
      </c>
      <c r="I108" s="283">
        <v>44047</v>
      </c>
      <c r="J108" s="160">
        <f t="shared" si="13"/>
        <v>11</v>
      </c>
      <c r="K108" s="263">
        <f t="shared" si="14"/>
        <v>26</v>
      </c>
      <c r="L108" s="100">
        <f t="shared" si="15"/>
        <v>472.68</v>
      </c>
    </row>
    <row r="109" spans="1:12">
      <c r="A109" s="23">
        <f t="shared" si="11"/>
        <v>100</v>
      </c>
      <c r="B109" s="282" t="s">
        <v>469</v>
      </c>
      <c r="C109" s="282" t="s">
        <v>470</v>
      </c>
      <c r="D109" s="283">
        <v>43923</v>
      </c>
      <c r="E109" s="284">
        <v>100</v>
      </c>
      <c r="F109" s="283">
        <v>43891</v>
      </c>
      <c r="G109" s="283">
        <v>43921</v>
      </c>
      <c r="H109" s="285">
        <f t="shared" si="12"/>
        <v>15</v>
      </c>
      <c r="I109" s="283">
        <v>43942</v>
      </c>
      <c r="J109" s="160">
        <f t="shared" si="13"/>
        <v>21</v>
      </c>
      <c r="K109" s="263">
        <f t="shared" si="14"/>
        <v>36</v>
      </c>
      <c r="L109" s="100">
        <f t="shared" si="15"/>
        <v>3600</v>
      </c>
    </row>
    <row r="110" spans="1:12">
      <c r="A110" s="23">
        <f t="shared" si="11"/>
        <v>101</v>
      </c>
      <c r="B110" s="282" t="s">
        <v>441</v>
      </c>
      <c r="C110" s="282" t="s">
        <v>440</v>
      </c>
      <c r="D110" s="283">
        <v>43848</v>
      </c>
      <c r="E110" s="284">
        <v>779.21</v>
      </c>
      <c r="F110" s="283">
        <v>44184</v>
      </c>
      <c r="G110" s="283">
        <v>44214</v>
      </c>
      <c r="H110" s="285">
        <f t="shared" si="12"/>
        <v>15</v>
      </c>
      <c r="I110" s="283">
        <v>43872</v>
      </c>
      <c r="J110" s="160">
        <f t="shared" si="13"/>
        <v>-342</v>
      </c>
      <c r="K110" s="263">
        <f t="shared" si="14"/>
        <v>-327</v>
      </c>
      <c r="L110" s="100">
        <f t="shared" si="15"/>
        <v>-254801.67</v>
      </c>
    </row>
    <row r="111" spans="1:12">
      <c r="A111" s="23">
        <f t="shared" si="11"/>
        <v>102</v>
      </c>
      <c r="B111" s="282" t="s">
        <v>428</v>
      </c>
      <c r="C111" s="282" t="s">
        <v>425</v>
      </c>
      <c r="D111" s="283">
        <v>43924</v>
      </c>
      <c r="E111" s="284">
        <v>956.02</v>
      </c>
      <c r="F111" s="283">
        <v>43922</v>
      </c>
      <c r="G111" s="283">
        <v>43951</v>
      </c>
      <c r="H111" s="285">
        <f t="shared" si="12"/>
        <v>14.5</v>
      </c>
      <c r="I111" s="283">
        <v>43935</v>
      </c>
      <c r="J111" s="160">
        <f t="shared" si="13"/>
        <v>-16</v>
      </c>
      <c r="K111" s="263">
        <f t="shared" si="14"/>
        <v>-1.5</v>
      </c>
      <c r="L111" s="100">
        <f t="shared" si="15"/>
        <v>-1434.03</v>
      </c>
    </row>
    <row r="112" spans="1:12">
      <c r="A112" s="23">
        <f t="shared" si="11"/>
        <v>103</v>
      </c>
      <c r="B112" s="282" t="s">
        <v>472</v>
      </c>
      <c r="C112" s="282" t="s">
        <v>418</v>
      </c>
      <c r="D112" s="283">
        <v>43923</v>
      </c>
      <c r="E112" s="284">
        <v>35.94</v>
      </c>
      <c r="F112" s="283">
        <v>43892</v>
      </c>
      <c r="G112" s="283">
        <v>43922</v>
      </c>
      <c r="H112" s="285">
        <f t="shared" si="12"/>
        <v>15</v>
      </c>
      <c r="I112" s="283">
        <v>43935</v>
      </c>
      <c r="J112" s="160">
        <f t="shared" si="13"/>
        <v>13</v>
      </c>
      <c r="K112" s="263">
        <f t="shared" si="14"/>
        <v>28</v>
      </c>
      <c r="L112" s="100">
        <f t="shared" si="15"/>
        <v>1006.32</v>
      </c>
    </row>
    <row r="113" spans="1:24">
      <c r="A113" s="23">
        <f t="shared" si="11"/>
        <v>104</v>
      </c>
      <c r="B113" s="282" t="s">
        <v>474</v>
      </c>
      <c r="C113" s="282" t="s">
        <v>475</v>
      </c>
      <c r="D113" s="283">
        <v>43922</v>
      </c>
      <c r="E113" s="284">
        <v>41.69</v>
      </c>
      <c r="F113" s="283">
        <v>43891</v>
      </c>
      <c r="G113" s="283">
        <v>43921</v>
      </c>
      <c r="H113" s="285">
        <f t="shared" si="12"/>
        <v>15</v>
      </c>
      <c r="I113" s="283">
        <v>43935</v>
      </c>
      <c r="J113" s="160">
        <f t="shared" si="13"/>
        <v>14</v>
      </c>
      <c r="K113" s="263">
        <f t="shared" si="14"/>
        <v>29</v>
      </c>
      <c r="L113" s="100">
        <f t="shared" si="15"/>
        <v>1209.01</v>
      </c>
    </row>
    <row r="114" spans="1:24">
      <c r="A114" s="23">
        <f t="shared" si="11"/>
        <v>105</v>
      </c>
      <c r="B114" s="282" t="s">
        <v>476</v>
      </c>
      <c r="C114" s="282" t="s">
        <v>418</v>
      </c>
      <c r="D114" s="283">
        <v>43958</v>
      </c>
      <c r="E114" s="284">
        <v>53.65</v>
      </c>
      <c r="F114" s="283">
        <v>43922</v>
      </c>
      <c r="G114" s="283">
        <v>43952</v>
      </c>
      <c r="H114" s="285">
        <f t="shared" si="12"/>
        <v>15</v>
      </c>
      <c r="I114" s="283">
        <v>43970</v>
      </c>
      <c r="J114" s="160">
        <f t="shared" si="13"/>
        <v>18</v>
      </c>
      <c r="K114" s="263">
        <f t="shared" si="14"/>
        <v>33</v>
      </c>
      <c r="L114" s="100">
        <f t="shared" si="15"/>
        <v>1770.45</v>
      </c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</row>
    <row r="115" spans="1:24">
      <c r="A115" s="23">
        <f t="shared" si="11"/>
        <v>106</v>
      </c>
      <c r="B115" s="282" t="s">
        <v>472</v>
      </c>
      <c r="C115" s="282" t="s">
        <v>418</v>
      </c>
      <c r="D115" s="283">
        <v>44125</v>
      </c>
      <c r="E115" s="284">
        <v>70.08</v>
      </c>
      <c r="F115" s="283">
        <v>44092</v>
      </c>
      <c r="G115" s="283">
        <v>44124</v>
      </c>
      <c r="H115" s="285">
        <f t="shared" si="12"/>
        <v>16</v>
      </c>
      <c r="I115" s="283">
        <v>44138</v>
      </c>
      <c r="J115" s="160">
        <f t="shared" si="13"/>
        <v>14</v>
      </c>
      <c r="K115" s="263">
        <f t="shared" si="14"/>
        <v>30</v>
      </c>
      <c r="L115" s="100">
        <f t="shared" si="15"/>
        <v>2102.4</v>
      </c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</row>
    <row r="116" spans="1:24">
      <c r="A116" s="23">
        <f t="shared" si="11"/>
        <v>107</v>
      </c>
      <c r="B116" s="282" t="s">
        <v>477</v>
      </c>
      <c r="C116" s="282" t="s">
        <v>418</v>
      </c>
      <c r="D116" s="283">
        <v>43980</v>
      </c>
      <c r="E116" s="284">
        <v>19.02</v>
      </c>
      <c r="F116" s="283">
        <v>43949</v>
      </c>
      <c r="G116" s="283">
        <v>43979</v>
      </c>
      <c r="H116" s="285">
        <f t="shared" si="12"/>
        <v>15</v>
      </c>
      <c r="I116" s="283">
        <v>43991</v>
      </c>
      <c r="J116" s="160">
        <f t="shared" si="13"/>
        <v>12</v>
      </c>
      <c r="K116" s="263">
        <f t="shared" si="14"/>
        <v>27</v>
      </c>
      <c r="L116" s="100">
        <f t="shared" si="15"/>
        <v>513.54</v>
      </c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</row>
    <row r="117" spans="1:24">
      <c r="A117" s="23">
        <f t="shared" si="11"/>
        <v>108</v>
      </c>
      <c r="B117" s="282" t="s">
        <v>478</v>
      </c>
      <c r="C117" s="282" t="s">
        <v>418</v>
      </c>
      <c r="D117" s="283">
        <v>44025</v>
      </c>
      <c r="E117" s="284">
        <v>170.38</v>
      </c>
      <c r="F117" s="283">
        <v>43991</v>
      </c>
      <c r="G117" s="283">
        <v>44022</v>
      </c>
      <c r="H117" s="285">
        <f t="shared" si="12"/>
        <v>15.5</v>
      </c>
      <c r="I117" s="283">
        <v>44040</v>
      </c>
      <c r="J117" s="160">
        <f t="shared" si="13"/>
        <v>18</v>
      </c>
      <c r="K117" s="263">
        <f t="shared" si="14"/>
        <v>33.5</v>
      </c>
      <c r="L117" s="100">
        <f t="shared" si="15"/>
        <v>5707.73</v>
      </c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</row>
    <row r="118" spans="1:24">
      <c r="A118" s="23">
        <f t="shared" si="11"/>
        <v>109</v>
      </c>
      <c r="B118" s="282" t="s">
        <v>479</v>
      </c>
      <c r="C118" s="282" t="s">
        <v>480</v>
      </c>
      <c r="D118" s="283">
        <v>44166</v>
      </c>
      <c r="E118" s="284">
        <v>130</v>
      </c>
      <c r="F118" s="283">
        <v>44166</v>
      </c>
      <c r="G118" s="283">
        <v>44196</v>
      </c>
      <c r="H118" s="285">
        <f t="shared" ref="H118:H149" si="16">IF(G118="",0,(G118-F118)/2)</f>
        <v>15</v>
      </c>
      <c r="I118" s="283">
        <v>44186</v>
      </c>
      <c r="J118" s="160">
        <f t="shared" ref="J118:J149" si="17">IF(G118="",I118-F118,I118-G118)</f>
        <v>-10</v>
      </c>
      <c r="K118" s="263">
        <f t="shared" ref="K118:K149" si="18">H118+J118</f>
        <v>5</v>
      </c>
      <c r="L118" s="100">
        <f t="shared" ref="L118:L149" si="19">ROUND(E118*K118,2)</f>
        <v>650</v>
      </c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:24">
      <c r="A119" s="23">
        <f t="shared" si="11"/>
        <v>110</v>
      </c>
      <c r="B119" s="282" t="s">
        <v>482</v>
      </c>
      <c r="C119" s="282" t="s">
        <v>483</v>
      </c>
      <c r="D119" s="283">
        <v>44144</v>
      </c>
      <c r="E119" s="284">
        <v>680</v>
      </c>
      <c r="F119" s="283">
        <v>44137</v>
      </c>
      <c r="G119" s="283">
        <v>44141</v>
      </c>
      <c r="H119" s="285">
        <f t="shared" si="16"/>
        <v>2</v>
      </c>
      <c r="I119" s="283">
        <v>44158</v>
      </c>
      <c r="J119" s="160">
        <f t="shared" si="17"/>
        <v>17</v>
      </c>
      <c r="K119" s="263">
        <f t="shared" si="18"/>
        <v>19</v>
      </c>
      <c r="L119" s="100">
        <f t="shared" si="19"/>
        <v>12920</v>
      </c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</row>
    <row r="120" spans="1:24">
      <c r="A120" s="23">
        <f t="shared" si="11"/>
        <v>111</v>
      </c>
      <c r="B120" s="282" t="s">
        <v>484</v>
      </c>
      <c r="C120" s="282" t="s">
        <v>485</v>
      </c>
      <c r="D120" s="283">
        <v>43977</v>
      </c>
      <c r="E120" s="284">
        <v>42.64</v>
      </c>
      <c r="F120" s="283">
        <v>43977</v>
      </c>
      <c r="G120" s="283">
        <v>44007</v>
      </c>
      <c r="H120" s="285">
        <f t="shared" si="16"/>
        <v>15</v>
      </c>
      <c r="I120" s="283">
        <v>43991</v>
      </c>
      <c r="J120" s="160">
        <f t="shared" si="17"/>
        <v>-16</v>
      </c>
      <c r="K120" s="263">
        <f t="shared" si="18"/>
        <v>-1</v>
      </c>
      <c r="L120" s="100">
        <f t="shared" si="19"/>
        <v>-42.64</v>
      </c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</row>
    <row r="121" spans="1:24">
      <c r="A121" s="23">
        <f t="shared" si="11"/>
        <v>112</v>
      </c>
      <c r="B121" s="282" t="s">
        <v>486</v>
      </c>
      <c r="C121" s="282" t="s">
        <v>473</v>
      </c>
      <c r="D121" s="283">
        <v>43959</v>
      </c>
      <c r="E121" s="284">
        <v>16.989999999999998</v>
      </c>
      <c r="F121" s="283">
        <v>43929</v>
      </c>
      <c r="G121" s="283">
        <v>43959</v>
      </c>
      <c r="H121" s="285">
        <f t="shared" si="16"/>
        <v>15</v>
      </c>
      <c r="I121" s="283">
        <v>43991</v>
      </c>
      <c r="J121" s="160">
        <f t="shared" si="17"/>
        <v>32</v>
      </c>
      <c r="K121" s="263">
        <f t="shared" si="18"/>
        <v>47</v>
      </c>
      <c r="L121" s="100">
        <f t="shared" si="19"/>
        <v>798.53</v>
      </c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</row>
    <row r="122" spans="1:24">
      <c r="A122" s="23">
        <f t="shared" si="11"/>
        <v>113</v>
      </c>
      <c r="B122" s="282" t="s">
        <v>487</v>
      </c>
      <c r="C122" s="282" t="s">
        <v>480</v>
      </c>
      <c r="D122" s="283">
        <v>43956</v>
      </c>
      <c r="E122" s="284">
        <v>125</v>
      </c>
      <c r="F122" s="283">
        <v>43920</v>
      </c>
      <c r="G122" s="283">
        <v>43954</v>
      </c>
      <c r="H122" s="285">
        <f t="shared" si="16"/>
        <v>17</v>
      </c>
      <c r="I122" s="283">
        <v>43970</v>
      </c>
      <c r="J122" s="160">
        <f t="shared" si="17"/>
        <v>16</v>
      </c>
      <c r="K122" s="263">
        <f t="shared" si="18"/>
        <v>33</v>
      </c>
      <c r="L122" s="100">
        <f t="shared" si="19"/>
        <v>4125</v>
      </c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>
      <c r="A123" s="23">
        <f t="shared" si="11"/>
        <v>114</v>
      </c>
      <c r="B123" s="282" t="s">
        <v>482</v>
      </c>
      <c r="C123" s="282" t="s">
        <v>483</v>
      </c>
      <c r="D123" s="283">
        <v>44060</v>
      </c>
      <c r="E123" s="284">
        <v>595</v>
      </c>
      <c r="F123" s="283">
        <v>44053</v>
      </c>
      <c r="G123" s="283">
        <v>44057</v>
      </c>
      <c r="H123" s="285">
        <f t="shared" si="16"/>
        <v>2</v>
      </c>
      <c r="I123" s="283">
        <v>44075</v>
      </c>
      <c r="J123" s="160">
        <f t="shared" si="17"/>
        <v>18</v>
      </c>
      <c r="K123" s="263">
        <f t="shared" si="18"/>
        <v>20</v>
      </c>
      <c r="L123" s="100">
        <f t="shared" si="19"/>
        <v>11900</v>
      </c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</row>
    <row r="124" spans="1:24">
      <c r="A124" s="23">
        <f t="shared" si="11"/>
        <v>115</v>
      </c>
      <c r="B124" s="282" t="s">
        <v>472</v>
      </c>
      <c r="C124" s="282" t="s">
        <v>473</v>
      </c>
      <c r="D124" s="283">
        <v>44028</v>
      </c>
      <c r="E124" s="284">
        <v>57.64</v>
      </c>
      <c r="F124" s="283">
        <v>43997</v>
      </c>
      <c r="G124" s="283">
        <v>44027</v>
      </c>
      <c r="H124" s="285">
        <f t="shared" si="16"/>
        <v>15</v>
      </c>
      <c r="I124" s="283">
        <v>44040</v>
      </c>
      <c r="J124" s="160">
        <f t="shared" si="17"/>
        <v>13</v>
      </c>
      <c r="K124" s="263">
        <f t="shared" si="18"/>
        <v>28</v>
      </c>
      <c r="L124" s="100">
        <f t="shared" si="19"/>
        <v>1613.92</v>
      </c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>
      <c r="A125" s="23">
        <f t="shared" si="11"/>
        <v>116</v>
      </c>
      <c r="B125" s="282" t="s">
        <v>472</v>
      </c>
      <c r="C125" s="282" t="s">
        <v>473</v>
      </c>
      <c r="D125" s="283">
        <v>44140</v>
      </c>
      <c r="E125" s="284">
        <v>60.87</v>
      </c>
      <c r="F125" s="283">
        <v>44110</v>
      </c>
      <c r="G125" s="283">
        <v>44139</v>
      </c>
      <c r="H125" s="285">
        <f t="shared" si="16"/>
        <v>14.5</v>
      </c>
      <c r="I125" s="283">
        <v>44152</v>
      </c>
      <c r="J125" s="160">
        <f t="shared" si="17"/>
        <v>13</v>
      </c>
      <c r="K125" s="263">
        <f t="shared" si="18"/>
        <v>27.5</v>
      </c>
      <c r="L125" s="100">
        <f t="shared" si="19"/>
        <v>1673.93</v>
      </c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>
      <c r="A126" s="23">
        <f t="shared" si="11"/>
        <v>117</v>
      </c>
      <c r="B126" s="282" t="s">
        <v>486</v>
      </c>
      <c r="C126" s="282" t="s">
        <v>473</v>
      </c>
      <c r="D126" s="283">
        <v>44124</v>
      </c>
      <c r="E126" s="284">
        <v>291.23</v>
      </c>
      <c r="F126" s="283">
        <v>44092</v>
      </c>
      <c r="G126" s="283">
        <v>44124</v>
      </c>
      <c r="H126" s="285">
        <f t="shared" si="16"/>
        <v>16</v>
      </c>
      <c r="I126" s="283">
        <v>44145</v>
      </c>
      <c r="J126" s="160">
        <f t="shared" si="17"/>
        <v>21</v>
      </c>
      <c r="K126" s="263">
        <f t="shared" si="18"/>
        <v>37</v>
      </c>
      <c r="L126" s="100">
        <f t="shared" si="19"/>
        <v>10775.51</v>
      </c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>
      <c r="A127" s="23">
        <f t="shared" si="11"/>
        <v>118</v>
      </c>
      <c r="B127" s="282" t="s">
        <v>488</v>
      </c>
      <c r="C127" s="282" t="s">
        <v>489</v>
      </c>
      <c r="D127" s="283">
        <v>44062</v>
      </c>
      <c r="E127" s="284">
        <v>199.6</v>
      </c>
      <c r="F127" s="283">
        <v>44037</v>
      </c>
      <c r="G127" s="283">
        <v>44098</v>
      </c>
      <c r="H127" s="285">
        <f t="shared" si="16"/>
        <v>30.5</v>
      </c>
      <c r="I127" s="283">
        <v>44089</v>
      </c>
      <c r="J127" s="160">
        <f t="shared" si="17"/>
        <v>-9</v>
      </c>
      <c r="K127" s="263">
        <f t="shared" si="18"/>
        <v>21.5</v>
      </c>
      <c r="L127" s="100">
        <f t="shared" si="19"/>
        <v>4291.3999999999996</v>
      </c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</row>
    <row r="128" spans="1:24">
      <c r="A128" s="23">
        <f t="shared" si="11"/>
        <v>119</v>
      </c>
      <c r="B128" s="282" t="s">
        <v>472</v>
      </c>
      <c r="C128" s="282" t="s">
        <v>473</v>
      </c>
      <c r="D128" s="283">
        <v>44120</v>
      </c>
      <c r="E128" s="284">
        <v>128.72</v>
      </c>
      <c r="F128" s="283">
        <v>44090</v>
      </c>
      <c r="G128" s="283">
        <v>44119</v>
      </c>
      <c r="H128" s="285">
        <f t="shared" si="16"/>
        <v>14.5</v>
      </c>
      <c r="I128" s="283">
        <v>44131</v>
      </c>
      <c r="J128" s="160">
        <f t="shared" si="17"/>
        <v>12</v>
      </c>
      <c r="K128" s="263">
        <f t="shared" si="18"/>
        <v>26.5</v>
      </c>
      <c r="L128" s="100">
        <f t="shared" si="19"/>
        <v>3411.08</v>
      </c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</row>
    <row r="129" spans="1:24">
      <c r="A129" s="23">
        <f t="shared" si="11"/>
        <v>120</v>
      </c>
      <c r="B129" s="282" t="s">
        <v>472</v>
      </c>
      <c r="C129" s="282" t="s">
        <v>473</v>
      </c>
      <c r="D129" s="283">
        <v>44154</v>
      </c>
      <c r="E129" s="284">
        <v>35.31</v>
      </c>
      <c r="F129" s="283">
        <v>44124</v>
      </c>
      <c r="G129" s="283">
        <v>44153</v>
      </c>
      <c r="H129" s="285">
        <f t="shared" si="16"/>
        <v>14.5</v>
      </c>
      <c r="I129" s="283">
        <v>44173</v>
      </c>
      <c r="J129" s="160">
        <f t="shared" si="17"/>
        <v>20</v>
      </c>
      <c r="K129" s="263">
        <f t="shared" si="18"/>
        <v>34.5</v>
      </c>
      <c r="L129" s="100">
        <f t="shared" si="19"/>
        <v>1218.2</v>
      </c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:24">
      <c r="A130" s="23">
        <f t="shared" si="11"/>
        <v>121</v>
      </c>
      <c r="B130" s="282" t="s">
        <v>484</v>
      </c>
      <c r="C130" s="282" t="s">
        <v>485</v>
      </c>
      <c r="D130" s="283">
        <v>43894</v>
      </c>
      <c r="E130" s="284">
        <v>164.16</v>
      </c>
      <c r="F130" s="283">
        <v>43894</v>
      </c>
      <c r="G130" s="283">
        <v>43924</v>
      </c>
      <c r="H130" s="285">
        <f t="shared" si="16"/>
        <v>15</v>
      </c>
      <c r="I130" s="283">
        <v>43906</v>
      </c>
      <c r="J130" s="160">
        <f t="shared" si="17"/>
        <v>-18</v>
      </c>
      <c r="K130" s="263">
        <f t="shared" si="18"/>
        <v>-3</v>
      </c>
      <c r="L130" s="100">
        <f t="shared" si="19"/>
        <v>-492.48</v>
      </c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</row>
    <row r="131" spans="1:24">
      <c r="A131" s="23">
        <f t="shared" si="11"/>
        <v>122</v>
      </c>
      <c r="B131" s="282" t="s">
        <v>484</v>
      </c>
      <c r="C131" s="282" t="s">
        <v>485</v>
      </c>
      <c r="D131" s="283">
        <v>44079</v>
      </c>
      <c r="E131" s="284">
        <v>1220.29</v>
      </c>
      <c r="F131" s="283">
        <v>44079</v>
      </c>
      <c r="G131" s="283">
        <v>44108</v>
      </c>
      <c r="H131" s="285">
        <f t="shared" si="16"/>
        <v>14.5</v>
      </c>
      <c r="I131" s="283">
        <v>44096</v>
      </c>
      <c r="J131" s="160">
        <f t="shared" si="17"/>
        <v>-12</v>
      </c>
      <c r="K131" s="263">
        <f t="shared" si="18"/>
        <v>2.5</v>
      </c>
      <c r="L131" s="100">
        <f t="shared" si="19"/>
        <v>3050.73</v>
      </c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</row>
    <row r="132" spans="1:24">
      <c r="A132" s="23">
        <f t="shared" si="11"/>
        <v>123</v>
      </c>
      <c r="B132" s="282" t="s">
        <v>482</v>
      </c>
      <c r="C132" s="282" t="s">
        <v>483</v>
      </c>
      <c r="D132" s="283">
        <v>43941</v>
      </c>
      <c r="E132" s="284">
        <v>772</v>
      </c>
      <c r="F132" s="283">
        <v>43934</v>
      </c>
      <c r="G132" s="283">
        <v>43938</v>
      </c>
      <c r="H132" s="285">
        <f t="shared" si="16"/>
        <v>2</v>
      </c>
      <c r="I132" s="283">
        <v>43956</v>
      </c>
      <c r="J132" s="160">
        <f t="shared" si="17"/>
        <v>18</v>
      </c>
      <c r="K132" s="263">
        <f t="shared" si="18"/>
        <v>20</v>
      </c>
      <c r="L132" s="100">
        <f t="shared" si="19"/>
        <v>15440</v>
      </c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1:24">
      <c r="A133" s="23">
        <f t="shared" si="11"/>
        <v>124</v>
      </c>
      <c r="B133" s="282" t="s">
        <v>490</v>
      </c>
      <c r="C133" s="282" t="s">
        <v>483</v>
      </c>
      <c r="D133" s="283">
        <v>43959</v>
      </c>
      <c r="E133" s="284">
        <v>1320.83</v>
      </c>
      <c r="F133" s="283">
        <v>43914</v>
      </c>
      <c r="G133" s="283">
        <v>43959</v>
      </c>
      <c r="H133" s="285">
        <f t="shared" si="16"/>
        <v>22.5</v>
      </c>
      <c r="I133" s="283">
        <v>43977</v>
      </c>
      <c r="J133" s="160">
        <f t="shared" si="17"/>
        <v>18</v>
      </c>
      <c r="K133" s="263">
        <f t="shared" si="18"/>
        <v>40.5</v>
      </c>
      <c r="L133" s="100">
        <f t="shared" si="19"/>
        <v>53493.62</v>
      </c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:24">
      <c r="A134" s="23">
        <f t="shared" si="11"/>
        <v>125</v>
      </c>
      <c r="B134" s="282" t="s">
        <v>491</v>
      </c>
      <c r="C134" s="282" t="s">
        <v>485</v>
      </c>
      <c r="D134" s="283">
        <v>43888</v>
      </c>
      <c r="E134" s="284">
        <v>238.35</v>
      </c>
      <c r="F134" s="283">
        <v>43886</v>
      </c>
      <c r="G134" s="283">
        <v>43907</v>
      </c>
      <c r="H134" s="285">
        <f t="shared" si="16"/>
        <v>10.5</v>
      </c>
      <c r="I134" s="283">
        <v>43900</v>
      </c>
      <c r="J134" s="160">
        <f t="shared" si="17"/>
        <v>-7</v>
      </c>
      <c r="K134" s="263">
        <f t="shared" si="18"/>
        <v>3.5</v>
      </c>
      <c r="L134" s="100">
        <f t="shared" si="19"/>
        <v>834.23</v>
      </c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</row>
    <row r="135" spans="1:24">
      <c r="A135" s="23">
        <f t="shared" si="11"/>
        <v>126</v>
      </c>
      <c r="B135" s="282" t="s">
        <v>492</v>
      </c>
      <c r="C135" s="282" t="s">
        <v>480</v>
      </c>
      <c r="D135" s="283">
        <v>44006</v>
      </c>
      <c r="E135" s="284">
        <v>740</v>
      </c>
      <c r="F135" s="283">
        <v>43983</v>
      </c>
      <c r="G135" s="283">
        <v>44012</v>
      </c>
      <c r="H135" s="285">
        <f t="shared" si="16"/>
        <v>14.5</v>
      </c>
      <c r="I135" s="283">
        <v>44011</v>
      </c>
      <c r="J135" s="160">
        <f t="shared" si="17"/>
        <v>-1</v>
      </c>
      <c r="K135" s="263">
        <f t="shared" si="18"/>
        <v>13.5</v>
      </c>
      <c r="L135" s="100">
        <f t="shared" si="19"/>
        <v>9990</v>
      </c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</row>
    <row r="136" spans="1:24">
      <c r="A136" s="23">
        <f t="shared" si="11"/>
        <v>127</v>
      </c>
      <c r="B136" s="282" t="s">
        <v>493</v>
      </c>
      <c r="C136" s="282" t="s">
        <v>494</v>
      </c>
      <c r="D136" s="283">
        <v>43958</v>
      </c>
      <c r="E136" s="284">
        <v>23.61</v>
      </c>
      <c r="F136" s="283">
        <v>43923</v>
      </c>
      <c r="G136" s="283">
        <v>43958</v>
      </c>
      <c r="H136" s="285">
        <f t="shared" si="16"/>
        <v>17.5</v>
      </c>
      <c r="I136" s="283">
        <v>43984</v>
      </c>
      <c r="J136" s="160">
        <f t="shared" si="17"/>
        <v>26</v>
      </c>
      <c r="K136" s="263">
        <f t="shared" si="18"/>
        <v>43.5</v>
      </c>
      <c r="L136" s="100">
        <f t="shared" si="19"/>
        <v>1027.04</v>
      </c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</row>
    <row r="137" spans="1:24">
      <c r="A137" s="23">
        <f t="shared" si="11"/>
        <v>128</v>
      </c>
      <c r="B137" s="282" t="s">
        <v>484</v>
      </c>
      <c r="C137" s="282" t="s">
        <v>485</v>
      </c>
      <c r="D137" s="283">
        <v>44146</v>
      </c>
      <c r="E137" s="284">
        <v>1142.57</v>
      </c>
      <c r="F137" s="283">
        <v>44146</v>
      </c>
      <c r="G137" s="283">
        <v>44175</v>
      </c>
      <c r="H137" s="285">
        <f t="shared" si="16"/>
        <v>14.5</v>
      </c>
      <c r="I137" s="283">
        <v>44166</v>
      </c>
      <c r="J137" s="160">
        <f t="shared" si="17"/>
        <v>-9</v>
      </c>
      <c r="K137" s="263">
        <f t="shared" si="18"/>
        <v>5.5</v>
      </c>
      <c r="L137" s="100">
        <f t="shared" si="19"/>
        <v>6284.14</v>
      </c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</row>
    <row r="138" spans="1:24">
      <c r="A138" s="23">
        <f t="shared" si="11"/>
        <v>129</v>
      </c>
      <c r="B138" s="282" t="s">
        <v>495</v>
      </c>
      <c r="C138" s="282" t="s">
        <v>473</v>
      </c>
      <c r="D138" s="283">
        <v>43967</v>
      </c>
      <c r="E138" s="284">
        <v>60.42</v>
      </c>
      <c r="F138" s="283">
        <v>43922</v>
      </c>
      <c r="G138" s="283">
        <v>43952</v>
      </c>
      <c r="H138" s="285">
        <f t="shared" si="16"/>
        <v>15</v>
      </c>
      <c r="I138" s="283">
        <v>43984</v>
      </c>
      <c r="J138" s="160">
        <f t="shared" si="17"/>
        <v>32</v>
      </c>
      <c r="K138" s="263">
        <f t="shared" si="18"/>
        <v>47</v>
      </c>
      <c r="L138" s="100">
        <f t="shared" si="19"/>
        <v>2839.74</v>
      </c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</row>
    <row r="139" spans="1:24">
      <c r="A139" s="23">
        <f t="shared" ref="A139:A200" si="20">A138+1</f>
        <v>130</v>
      </c>
      <c r="B139" s="282" t="s">
        <v>496</v>
      </c>
      <c r="C139" s="282" t="s">
        <v>497</v>
      </c>
      <c r="D139" s="283">
        <v>43861</v>
      </c>
      <c r="E139" s="284">
        <v>1961</v>
      </c>
      <c r="F139" s="283">
        <v>43831</v>
      </c>
      <c r="G139" s="283">
        <v>43861</v>
      </c>
      <c r="H139" s="285">
        <f t="shared" si="16"/>
        <v>15</v>
      </c>
      <c r="I139" s="283">
        <v>43886</v>
      </c>
      <c r="J139" s="160">
        <f t="shared" si="17"/>
        <v>25</v>
      </c>
      <c r="K139" s="263">
        <f t="shared" si="18"/>
        <v>40</v>
      </c>
      <c r="L139" s="100">
        <f t="shared" si="19"/>
        <v>78440</v>
      </c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</row>
    <row r="140" spans="1:24">
      <c r="A140" s="23">
        <f t="shared" si="20"/>
        <v>131</v>
      </c>
      <c r="B140" s="282" t="s">
        <v>472</v>
      </c>
      <c r="C140" s="282" t="s">
        <v>473</v>
      </c>
      <c r="D140" s="283">
        <v>44147</v>
      </c>
      <c r="E140" s="284">
        <v>126.92</v>
      </c>
      <c r="F140" s="283">
        <v>44114</v>
      </c>
      <c r="G140" s="283">
        <v>44145</v>
      </c>
      <c r="H140" s="285">
        <f t="shared" si="16"/>
        <v>15.5</v>
      </c>
      <c r="I140" s="283">
        <v>44152</v>
      </c>
      <c r="J140" s="160">
        <f t="shared" si="17"/>
        <v>7</v>
      </c>
      <c r="K140" s="263">
        <f t="shared" si="18"/>
        <v>22.5</v>
      </c>
      <c r="L140" s="100">
        <f t="shared" si="19"/>
        <v>2855.7</v>
      </c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</row>
    <row r="141" spans="1:24">
      <c r="A141" s="23">
        <f t="shared" si="20"/>
        <v>132</v>
      </c>
      <c r="B141" s="282" t="s">
        <v>472</v>
      </c>
      <c r="C141" s="282" t="s">
        <v>473</v>
      </c>
      <c r="D141" s="283">
        <v>43908</v>
      </c>
      <c r="E141" s="284">
        <v>78.510000000000005</v>
      </c>
      <c r="F141" s="283">
        <v>43878</v>
      </c>
      <c r="G141" s="283">
        <v>43907</v>
      </c>
      <c r="H141" s="285">
        <f t="shared" si="16"/>
        <v>14.5</v>
      </c>
      <c r="I141" s="283">
        <v>43914</v>
      </c>
      <c r="J141" s="160">
        <f t="shared" si="17"/>
        <v>7</v>
      </c>
      <c r="K141" s="263">
        <f t="shared" si="18"/>
        <v>21.5</v>
      </c>
      <c r="L141" s="100">
        <f t="shared" si="19"/>
        <v>1687.97</v>
      </c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</row>
    <row r="142" spans="1:24">
      <c r="A142" s="23">
        <f t="shared" si="20"/>
        <v>133</v>
      </c>
      <c r="B142" s="282" t="s">
        <v>449</v>
      </c>
      <c r="C142" s="282" t="s">
        <v>473</v>
      </c>
      <c r="D142" s="283">
        <v>44102</v>
      </c>
      <c r="E142" s="284">
        <v>317.24</v>
      </c>
      <c r="F142" s="283">
        <v>44068</v>
      </c>
      <c r="G142" s="283">
        <v>44102</v>
      </c>
      <c r="H142" s="285">
        <f t="shared" si="16"/>
        <v>17</v>
      </c>
      <c r="I142" s="283">
        <v>44117</v>
      </c>
      <c r="J142" s="160">
        <f t="shared" si="17"/>
        <v>15</v>
      </c>
      <c r="K142" s="263">
        <f t="shared" si="18"/>
        <v>32</v>
      </c>
      <c r="L142" s="100">
        <f t="shared" si="19"/>
        <v>10151.68</v>
      </c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</row>
    <row r="143" spans="1:24">
      <c r="A143" s="23">
        <f t="shared" si="20"/>
        <v>134</v>
      </c>
      <c r="B143" s="282" t="s">
        <v>472</v>
      </c>
      <c r="C143" s="282" t="s">
        <v>473</v>
      </c>
      <c r="D143" s="283">
        <v>43955</v>
      </c>
      <c r="E143" s="284">
        <v>36.119999999999997</v>
      </c>
      <c r="F143" s="283">
        <v>43922</v>
      </c>
      <c r="G143" s="283">
        <v>43952</v>
      </c>
      <c r="H143" s="285">
        <f t="shared" si="16"/>
        <v>15</v>
      </c>
      <c r="I143" s="283">
        <v>43963</v>
      </c>
      <c r="J143" s="160">
        <f t="shared" si="17"/>
        <v>11</v>
      </c>
      <c r="K143" s="263">
        <f t="shared" si="18"/>
        <v>26</v>
      </c>
      <c r="L143" s="100">
        <f t="shared" si="19"/>
        <v>939.12</v>
      </c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</row>
    <row r="144" spans="1:24">
      <c r="A144" s="23">
        <f t="shared" si="20"/>
        <v>135</v>
      </c>
      <c r="B144" s="282" t="s">
        <v>472</v>
      </c>
      <c r="C144" s="282" t="s">
        <v>473</v>
      </c>
      <c r="D144" s="283">
        <v>44077</v>
      </c>
      <c r="E144" s="284">
        <v>34.42</v>
      </c>
      <c r="F144" s="283">
        <v>44048</v>
      </c>
      <c r="G144" s="283">
        <v>44076</v>
      </c>
      <c r="H144" s="285">
        <f t="shared" si="16"/>
        <v>14</v>
      </c>
      <c r="I144" s="283">
        <v>44089</v>
      </c>
      <c r="J144" s="160">
        <f t="shared" si="17"/>
        <v>13</v>
      </c>
      <c r="K144" s="263">
        <f t="shared" si="18"/>
        <v>27</v>
      </c>
      <c r="L144" s="100">
        <f t="shared" si="19"/>
        <v>929.34</v>
      </c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</row>
    <row r="145" spans="1:24">
      <c r="A145" s="23">
        <f t="shared" si="20"/>
        <v>136</v>
      </c>
      <c r="B145" s="282" t="s">
        <v>472</v>
      </c>
      <c r="C145" s="282" t="s">
        <v>473</v>
      </c>
      <c r="D145" s="283">
        <v>43864</v>
      </c>
      <c r="E145" s="284">
        <v>33.74</v>
      </c>
      <c r="F145" s="283">
        <v>43833</v>
      </c>
      <c r="G145" s="283">
        <v>43861</v>
      </c>
      <c r="H145" s="285">
        <f t="shared" si="16"/>
        <v>14</v>
      </c>
      <c r="I145" s="283">
        <v>43872</v>
      </c>
      <c r="J145" s="160">
        <f t="shared" si="17"/>
        <v>11</v>
      </c>
      <c r="K145" s="263">
        <f t="shared" si="18"/>
        <v>25</v>
      </c>
      <c r="L145" s="100">
        <f t="shared" si="19"/>
        <v>843.5</v>
      </c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</row>
    <row r="146" spans="1:24">
      <c r="A146" s="23">
        <f t="shared" si="20"/>
        <v>137</v>
      </c>
      <c r="B146" s="282" t="s">
        <v>476</v>
      </c>
      <c r="C146" s="282" t="s">
        <v>473</v>
      </c>
      <c r="D146" s="283">
        <v>44142</v>
      </c>
      <c r="E146" s="284">
        <v>55.89</v>
      </c>
      <c r="F146" s="283">
        <v>44104</v>
      </c>
      <c r="G146" s="283">
        <v>44136</v>
      </c>
      <c r="H146" s="285">
        <f t="shared" si="16"/>
        <v>16</v>
      </c>
      <c r="I146" s="283">
        <v>44152</v>
      </c>
      <c r="J146" s="160">
        <f t="shared" si="17"/>
        <v>16</v>
      </c>
      <c r="K146" s="263">
        <f t="shared" si="18"/>
        <v>32</v>
      </c>
      <c r="L146" s="100">
        <f t="shared" si="19"/>
        <v>1788.48</v>
      </c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</row>
    <row r="147" spans="1:24">
      <c r="A147" s="23">
        <f t="shared" si="20"/>
        <v>138</v>
      </c>
      <c r="B147" s="282" t="s">
        <v>477</v>
      </c>
      <c r="C147" s="282" t="s">
        <v>473</v>
      </c>
      <c r="D147" s="283">
        <v>43829</v>
      </c>
      <c r="E147" s="284">
        <v>24.92</v>
      </c>
      <c r="F147" s="283">
        <v>43794</v>
      </c>
      <c r="G147" s="283">
        <v>43827</v>
      </c>
      <c r="H147" s="285">
        <f t="shared" si="16"/>
        <v>16.5</v>
      </c>
      <c r="I147" s="283">
        <v>43837</v>
      </c>
      <c r="J147" s="160">
        <f t="shared" si="17"/>
        <v>10</v>
      </c>
      <c r="K147" s="263">
        <f t="shared" si="18"/>
        <v>26.5</v>
      </c>
      <c r="L147" s="100">
        <f t="shared" si="19"/>
        <v>660.38</v>
      </c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1:24">
      <c r="A148" s="23">
        <f t="shared" si="20"/>
        <v>139</v>
      </c>
      <c r="B148" s="282" t="s">
        <v>498</v>
      </c>
      <c r="C148" s="282" t="s">
        <v>473</v>
      </c>
      <c r="D148" s="283">
        <v>44005</v>
      </c>
      <c r="E148" s="284">
        <v>180.22</v>
      </c>
      <c r="F148" s="283">
        <v>43972</v>
      </c>
      <c r="G148" s="283">
        <v>44004</v>
      </c>
      <c r="H148" s="285">
        <f t="shared" si="16"/>
        <v>16</v>
      </c>
      <c r="I148" s="283">
        <v>44011</v>
      </c>
      <c r="J148" s="160">
        <f t="shared" si="17"/>
        <v>7</v>
      </c>
      <c r="K148" s="263">
        <f t="shared" si="18"/>
        <v>23</v>
      </c>
      <c r="L148" s="100">
        <f t="shared" si="19"/>
        <v>4145.0600000000004</v>
      </c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</row>
    <row r="149" spans="1:24">
      <c r="A149" s="23">
        <f t="shared" si="20"/>
        <v>140</v>
      </c>
      <c r="B149" s="282" t="s">
        <v>478</v>
      </c>
      <c r="C149" s="282" t="s">
        <v>473</v>
      </c>
      <c r="D149" s="283">
        <v>43964</v>
      </c>
      <c r="E149" s="284">
        <v>83.72</v>
      </c>
      <c r="F149" s="283">
        <v>43930</v>
      </c>
      <c r="G149" s="283">
        <v>43962</v>
      </c>
      <c r="H149" s="285">
        <f t="shared" si="16"/>
        <v>16</v>
      </c>
      <c r="I149" s="283">
        <v>43977</v>
      </c>
      <c r="J149" s="160">
        <f t="shared" si="17"/>
        <v>15</v>
      </c>
      <c r="K149" s="263">
        <f t="shared" si="18"/>
        <v>31</v>
      </c>
      <c r="L149" s="100">
        <f t="shared" si="19"/>
        <v>2595.3200000000002</v>
      </c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</row>
    <row r="150" spans="1:24">
      <c r="A150" s="23">
        <f t="shared" si="20"/>
        <v>141</v>
      </c>
      <c r="B150" s="282" t="s">
        <v>472</v>
      </c>
      <c r="C150" s="282" t="s">
        <v>473</v>
      </c>
      <c r="D150" s="283">
        <v>43885</v>
      </c>
      <c r="E150" s="284">
        <v>216.16</v>
      </c>
      <c r="F150" s="283">
        <v>43852</v>
      </c>
      <c r="G150" s="283">
        <v>43882</v>
      </c>
      <c r="H150" s="285">
        <f t="shared" ref="H150:H174" si="21">IF(G150="",0,(G150-F150)/2)</f>
        <v>15</v>
      </c>
      <c r="I150" s="283">
        <v>43893</v>
      </c>
      <c r="J150" s="160">
        <f t="shared" ref="J150:J174" si="22">IF(G150="",I150-F150,I150-G150)</f>
        <v>11</v>
      </c>
      <c r="K150" s="263">
        <f t="shared" ref="K150:K170" si="23">H150+J150</f>
        <v>26</v>
      </c>
      <c r="L150" s="100">
        <f t="shared" ref="L150:L170" si="24">ROUND(E150*K150,2)</f>
        <v>5620.16</v>
      </c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1:24">
      <c r="A151" s="23">
        <f t="shared" si="20"/>
        <v>142</v>
      </c>
      <c r="B151" s="282" t="s">
        <v>499</v>
      </c>
      <c r="C151" s="282" t="s">
        <v>473</v>
      </c>
      <c r="D151" s="283">
        <v>44131</v>
      </c>
      <c r="E151" s="284">
        <v>85.31</v>
      </c>
      <c r="F151" s="283">
        <v>44083</v>
      </c>
      <c r="G151" s="283">
        <v>44112</v>
      </c>
      <c r="H151" s="285">
        <f t="shared" si="21"/>
        <v>14.5</v>
      </c>
      <c r="I151" s="283">
        <v>44138</v>
      </c>
      <c r="J151" s="160">
        <f t="shared" si="22"/>
        <v>26</v>
      </c>
      <c r="K151" s="263">
        <f t="shared" si="23"/>
        <v>40.5</v>
      </c>
      <c r="L151" s="100">
        <f t="shared" si="24"/>
        <v>3455.06</v>
      </c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1:24">
      <c r="A152" s="23">
        <f t="shared" si="20"/>
        <v>143</v>
      </c>
      <c r="B152" s="282" t="s">
        <v>500</v>
      </c>
      <c r="C152" s="282" t="s">
        <v>501</v>
      </c>
      <c r="D152" s="283">
        <v>44107</v>
      </c>
      <c r="E152" s="284">
        <v>46.08</v>
      </c>
      <c r="F152" s="283">
        <v>44078</v>
      </c>
      <c r="G152" s="283">
        <v>44107</v>
      </c>
      <c r="H152" s="285">
        <f t="shared" si="21"/>
        <v>14.5</v>
      </c>
      <c r="I152" s="283">
        <v>44124</v>
      </c>
      <c r="J152" s="160">
        <f t="shared" si="22"/>
        <v>17</v>
      </c>
      <c r="K152" s="263">
        <f t="shared" si="23"/>
        <v>31.5</v>
      </c>
      <c r="L152" s="100">
        <f t="shared" si="24"/>
        <v>1451.52</v>
      </c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>
      <c r="A153" s="23">
        <f t="shared" si="20"/>
        <v>144</v>
      </c>
      <c r="B153" s="282" t="s">
        <v>472</v>
      </c>
      <c r="C153" s="282" t="s">
        <v>473</v>
      </c>
      <c r="D153" s="283">
        <v>44126</v>
      </c>
      <c r="E153" s="284">
        <v>68.010000000000005</v>
      </c>
      <c r="F153" s="283">
        <v>44095</v>
      </c>
      <c r="G153" s="283">
        <v>44125</v>
      </c>
      <c r="H153" s="285">
        <f t="shared" si="21"/>
        <v>15</v>
      </c>
      <c r="I153" s="283">
        <v>44138</v>
      </c>
      <c r="J153" s="160">
        <f t="shared" si="22"/>
        <v>13</v>
      </c>
      <c r="K153" s="263">
        <f t="shared" si="23"/>
        <v>28</v>
      </c>
      <c r="L153" s="100">
        <f t="shared" si="24"/>
        <v>1904.28</v>
      </c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:24">
      <c r="A154" s="23">
        <f t="shared" si="20"/>
        <v>145</v>
      </c>
      <c r="B154" s="282" t="s">
        <v>502</v>
      </c>
      <c r="C154" s="282" t="s">
        <v>483</v>
      </c>
      <c r="D154" s="283">
        <v>44085</v>
      </c>
      <c r="E154" s="284">
        <v>4318.3</v>
      </c>
      <c r="F154" s="283">
        <v>44047</v>
      </c>
      <c r="G154" s="283">
        <v>44069</v>
      </c>
      <c r="H154" s="285">
        <f t="shared" si="21"/>
        <v>11</v>
      </c>
      <c r="I154" s="283">
        <v>44096</v>
      </c>
      <c r="J154" s="160">
        <f t="shared" si="22"/>
        <v>27</v>
      </c>
      <c r="K154" s="263">
        <f t="shared" si="23"/>
        <v>38</v>
      </c>
      <c r="L154" s="100">
        <f t="shared" si="24"/>
        <v>164095.4</v>
      </c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1:24">
      <c r="A155" s="23">
        <f t="shared" si="20"/>
        <v>146</v>
      </c>
      <c r="B155" s="282" t="s">
        <v>472</v>
      </c>
      <c r="C155" s="282" t="s">
        <v>473</v>
      </c>
      <c r="D155" s="283">
        <v>44049</v>
      </c>
      <c r="E155" s="284">
        <v>53.48</v>
      </c>
      <c r="F155" s="283">
        <v>44018</v>
      </c>
      <c r="G155" s="283">
        <v>44048</v>
      </c>
      <c r="H155" s="285">
        <f t="shared" si="21"/>
        <v>15</v>
      </c>
      <c r="I155" s="283">
        <v>44061</v>
      </c>
      <c r="J155" s="160">
        <f t="shared" si="22"/>
        <v>13</v>
      </c>
      <c r="K155" s="263">
        <f t="shared" si="23"/>
        <v>28</v>
      </c>
      <c r="L155" s="100">
        <f t="shared" si="24"/>
        <v>1497.44</v>
      </c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:24">
      <c r="A156" s="23">
        <f t="shared" si="20"/>
        <v>147</v>
      </c>
      <c r="B156" s="282" t="s">
        <v>472</v>
      </c>
      <c r="C156" s="282" t="s">
        <v>473</v>
      </c>
      <c r="D156" s="283">
        <v>43958</v>
      </c>
      <c r="E156" s="284">
        <v>77.400000000000006</v>
      </c>
      <c r="F156" s="283">
        <v>43924</v>
      </c>
      <c r="G156" s="283">
        <v>43957</v>
      </c>
      <c r="H156" s="285">
        <f t="shared" si="21"/>
        <v>16.5</v>
      </c>
      <c r="I156" s="283">
        <v>43970</v>
      </c>
      <c r="J156" s="160">
        <f t="shared" si="22"/>
        <v>13</v>
      </c>
      <c r="K156" s="263">
        <f t="shared" si="23"/>
        <v>29.5</v>
      </c>
      <c r="L156" s="100">
        <f t="shared" si="24"/>
        <v>2283.3000000000002</v>
      </c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1:24">
      <c r="A157" s="23">
        <f t="shared" si="20"/>
        <v>148</v>
      </c>
      <c r="B157" s="282" t="s">
        <v>491</v>
      </c>
      <c r="C157" s="282" t="s">
        <v>485</v>
      </c>
      <c r="D157" s="283">
        <v>43858</v>
      </c>
      <c r="E157" s="284">
        <v>71.459999999999994</v>
      </c>
      <c r="F157" s="283">
        <v>43855</v>
      </c>
      <c r="G157" s="283">
        <v>43885</v>
      </c>
      <c r="H157" s="285">
        <f t="shared" si="21"/>
        <v>15</v>
      </c>
      <c r="I157" s="283">
        <v>43865</v>
      </c>
      <c r="J157" s="160">
        <f t="shared" si="22"/>
        <v>-20</v>
      </c>
      <c r="K157" s="263">
        <f t="shared" si="23"/>
        <v>-5</v>
      </c>
      <c r="L157" s="100">
        <f t="shared" si="24"/>
        <v>-357.3</v>
      </c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</row>
    <row r="158" spans="1:24">
      <c r="A158" s="23">
        <f t="shared" si="20"/>
        <v>149</v>
      </c>
      <c r="B158" s="282" t="s">
        <v>488</v>
      </c>
      <c r="C158" s="282" t="s">
        <v>489</v>
      </c>
      <c r="D158" s="283">
        <v>44145</v>
      </c>
      <c r="E158" s="284">
        <v>192.35</v>
      </c>
      <c r="F158" s="283">
        <v>44117</v>
      </c>
      <c r="G158" s="283">
        <v>44177</v>
      </c>
      <c r="H158" s="285">
        <f t="shared" si="21"/>
        <v>30</v>
      </c>
      <c r="I158" s="283">
        <v>44173</v>
      </c>
      <c r="J158" s="160">
        <f t="shared" si="22"/>
        <v>-4</v>
      </c>
      <c r="K158" s="263">
        <f t="shared" si="23"/>
        <v>26</v>
      </c>
      <c r="L158" s="100">
        <f t="shared" si="24"/>
        <v>5001.1000000000004</v>
      </c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1:24">
      <c r="A159" s="23">
        <f t="shared" si="20"/>
        <v>150</v>
      </c>
      <c r="B159" s="282" t="s">
        <v>503</v>
      </c>
      <c r="C159" s="282" t="s">
        <v>504</v>
      </c>
      <c r="D159" s="283">
        <v>43982</v>
      </c>
      <c r="E159" s="284">
        <v>746.8</v>
      </c>
      <c r="F159" s="283">
        <v>43977</v>
      </c>
      <c r="G159" s="283">
        <v>43980</v>
      </c>
      <c r="H159" s="285">
        <f t="shared" si="21"/>
        <v>1.5</v>
      </c>
      <c r="I159" s="283">
        <v>43991</v>
      </c>
      <c r="J159" s="160">
        <f t="shared" si="22"/>
        <v>11</v>
      </c>
      <c r="K159" s="263">
        <f t="shared" si="23"/>
        <v>12.5</v>
      </c>
      <c r="L159" s="100">
        <f t="shared" si="24"/>
        <v>9335</v>
      </c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</row>
    <row r="160" spans="1:24">
      <c r="A160" s="23">
        <f t="shared" si="20"/>
        <v>151</v>
      </c>
      <c r="B160" s="282" t="s">
        <v>491</v>
      </c>
      <c r="C160" s="282" t="s">
        <v>485</v>
      </c>
      <c r="D160" s="283">
        <v>43949</v>
      </c>
      <c r="E160" s="284">
        <v>243.07</v>
      </c>
      <c r="F160" s="283">
        <v>43946</v>
      </c>
      <c r="G160" s="283">
        <v>43975</v>
      </c>
      <c r="H160" s="285">
        <f t="shared" si="21"/>
        <v>14.5</v>
      </c>
      <c r="I160" s="283">
        <v>43963</v>
      </c>
      <c r="J160" s="160">
        <f t="shared" si="22"/>
        <v>-12</v>
      </c>
      <c r="K160" s="263">
        <f t="shared" si="23"/>
        <v>2.5</v>
      </c>
      <c r="L160" s="100">
        <f t="shared" si="24"/>
        <v>607.67999999999995</v>
      </c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</row>
    <row r="161" spans="1:24">
      <c r="A161" s="23">
        <f t="shared" si="20"/>
        <v>152</v>
      </c>
      <c r="B161" s="282" t="s">
        <v>476</v>
      </c>
      <c r="C161" s="282" t="s">
        <v>473</v>
      </c>
      <c r="D161" s="283">
        <v>44050</v>
      </c>
      <c r="E161" s="284">
        <v>308.36</v>
      </c>
      <c r="F161" s="283">
        <v>44028</v>
      </c>
      <c r="G161" s="283">
        <v>44044</v>
      </c>
      <c r="H161" s="285">
        <f t="shared" si="21"/>
        <v>8</v>
      </c>
      <c r="I161" s="283">
        <v>44061</v>
      </c>
      <c r="J161" s="160">
        <f t="shared" si="22"/>
        <v>17</v>
      </c>
      <c r="K161" s="263">
        <f t="shared" si="23"/>
        <v>25</v>
      </c>
      <c r="L161" s="100">
        <f t="shared" si="24"/>
        <v>7709</v>
      </c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</row>
    <row r="162" spans="1:24">
      <c r="A162" s="23">
        <f t="shared" si="20"/>
        <v>153</v>
      </c>
      <c r="B162" s="282" t="s">
        <v>491</v>
      </c>
      <c r="C162" s="282" t="s">
        <v>485</v>
      </c>
      <c r="D162" s="283">
        <v>43852</v>
      </c>
      <c r="E162" s="284">
        <v>105.17</v>
      </c>
      <c r="F162" s="283">
        <v>43849</v>
      </c>
      <c r="G162" s="283">
        <v>43879</v>
      </c>
      <c r="H162" s="285">
        <f t="shared" si="21"/>
        <v>15</v>
      </c>
      <c r="I162" s="283">
        <v>43865</v>
      </c>
      <c r="J162" s="160">
        <f t="shared" si="22"/>
        <v>-14</v>
      </c>
      <c r="K162" s="263">
        <f t="shared" si="23"/>
        <v>1</v>
      </c>
      <c r="L162" s="100">
        <f t="shared" si="24"/>
        <v>105.17</v>
      </c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</row>
    <row r="163" spans="1:24">
      <c r="A163" s="23">
        <f t="shared" si="20"/>
        <v>154</v>
      </c>
      <c r="B163" s="282" t="s">
        <v>474</v>
      </c>
      <c r="C163" s="282" t="s">
        <v>475</v>
      </c>
      <c r="D163" s="283">
        <v>44105</v>
      </c>
      <c r="E163" s="284">
        <v>93.43</v>
      </c>
      <c r="F163" s="283">
        <v>44105</v>
      </c>
      <c r="G163" s="283">
        <v>44135</v>
      </c>
      <c r="H163" s="285">
        <f t="shared" si="21"/>
        <v>15</v>
      </c>
      <c r="I163" s="283">
        <v>44117</v>
      </c>
      <c r="J163" s="160">
        <f t="shared" si="22"/>
        <v>-18</v>
      </c>
      <c r="K163" s="263">
        <f t="shared" si="23"/>
        <v>-3</v>
      </c>
      <c r="L163" s="100">
        <f t="shared" si="24"/>
        <v>-280.29000000000002</v>
      </c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</row>
    <row r="164" spans="1:24">
      <c r="A164" s="23">
        <f t="shared" si="20"/>
        <v>155</v>
      </c>
      <c r="B164" s="282" t="s">
        <v>505</v>
      </c>
      <c r="C164" s="282" t="s">
        <v>471</v>
      </c>
      <c r="D164" s="283">
        <v>43982</v>
      </c>
      <c r="E164" s="284">
        <v>125.78</v>
      </c>
      <c r="F164" s="283">
        <v>43951</v>
      </c>
      <c r="G164" s="283">
        <v>43982</v>
      </c>
      <c r="H164" s="285">
        <f t="shared" si="21"/>
        <v>15.5</v>
      </c>
      <c r="I164" s="283">
        <v>44011</v>
      </c>
      <c r="J164" s="160">
        <f t="shared" si="22"/>
        <v>29</v>
      </c>
      <c r="K164" s="263">
        <f t="shared" si="23"/>
        <v>44.5</v>
      </c>
      <c r="L164" s="100">
        <f t="shared" si="24"/>
        <v>5597.21</v>
      </c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</row>
    <row r="165" spans="1:24">
      <c r="A165" s="23">
        <f t="shared" si="20"/>
        <v>156</v>
      </c>
      <c r="B165" s="282" t="s">
        <v>500</v>
      </c>
      <c r="C165" s="282" t="s">
        <v>501</v>
      </c>
      <c r="D165" s="283">
        <v>44020</v>
      </c>
      <c r="E165" s="284">
        <v>111.37</v>
      </c>
      <c r="F165" s="283">
        <v>44011</v>
      </c>
      <c r="G165" s="283">
        <v>44040</v>
      </c>
      <c r="H165" s="285">
        <f t="shared" si="21"/>
        <v>14.5</v>
      </c>
      <c r="I165" s="283">
        <v>44054</v>
      </c>
      <c r="J165" s="160">
        <f t="shared" si="22"/>
        <v>14</v>
      </c>
      <c r="K165" s="263">
        <f t="shared" si="23"/>
        <v>28.5</v>
      </c>
      <c r="L165" s="100">
        <f t="shared" si="24"/>
        <v>3174.05</v>
      </c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</row>
    <row r="166" spans="1:24">
      <c r="A166" s="23">
        <f t="shared" si="20"/>
        <v>157</v>
      </c>
      <c r="B166" s="282" t="s">
        <v>478</v>
      </c>
      <c r="C166" s="282" t="s">
        <v>485</v>
      </c>
      <c r="D166" s="283">
        <v>44146</v>
      </c>
      <c r="E166" s="284">
        <v>97.18</v>
      </c>
      <c r="F166" s="283">
        <v>44113</v>
      </c>
      <c r="G166" s="283">
        <v>44144</v>
      </c>
      <c r="H166" s="285">
        <f t="shared" si="21"/>
        <v>15.5</v>
      </c>
      <c r="I166" s="283">
        <v>44158</v>
      </c>
      <c r="J166" s="160">
        <f t="shared" si="22"/>
        <v>14</v>
      </c>
      <c r="K166" s="263">
        <f t="shared" si="23"/>
        <v>29.5</v>
      </c>
      <c r="L166" s="100">
        <f t="shared" si="24"/>
        <v>2866.81</v>
      </c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</row>
    <row r="167" spans="1:24">
      <c r="A167" s="23">
        <f t="shared" si="20"/>
        <v>158</v>
      </c>
      <c r="B167" s="282" t="s">
        <v>472</v>
      </c>
      <c r="C167" s="282" t="s">
        <v>473</v>
      </c>
      <c r="D167" s="283">
        <v>43861</v>
      </c>
      <c r="E167" s="284">
        <v>34.96</v>
      </c>
      <c r="F167" s="283">
        <v>43830</v>
      </c>
      <c r="G167" s="283">
        <v>43859</v>
      </c>
      <c r="H167" s="285">
        <f t="shared" si="21"/>
        <v>14.5</v>
      </c>
      <c r="I167" s="283">
        <v>43865</v>
      </c>
      <c r="J167" s="160">
        <f t="shared" si="22"/>
        <v>6</v>
      </c>
      <c r="K167" s="263">
        <f t="shared" si="23"/>
        <v>20.5</v>
      </c>
      <c r="L167" s="100">
        <f t="shared" si="24"/>
        <v>716.68</v>
      </c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</row>
    <row r="168" spans="1:24">
      <c r="A168" s="23">
        <f t="shared" si="20"/>
        <v>159</v>
      </c>
      <c r="B168" s="282" t="s">
        <v>506</v>
      </c>
      <c r="C168" s="282" t="s">
        <v>475</v>
      </c>
      <c r="D168" s="283">
        <v>44155</v>
      </c>
      <c r="E168" s="284">
        <v>40</v>
      </c>
      <c r="F168" s="283">
        <v>44120</v>
      </c>
      <c r="G168" s="283">
        <v>44155</v>
      </c>
      <c r="H168" s="285">
        <f t="shared" si="21"/>
        <v>17.5</v>
      </c>
      <c r="I168" s="283">
        <v>44166</v>
      </c>
      <c r="J168" s="160">
        <f t="shared" si="22"/>
        <v>11</v>
      </c>
      <c r="K168" s="263">
        <f t="shared" si="23"/>
        <v>28.5</v>
      </c>
      <c r="L168" s="100">
        <f t="shared" si="24"/>
        <v>1140</v>
      </c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</row>
    <row r="169" spans="1:24">
      <c r="A169" s="23">
        <f t="shared" si="20"/>
        <v>160</v>
      </c>
      <c r="B169" s="282" t="s">
        <v>472</v>
      </c>
      <c r="C169" s="282" t="s">
        <v>473</v>
      </c>
      <c r="D169" s="283">
        <v>44026</v>
      </c>
      <c r="E169" s="284">
        <v>486.49</v>
      </c>
      <c r="F169" s="283">
        <v>43994</v>
      </c>
      <c r="G169" s="283">
        <v>44025</v>
      </c>
      <c r="H169" s="285">
        <f t="shared" si="21"/>
        <v>15.5</v>
      </c>
      <c r="I169" s="283">
        <v>44033</v>
      </c>
      <c r="J169" s="160">
        <f t="shared" si="22"/>
        <v>8</v>
      </c>
      <c r="K169" s="263">
        <f t="shared" si="23"/>
        <v>23.5</v>
      </c>
      <c r="L169" s="100">
        <f t="shared" si="24"/>
        <v>11432.52</v>
      </c>
    </row>
    <row r="170" spans="1:24">
      <c r="A170" s="23">
        <f t="shared" si="20"/>
        <v>161</v>
      </c>
      <c r="B170" s="282" t="s">
        <v>472</v>
      </c>
      <c r="C170" s="282" t="s">
        <v>473</v>
      </c>
      <c r="D170" s="283">
        <v>43836</v>
      </c>
      <c r="E170" s="284">
        <v>39.450000000000003</v>
      </c>
      <c r="F170" s="283">
        <v>43801</v>
      </c>
      <c r="G170" s="283">
        <v>43833</v>
      </c>
      <c r="H170" s="285">
        <f t="shared" si="21"/>
        <v>16</v>
      </c>
      <c r="I170" s="283">
        <v>43844</v>
      </c>
      <c r="J170" s="160">
        <f t="shared" si="22"/>
        <v>11</v>
      </c>
      <c r="K170" s="263">
        <f t="shared" si="23"/>
        <v>27</v>
      </c>
      <c r="L170" s="100">
        <f t="shared" si="24"/>
        <v>1065.1500000000001</v>
      </c>
    </row>
    <row r="171" spans="1:24">
      <c r="A171" s="23">
        <f t="shared" si="20"/>
        <v>162</v>
      </c>
      <c r="B171" s="282" t="s">
        <v>484</v>
      </c>
      <c r="C171" s="282" t="s">
        <v>485</v>
      </c>
      <c r="D171" s="283">
        <v>44146</v>
      </c>
      <c r="E171" s="284">
        <v>1201.5</v>
      </c>
      <c r="F171" s="283">
        <v>44115</v>
      </c>
      <c r="G171" s="283">
        <v>44146</v>
      </c>
      <c r="H171" s="285">
        <f t="shared" si="21"/>
        <v>15.5</v>
      </c>
      <c r="I171" s="283">
        <v>44166</v>
      </c>
      <c r="J171" s="160">
        <f t="shared" si="22"/>
        <v>20</v>
      </c>
      <c r="K171" s="263">
        <f t="shared" ref="K171:K198" si="25">H171+J171</f>
        <v>35.5</v>
      </c>
      <c r="L171" s="100">
        <f t="shared" ref="L171:L198" si="26">ROUND(E171*K171,2)</f>
        <v>42653.25</v>
      </c>
    </row>
    <row r="172" spans="1:24">
      <c r="A172" s="23">
        <f t="shared" si="20"/>
        <v>163</v>
      </c>
      <c r="B172" s="282" t="s">
        <v>507</v>
      </c>
      <c r="C172" s="282" t="s">
        <v>508</v>
      </c>
      <c r="D172" s="283">
        <v>44139</v>
      </c>
      <c r="E172" s="284">
        <v>2895.5</v>
      </c>
      <c r="F172" s="283">
        <v>44105</v>
      </c>
      <c r="G172" s="283">
        <v>44131</v>
      </c>
      <c r="H172" s="285">
        <f t="shared" si="21"/>
        <v>13</v>
      </c>
      <c r="I172" s="283">
        <v>44152</v>
      </c>
      <c r="J172" s="160">
        <f t="shared" si="22"/>
        <v>21</v>
      </c>
      <c r="K172" s="263">
        <f t="shared" si="25"/>
        <v>34</v>
      </c>
      <c r="L172" s="100">
        <f t="shared" si="26"/>
        <v>98447</v>
      </c>
    </row>
    <row r="173" spans="1:24">
      <c r="A173" s="23">
        <f t="shared" si="20"/>
        <v>164</v>
      </c>
      <c r="B173" s="282" t="s">
        <v>476</v>
      </c>
      <c r="C173" s="282" t="s">
        <v>473</v>
      </c>
      <c r="D173" s="283">
        <v>43868</v>
      </c>
      <c r="E173" s="284">
        <v>58.36</v>
      </c>
      <c r="F173" s="283">
        <v>43831</v>
      </c>
      <c r="G173" s="283">
        <v>43862</v>
      </c>
      <c r="H173" s="285">
        <f t="shared" si="21"/>
        <v>15.5</v>
      </c>
      <c r="I173" s="283">
        <v>44252</v>
      </c>
      <c r="J173" s="160">
        <f t="shared" si="22"/>
        <v>390</v>
      </c>
      <c r="K173" s="263">
        <f t="shared" si="25"/>
        <v>405.5</v>
      </c>
      <c r="L173" s="100">
        <f t="shared" si="26"/>
        <v>23664.98</v>
      </c>
    </row>
    <row r="174" spans="1:24">
      <c r="A174" s="23">
        <f t="shared" si="20"/>
        <v>165</v>
      </c>
      <c r="B174" s="282" t="s">
        <v>484</v>
      </c>
      <c r="C174" s="282" t="s">
        <v>485</v>
      </c>
      <c r="D174" s="283">
        <v>44056</v>
      </c>
      <c r="E174" s="284">
        <v>164.75</v>
      </c>
      <c r="F174" s="283">
        <v>44056</v>
      </c>
      <c r="G174" s="283">
        <v>44086</v>
      </c>
      <c r="H174" s="285">
        <f t="shared" si="21"/>
        <v>15</v>
      </c>
      <c r="I174" s="283">
        <v>44075</v>
      </c>
      <c r="J174" s="160">
        <f t="shared" si="22"/>
        <v>-11</v>
      </c>
      <c r="K174" s="263">
        <f t="shared" si="25"/>
        <v>4</v>
      </c>
      <c r="L174" s="100">
        <f t="shared" si="26"/>
        <v>659</v>
      </c>
    </row>
    <row r="175" spans="1:24">
      <c r="A175" s="23">
        <f t="shared" si="20"/>
        <v>166</v>
      </c>
      <c r="B175" s="282" t="s">
        <v>509</v>
      </c>
      <c r="C175" s="282" t="s">
        <v>501</v>
      </c>
      <c r="D175" s="283">
        <v>44136</v>
      </c>
      <c r="E175" s="284">
        <v>174.67</v>
      </c>
      <c r="F175" s="283">
        <v>44136</v>
      </c>
      <c r="G175" s="283">
        <v>44165</v>
      </c>
      <c r="H175" s="285">
        <f t="shared" ref="H175:H200" si="27">IF(G175="",0,(G175-F175)/2)</f>
        <v>14.5</v>
      </c>
      <c r="I175" s="283">
        <v>44145</v>
      </c>
      <c r="J175" s="160">
        <f t="shared" ref="J175:J200" si="28">IF(G175="",I175-F175,I175-G175)</f>
        <v>-20</v>
      </c>
      <c r="K175" s="263">
        <f t="shared" si="25"/>
        <v>-5.5</v>
      </c>
      <c r="L175" s="100">
        <f t="shared" si="26"/>
        <v>-960.69</v>
      </c>
    </row>
    <row r="176" spans="1:24">
      <c r="A176" s="23">
        <f t="shared" si="20"/>
        <v>167</v>
      </c>
      <c r="B176" s="282" t="s">
        <v>510</v>
      </c>
      <c r="C176" s="282" t="s">
        <v>481</v>
      </c>
      <c r="D176" s="283">
        <v>43980</v>
      </c>
      <c r="E176" s="284">
        <v>395.87</v>
      </c>
      <c r="F176" s="283">
        <v>43963</v>
      </c>
      <c r="G176" s="283">
        <v>43980</v>
      </c>
      <c r="H176" s="285">
        <f t="shared" si="27"/>
        <v>8.5</v>
      </c>
      <c r="I176" s="283">
        <v>43984</v>
      </c>
      <c r="J176" s="160">
        <f t="shared" si="28"/>
        <v>4</v>
      </c>
      <c r="K176" s="263">
        <f t="shared" si="25"/>
        <v>12.5</v>
      </c>
      <c r="L176" s="100">
        <f t="shared" si="26"/>
        <v>4948.38</v>
      </c>
    </row>
    <row r="177" spans="1:12">
      <c r="A177" s="23">
        <f t="shared" si="20"/>
        <v>168</v>
      </c>
      <c r="B177" s="282" t="s">
        <v>511</v>
      </c>
      <c r="C177" s="282" t="s">
        <v>501</v>
      </c>
      <c r="D177" s="283">
        <v>43886</v>
      </c>
      <c r="E177" s="284">
        <v>799.51</v>
      </c>
      <c r="F177" s="283">
        <v>43853</v>
      </c>
      <c r="G177" s="283">
        <v>43883</v>
      </c>
      <c r="H177" s="285">
        <f t="shared" si="27"/>
        <v>15</v>
      </c>
      <c r="I177" s="283">
        <v>43893</v>
      </c>
      <c r="J177" s="160">
        <f t="shared" si="28"/>
        <v>10</v>
      </c>
      <c r="K177" s="263">
        <f t="shared" si="25"/>
        <v>25</v>
      </c>
      <c r="L177" s="100">
        <f t="shared" si="26"/>
        <v>19987.75</v>
      </c>
    </row>
    <row r="178" spans="1:12">
      <c r="A178" s="23">
        <f t="shared" si="20"/>
        <v>169</v>
      </c>
      <c r="B178" s="282" t="s">
        <v>449</v>
      </c>
      <c r="C178" s="282" t="s">
        <v>475</v>
      </c>
      <c r="D178" s="283">
        <v>43825</v>
      </c>
      <c r="E178" s="284">
        <v>100</v>
      </c>
      <c r="F178" s="283">
        <v>44156</v>
      </c>
      <c r="G178" s="283">
        <v>44191</v>
      </c>
      <c r="H178" s="285">
        <f t="shared" si="27"/>
        <v>17.5</v>
      </c>
      <c r="I178" s="283">
        <v>43837</v>
      </c>
      <c r="J178" s="160">
        <f t="shared" si="28"/>
        <v>-354</v>
      </c>
      <c r="K178" s="263">
        <f t="shared" si="25"/>
        <v>-336.5</v>
      </c>
      <c r="L178" s="100">
        <f t="shared" si="26"/>
        <v>-33650</v>
      </c>
    </row>
    <row r="179" spans="1:12">
      <c r="A179" s="23">
        <f t="shared" si="20"/>
        <v>170</v>
      </c>
      <c r="B179" s="282" t="s">
        <v>512</v>
      </c>
      <c r="C179" s="282" t="s">
        <v>504</v>
      </c>
      <c r="D179" s="283">
        <v>44078</v>
      </c>
      <c r="E179" s="284">
        <v>50.33</v>
      </c>
      <c r="F179" s="283">
        <v>44077</v>
      </c>
      <c r="G179" s="283">
        <v>44106</v>
      </c>
      <c r="H179" s="285">
        <f t="shared" si="27"/>
        <v>14.5</v>
      </c>
      <c r="I179" s="283">
        <v>44096</v>
      </c>
      <c r="J179" s="160">
        <f t="shared" si="28"/>
        <v>-10</v>
      </c>
      <c r="K179" s="263">
        <f t="shared" si="25"/>
        <v>4.5</v>
      </c>
      <c r="L179" s="100">
        <f t="shared" si="26"/>
        <v>226.49</v>
      </c>
    </row>
    <row r="180" spans="1:12">
      <c r="A180" s="23">
        <f t="shared" si="20"/>
        <v>171</v>
      </c>
      <c r="B180" s="282" t="s">
        <v>500</v>
      </c>
      <c r="C180" s="282" t="s">
        <v>501</v>
      </c>
      <c r="D180" s="283">
        <v>43918</v>
      </c>
      <c r="E180" s="284">
        <v>100</v>
      </c>
      <c r="F180" s="283">
        <v>43890</v>
      </c>
      <c r="G180" s="283">
        <v>43918</v>
      </c>
      <c r="H180" s="285">
        <f t="shared" si="27"/>
        <v>14</v>
      </c>
      <c r="I180" s="283">
        <v>43935</v>
      </c>
      <c r="J180" s="160">
        <f t="shared" si="28"/>
        <v>17</v>
      </c>
      <c r="K180" s="263">
        <f t="shared" si="25"/>
        <v>31</v>
      </c>
      <c r="L180" s="100">
        <f t="shared" si="26"/>
        <v>3100</v>
      </c>
    </row>
    <row r="181" spans="1:12">
      <c r="A181" s="23">
        <f t="shared" si="20"/>
        <v>172</v>
      </c>
      <c r="B181" s="282" t="s">
        <v>491</v>
      </c>
      <c r="C181" s="282" t="s">
        <v>485</v>
      </c>
      <c r="D181" s="283">
        <v>43943</v>
      </c>
      <c r="E181" s="284">
        <v>266.11</v>
      </c>
      <c r="F181" s="283">
        <v>43940</v>
      </c>
      <c r="G181" s="283">
        <v>43969</v>
      </c>
      <c r="H181" s="285">
        <f t="shared" si="27"/>
        <v>14.5</v>
      </c>
      <c r="I181" s="283">
        <v>43956</v>
      </c>
      <c r="J181" s="160">
        <f t="shared" si="28"/>
        <v>-13</v>
      </c>
      <c r="K181" s="263">
        <f t="shared" si="25"/>
        <v>1.5</v>
      </c>
      <c r="L181" s="100">
        <f t="shared" si="26"/>
        <v>399.17</v>
      </c>
    </row>
    <row r="182" spans="1:12">
      <c r="A182" s="23">
        <f t="shared" si="20"/>
        <v>173</v>
      </c>
      <c r="B182" s="282" t="s">
        <v>499</v>
      </c>
      <c r="C182" s="282" t="s">
        <v>494</v>
      </c>
      <c r="D182" s="283">
        <v>43826</v>
      </c>
      <c r="E182" s="284">
        <v>31.95</v>
      </c>
      <c r="F182" s="283">
        <v>43783</v>
      </c>
      <c r="G182" s="283">
        <v>43812</v>
      </c>
      <c r="H182" s="285">
        <f t="shared" si="27"/>
        <v>14.5</v>
      </c>
      <c r="I182" s="283">
        <v>43837</v>
      </c>
      <c r="J182" s="160">
        <f t="shared" si="28"/>
        <v>25</v>
      </c>
      <c r="K182" s="263">
        <f t="shared" si="25"/>
        <v>39.5</v>
      </c>
      <c r="L182" s="100">
        <f t="shared" si="26"/>
        <v>1262.03</v>
      </c>
    </row>
    <row r="183" spans="1:12">
      <c r="A183" s="23">
        <f t="shared" si="20"/>
        <v>174</v>
      </c>
      <c r="B183" s="282" t="s">
        <v>513</v>
      </c>
      <c r="C183" s="282" t="s">
        <v>501</v>
      </c>
      <c r="D183" s="283">
        <v>44013</v>
      </c>
      <c r="E183" s="284">
        <v>1200.23</v>
      </c>
      <c r="F183" s="283">
        <v>43983</v>
      </c>
      <c r="G183" s="283">
        <v>44012</v>
      </c>
      <c r="H183" s="285">
        <f t="shared" si="27"/>
        <v>14.5</v>
      </c>
      <c r="I183" s="283">
        <v>44040</v>
      </c>
      <c r="J183" s="160">
        <f t="shared" si="28"/>
        <v>28</v>
      </c>
      <c r="K183" s="263">
        <f t="shared" si="25"/>
        <v>42.5</v>
      </c>
      <c r="L183" s="100">
        <f t="shared" si="26"/>
        <v>51009.78</v>
      </c>
    </row>
    <row r="184" spans="1:12">
      <c r="A184" s="23">
        <f t="shared" si="20"/>
        <v>175</v>
      </c>
      <c r="B184" s="282" t="s">
        <v>514</v>
      </c>
      <c r="C184" s="282" t="s">
        <v>515</v>
      </c>
      <c r="D184" s="283">
        <v>44097</v>
      </c>
      <c r="E184" s="284">
        <v>250</v>
      </c>
      <c r="F184" s="283">
        <v>44160</v>
      </c>
      <c r="G184" s="283">
        <v>44524</v>
      </c>
      <c r="H184" s="285">
        <f t="shared" si="27"/>
        <v>182</v>
      </c>
      <c r="I184" s="283">
        <v>44124</v>
      </c>
      <c r="J184" s="160">
        <f t="shared" si="28"/>
        <v>-400</v>
      </c>
      <c r="K184" s="263">
        <f t="shared" si="25"/>
        <v>-218</v>
      </c>
      <c r="L184" s="100">
        <f t="shared" si="26"/>
        <v>-54500</v>
      </c>
    </row>
    <row r="185" spans="1:12">
      <c r="A185" s="23">
        <f t="shared" si="20"/>
        <v>176</v>
      </c>
      <c r="B185" s="282" t="s">
        <v>472</v>
      </c>
      <c r="C185" s="282" t="s">
        <v>473</v>
      </c>
      <c r="D185" s="283">
        <v>43998</v>
      </c>
      <c r="E185" s="284">
        <v>83.79</v>
      </c>
      <c r="F185" s="283">
        <v>43963</v>
      </c>
      <c r="G185" s="283">
        <v>43994</v>
      </c>
      <c r="H185" s="285">
        <f t="shared" si="27"/>
        <v>15.5</v>
      </c>
      <c r="I185" s="283">
        <v>44005</v>
      </c>
      <c r="J185" s="160">
        <f t="shared" si="28"/>
        <v>11</v>
      </c>
      <c r="K185" s="263">
        <f t="shared" si="25"/>
        <v>26.5</v>
      </c>
      <c r="L185" s="100">
        <f t="shared" si="26"/>
        <v>2220.44</v>
      </c>
    </row>
    <row r="186" spans="1:12">
      <c r="A186" s="23">
        <f t="shared" si="20"/>
        <v>177</v>
      </c>
      <c r="B186" s="282" t="s">
        <v>467</v>
      </c>
      <c r="C186" s="282" t="s">
        <v>475</v>
      </c>
      <c r="D186" s="283">
        <v>43839</v>
      </c>
      <c r="E186" s="284">
        <v>123.88</v>
      </c>
      <c r="F186" s="283">
        <v>43808</v>
      </c>
      <c r="G186" s="283">
        <v>43839</v>
      </c>
      <c r="H186" s="285">
        <f t="shared" si="27"/>
        <v>15.5</v>
      </c>
      <c r="I186" s="283">
        <v>43858</v>
      </c>
      <c r="J186" s="160">
        <f t="shared" si="28"/>
        <v>19</v>
      </c>
      <c r="K186" s="263">
        <f t="shared" si="25"/>
        <v>34.5</v>
      </c>
      <c r="L186" s="100">
        <f t="shared" si="26"/>
        <v>4273.8599999999997</v>
      </c>
    </row>
    <row r="187" spans="1:12">
      <c r="A187" s="23">
        <f t="shared" si="20"/>
        <v>178</v>
      </c>
      <c r="B187" s="282" t="s">
        <v>507</v>
      </c>
      <c r="C187" s="282" t="s">
        <v>508</v>
      </c>
      <c r="D187" s="283">
        <v>44110</v>
      </c>
      <c r="E187" s="284">
        <v>1984</v>
      </c>
      <c r="F187" s="283">
        <v>44075</v>
      </c>
      <c r="G187" s="283">
        <v>44104</v>
      </c>
      <c r="H187" s="285">
        <f t="shared" si="27"/>
        <v>14.5</v>
      </c>
      <c r="I187" s="283">
        <v>44117</v>
      </c>
      <c r="J187" s="160">
        <f t="shared" si="28"/>
        <v>13</v>
      </c>
      <c r="K187" s="263">
        <f t="shared" si="25"/>
        <v>27.5</v>
      </c>
      <c r="L187" s="100">
        <f t="shared" si="26"/>
        <v>54560</v>
      </c>
    </row>
    <row r="188" spans="1:12">
      <c r="A188" s="23">
        <f t="shared" si="20"/>
        <v>179</v>
      </c>
      <c r="B188" s="282" t="s">
        <v>472</v>
      </c>
      <c r="C188" s="282" t="s">
        <v>473</v>
      </c>
      <c r="D188" s="283">
        <v>44096</v>
      </c>
      <c r="E188" s="284">
        <v>2160.17</v>
      </c>
      <c r="F188" s="283">
        <v>44063</v>
      </c>
      <c r="G188" s="283">
        <v>44092</v>
      </c>
      <c r="H188" s="285">
        <f t="shared" si="27"/>
        <v>14.5</v>
      </c>
      <c r="I188" s="283">
        <v>44102</v>
      </c>
      <c r="J188" s="160">
        <f t="shared" si="28"/>
        <v>10</v>
      </c>
      <c r="K188" s="263">
        <f t="shared" si="25"/>
        <v>24.5</v>
      </c>
      <c r="L188" s="100">
        <f t="shared" si="26"/>
        <v>52924.17</v>
      </c>
    </row>
    <row r="189" spans="1:12">
      <c r="A189" s="23">
        <f t="shared" si="20"/>
        <v>180</v>
      </c>
      <c r="B189" s="282" t="s">
        <v>343</v>
      </c>
      <c r="C189" s="282" t="s">
        <v>501</v>
      </c>
      <c r="D189" s="283">
        <v>44122</v>
      </c>
      <c r="E189" s="284">
        <v>177.06</v>
      </c>
      <c r="F189" s="283">
        <v>44093</v>
      </c>
      <c r="G189" s="283">
        <v>44122</v>
      </c>
      <c r="H189" s="285">
        <f t="shared" si="27"/>
        <v>14.5</v>
      </c>
      <c r="I189" s="283">
        <v>44145</v>
      </c>
      <c r="J189" s="160">
        <f t="shared" si="28"/>
        <v>23</v>
      </c>
      <c r="K189" s="263">
        <f t="shared" si="25"/>
        <v>37.5</v>
      </c>
      <c r="L189" s="100">
        <f t="shared" si="26"/>
        <v>6639.75</v>
      </c>
    </row>
    <row r="190" spans="1:12">
      <c r="A190" s="23">
        <f t="shared" si="20"/>
        <v>181</v>
      </c>
      <c r="B190" s="282" t="s">
        <v>472</v>
      </c>
      <c r="C190" s="282" t="s">
        <v>485</v>
      </c>
      <c r="D190" s="283">
        <v>43910</v>
      </c>
      <c r="E190" s="284">
        <v>176.41</v>
      </c>
      <c r="F190" s="283">
        <v>43880</v>
      </c>
      <c r="G190" s="283">
        <v>43909</v>
      </c>
      <c r="H190" s="285">
        <f t="shared" si="27"/>
        <v>14.5</v>
      </c>
      <c r="I190" s="283">
        <v>43914</v>
      </c>
      <c r="J190" s="160">
        <f t="shared" si="28"/>
        <v>5</v>
      </c>
      <c r="K190" s="263">
        <f t="shared" si="25"/>
        <v>19.5</v>
      </c>
      <c r="L190" s="100">
        <f t="shared" si="26"/>
        <v>3440</v>
      </c>
    </row>
    <row r="191" spans="1:12">
      <c r="A191" s="23">
        <f t="shared" si="20"/>
        <v>182</v>
      </c>
      <c r="B191" s="282" t="s">
        <v>507</v>
      </c>
      <c r="C191" s="282" t="s">
        <v>508</v>
      </c>
      <c r="D191" s="283">
        <v>44168</v>
      </c>
      <c r="E191" s="284">
        <v>4800.6000000000004</v>
      </c>
      <c r="F191" s="283">
        <v>44136</v>
      </c>
      <c r="G191" s="283">
        <v>44165</v>
      </c>
      <c r="H191" s="285">
        <f t="shared" si="27"/>
        <v>14.5</v>
      </c>
      <c r="I191" s="283">
        <v>44186</v>
      </c>
      <c r="J191" s="160">
        <f t="shared" si="28"/>
        <v>21</v>
      </c>
      <c r="K191" s="263">
        <f t="shared" si="25"/>
        <v>35.5</v>
      </c>
      <c r="L191" s="100">
        <f t="shared" si="26"/>
        <v>170421.3</v>
      </c>
    </row>
    <row r="192" spans="1:12">
      <c r="A192" s="23">
        <f t="shared" si="20"/>
        <v>183</v>
      </c>
      <c r="B192" s="282" t="s">
        <v>472</v>
      </c>
      <c r="C192" s="282" t="s">
        <v>473</v>
      </c>
      <c r="D192" s="283">
        <v>43987</v>
      </c>
      <c r="E192" s="284">
        <v>325.08</v>
      </c>
      <c r="F192" s="283">
        <v>43956</v>
      </c>
      <c r="G192" s="283">
        <v>43986</v>
      </c>
      <c r="H192" s="285">
        <f t="shared" si="27"/>
        <v>15</v>
      </c>
      <c r="I192" s="283">
        <v>43998</v>
      </c>
      <c r="J192" s="160">
        <f t="shared" si="28"/>
        <v>12</v>
      </c>
      <c r="K192" s="263">
        <f t="shared" si="25"/>
        <v>27</v>
      </c>
      <c r="L192" s="100">
        <f t="shared" si="26"/>
        <v>8777.16</v>
      </c>
    </row>
    <row r="193" spans="1:12">
      <c r="A193" s="23">
        <f t="shared" si="20"/>
        <v>184</v>
      </c>
      <c r="B193" s="282" t="s">
        <v>472</v>
      </c>
      <c r="C193" s="282" t="s">
        <v>473</v>
      </c>
      <c r="D193" s="283">
        <v>43997</v>
      </c>
      <c r="E193" s="284">
        <v>36.18</v>
      </c>
      <c r="F193" s="283">
        <v>43963</v>
      </c>
      <c r="G193" s="283">
        <v>43993</v>
      </c>
      <c r="H193" s="285">
        <f t="shared" si="27"/>
        <v>15</v>
      </c>
      <c r="I193" s="283">
        <v>44005</v>
      </c>
      <c r="J193" s="160">
        <f t="shared" si="28"/>
        <v>12</v>
      </c>
      <c r="K193" s="263">
        <f t="shared" si="25"/>
        <v>27</v>
      </c>
      <c r="L193" s="100">
        <f t="shared" si="26"/>
        <v>976.86</v>
      </c>
    </row>
    <row r="194" spans="1:12">
      <c r="A194" s="23">
        <f t="shared" si="20"/>
        <v>185</v>
      </c>
      <c r="B194" s="282" t="s">
        <v>516</v>
      </c>
      <c r="C194" s="282" t="s">
        <v>475</v>
      </c>
      <c r="D194" s="283">
        <v>44021</v>
      </c>
      <c r="E194" s="284">
        <v>98.07</v>
      </c>
      <c r="F194" s="283">
        <v>43990</v>
      </c>
      <c r="G194" s="283">
        <v>44021</v>
      </c>
      <c r="H194" s="285">
        <f t="shared" si="27"/>
        <v>15.5</v>
      </c>
      <c r="I194" s="283">
        <v>44040</v>
      </c>
      <c r="J194" s="160">
        <f t="shared" si="28"/>
        <v>19</v>
      </c>
      <c r="K194" s="263">
        <f t="shared" si="25"/>
        <v>34.5</v>
      </c>
      <c r="L194" s="100">
        <f t="shared" si="26"/>
        <v>3383.42</v>
      </c>
    </row>
    <row r="195" spans="1:12">
      <c r="A195" s="23">
        <f t="shared" si="20"/>
        <v>186</v>
      </c>
      <c r="B195" s="282" t="s">
        <v>517</v>
      </c>
      <c r="C195" s="282" t="s">
        <v>475</v>
      </c>
      <c r="D195" s="283">
        <v>43985</v>
      </c>
      <c r="E195" s="284">
        <v>61.28</v>
      </c>
      <c r="F195" s="283">
        <v>43983</v>
      </c>
      <c r="G195" s="283">
        <v>44012</v>
      </c>
      <c r="H195" s="285">
        <f t="shared" si="27"/>
        <v>14.5</v>
      </c>
      <c r="I195" s="283">
        <v>43998</v>
      </c>
      <c r="J195" s="160">
        <f t="shared" si="28"/>
        <v>-14</v>
      </c>
      <c r="K195" s="263">
        <f t="shared" si="25"/>
        <v>0.5</v>
      </c>
      <c r="L195" s="100">
        <f t="shared" si="26"/>
        <v>30.64</v>
      </c>
    </row>
    <row r="196" spans="1:12">
      <c r="A196" s="23">
        <f t="shared" si="20"/>
        <v>187</v>
      </c>
      <c r="B196" s="282" t="s">
        <v>518</v>
      </c>
      <c r="C196" s="282" t="s">
        <v>473</v>
      </c>
      <c r="D196" s="283">
        <v>44114</v>
      </c>
      <c r="E196" s="284">
        <v>15.97</v>
      </c>
      <c r="F196" s="283">
        <v>44075</v>
      </c>
      <c r="G196" s="283">
        <v>44105</v>
      </c>
      <c r="H196" s="285">
        <f t="shared" si="27"/>
        <v>15</v>
      </c>
      <c r="I196" s="283">
        <v>44131</v>
      </c>
      <c r="J196" s="160">
        <f t="shared" si="28"/>
        <v>26</v>
      </c>
      <c r="K196" s="263">
        <f t="shared" si="25"/>
        <v>41</v>
      </c>
      <c r="L196" s="100">
        <f t="shared" si="26"/>
        <v>654.77</v>
      </c>
    </row>
    <row r="197" spans="1:12">
      <c r="A197" s="23">
        <f t="shared" si="20"/>
        <v>188</v>
      </c>
      <c r="B197" s="282" t="s">
        <v>472</v>
      </c>
      <c r="C197" s="282" t="s">
        <v>473</v>
      </c>
      <c r="D197" s="283">
        <v>43955</v>
      </c>
      <c r="E197" s="284">
        <v>153</v>
      </c>
      <c r="F197" s="283">
        <v>43922</v>
      </c>
      <c r="G197" s="283">
        <v>43952</v>
      </c>
      <c r="H197" s="285">
        <f t="shared" si="27"/>
        <v>15</v>
      </c>
      <c r="I197" s="283">
        <v>43963</v>
      </c>
      <c r="J197" s="160">
        <f t="shared" si="28"/>
        <v>11</v>
      </c>
      <c r="K197" s="263">
        <f t="shared" si="25"/>
        <v>26</v>
      </c>
      <c r="L197" s="100">
        <f t="shared" si="26"/>
        <v>3978</v>
      </c>
    </row>
    <row r="198" spans="1:12">
      <c r="A198" s="23">
        <f t="shared" si="20"/>
        <v>189</v>
      </c>
      <c r="B198" s="282" t="s">
        <v>520</v>
      </c>
      <c r="C198" s="282" t="s">
        <v>521</v>
      </c>
      <c r="D198" s="283">
        <v>43952</v>
      </c>
      <c r="E198" s="284">
        <v>2975</v>
      </c>
      <c r="F198" s="283">
        <v>43952</v>
      </c>
      <c r="G198" s="283">
        <v>43982</v>
      </c>
      <c r="H198" s="285">
        <f t="shared" si="27"/>
        <v>15</v>
      </c>
      <c r="I198" s="283">
        <v>43956</v>
      </c>
      <c r="J198" s="160">
        <f t="shared" si="28"/>
        <v>-26</v>
      </c>
      <c r="K198" s="263">
        <f t="shared" si="25"/>
        <v>-11</v>
      </c>
      <c r="L198" s="100">
        <f t="shared" si="26"/>
        <v>-32725</v>
      </c>
    </row>
    <row r="199" spans="1:12">
      <c r="A199" s="23">
        <f t="shared" si="20"/>
        <v>190</v>
      </c>
      <c r="B199" s="282" t="s">
        <v>469</v>
      </c>
      <c r="C199" s="282" t="s">
        <v>522</v>
      </c>
      <c r="D199" s="283">
        <v>43863</v>
      </c>
      <c r="E199" s="284">
        <v>100</v>
      </c>
      <c r="F199" s="283">
        <v>43831</v>
      </c>
      <c r="G199" s="283">
        <v>43861</v>
      </c>
      <c r="H199" s="285">
        <f t="shared" si="27"/>
        <v>15</v>
      </c>
      <c r="I199" s="283">
        <v>43886</v>
      </c>
      <c r="J199" s="160">
        <f t="shared" si="28"/>
        <v>25</v>
      </c>
      <c r="K199" s="263">
        <f t="shared" ref="K199:K200" si="29">H199+J199</f>
        <v>40</v>
      </c>
      <c r="L199" s="100">
        <f t="shared" ref="L199:L200" si="30">ROUND(E199*K199,2)</f>
        <v>4000</v>
      </c>
    </row>
    <row r="200" spans="1:12">
      <c r="A200" s="23">
        <f t="shared" si="20"/>
        <v>191</v>
      </c>
      <c r="B200" s="282" t="s">
        <v>520</v>
      </c>
      <c r="C200" s="282" t="s">
        <v>521</v>
      </c>
      <c r="D200" s="283">
        <v>44136</v>
      </c>
      <c r="E200" s="284">
        <v>700</v>
      </c>
      <c r="F200" s="283">
        <v>44136</v>
      </c>
      <c r="G200" s="283">
        <v>44165</v>
      </c>
      <c r="H200" s="285">
        <f t="shared" si="27"/>
        <v>14.5</v>
      </c>
      <c r="I200" s="283">
        <v>44138</v>
      </c>
      <c r="J200" s="160">
        <f t="shared" si="28"/>
        <v>-27</v>
      </c>
      <c r="K200" s="263">
        <f t="shared" si="29"/>
        <v>-12.5</v>
      </c>
      <c r="L200" s="100">
        <f t="shared" si="30"/>
        <v>-8750</v>
      </c>
    </row>
    <row r="201" spans="1:12">
      <c r="A201" s="23"/>
      <c r="B201" s="27"/>
      <c r="C201" s="27"/>
      <c r="D201" s="27"/>
      <c r="E201" s="26"/>
      <c r="F201" s="27"/>
      <c r="G201" s="27"/>
      <c r="H201" s="27"/>
      <c r="I201" s="27"/>
      <c r="J201" s="27"/>
      <c r="K201" s="27"/>
      <c r="L201" s="26"/>
    </row>
    <row r="202" spans="1:12" ht="15.75" thickBot="1">
      <c r="A202" s="23">
        <f>A200+1</f>
        <v>192</v>
      </c>
      <c r="B202" s="27" t="s">
        <v>19</v>
      </c>
      <c r="C202" s="27"/>
      <c r="D202" s="27"/>
      <c r="E202" s="95">
        <f>SUM(E10:E200)</f>
        <v>91161.53</v>
      </c>
      <c r="F202" s="27"/>
      <c r="G202" s="27"/>
      <c r="H202" s="27"/>
      <c r="I202" s="27"/>
      <c r="J202" s="27"/>
      <c r="K202" s="27"/>
      <c r="L202" s="95">
        <f>SUM(L10:L200)</f>
        <v>1276242.7599999998</v>
      </c>
    </row>
    <row r="203" spans="1:12" ht="15.75" thickTop="1">
      <c r="A203" s="23"/>
      <c r="B203" s="27"/>
      <c r="C203" s="27"/>
      <c r="D203" s="27"/>
      <c r="E203" s="26"/>
      <c r="F203" s="27"/>
      <c r="G203" s="27"/>
      <c r="H203" s="27"/>
      <c r="I203" s="27"/>
      <c r="J203" s="27"/>
      <c r="K203" s="27"/>
      <c r="L203" s="26"/>
    </row>
    <row r="204" spans="1:12" ht="16.5" thickBot="1">
      <c r="A204" s="23">
        <f>A202+1</f>
        <v>193</v>
      </c>
      <c r="B204" s="27" t="s">
        <v>92</v>
      </c>
      <c r="C204" s="27"/>
      <c r="D204" s="27"/>
      <c r="E204" s="26"/>
      <c r="F204" s="27"/>
      <c r="G204" s="27"/>
      <c r="H204" s="27"/>
      <c r="I204" s="27"/>
      <c r="J204" s="27"/>
      <c r="K204" s="27"/>
      <c r="L204" s="261">
        <f>IF(E202=0,0,L202/E202)</f>
        <v>13.999795308393791</v>
      </c>
    </row>
    <row r="205" spans="1:12" ht="15.75" thickTop="1">
      <c r="A205" s="23"/>
      <c r="B205" s="27"/>
      <c r="C205" s="27"/>
      <c r="D205" s="27"/>
      <c r="E205" s="26"/>
      <c r="F205" s="27"/>
      <c r="G205" s="27"/>
      <c r="H205" s="27"/>
      <c r="I205" s="27"/>
      <c r="J205" s="27"/>
      <c r="K205" s="27"/>
      <c r="L205" s="26"/>
    </row>
    <row r="207" spans="1:12" s="107" customFormat="1">
      <c r="E207" s="174"/>
      <c r="L207" s="174"/>
    </row>
    <row r="208" spans="1:12" s="107" customFormat="1">
      <c r="E208" s="174"/>
      <c r="L208" s="174"/>
    </row>
    <row r="209" spans="1:1">
      <c r="A209" s="107"/>
    </row>
  </sheetData>
  <autoFilter ref="A7:L200" xr:uid="{00000000-0009-0000-0000-00000F000000}"/>
  <mergeCells count="4">
    <mergeCell ref="A2:L2"/>
    <mergeCell ref="A3:L3"/>
    <mergeCell ref="A4:L4"/>
    <mergeCell ref="A5:L5"/>
  </mergeCells>
  <printOptions horizontalCentered="1"/>
  <pageMargins left="0.7" right="0.7" top="0.75" bottom="0.75" header="0.3" footer="0.3"/>
  <pageSetup scale="50" fitToHeight="0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539D-8B64-4ACB-87E6-FA0469D8D22A}">
  <sheetPr>
    <tabColor theme="4" tint="0.39997558519241921"/>
    <pageSetUpPr fitToPage="1"/>
  </sheetPr>
  <dimension ref="A1:I47"/>
  <sheetViews>
    <sheetView showGridLines="0" zoomScale="85" zoomScaleNormal="85" workbookViewId="0">
      <pane ySplit="5" topLeftCell="A27" activePane="bottomLeft" state="frozen"/>
      <selection activeCell="A6" sqref="A6"/>
      <selection pane="bottomLeft" activeCell="B30" sqref="B30:H42"/>
    </sheetView>
  </sheetViews>
  <sheetFormatPr defaultColWidth="8.88671875" defaultRowHeight="15"/>
  <cols>
    <col min="1" max="1" width="9.77734375" style="338" customWidth="1"/>
    <col min="2" max="2" width="20.77734375" style="338" customWidth="1"/>
    <col min="3" max="3" width="14.77734375" style="338" customWidth="1"/>
    <col min="4" max="4" width="10.77734375" style="338" customWidth="1"/>
    <col min="5" max="5" width="14.77734375" style="337" customWidth="1"/>
    <col min="6" max="6" width="11.77734375" style="338" customWidth="1"/>
    <col min="7" max="7" width="12.77734375" style="338" customWidth="1"/>
    <col min="8" max="8" width="16.77734375" style="338" customWidth="1"/>
    <col min="9" max="9" width="16.77734375" style="335" customWidth="1"/>
    <col min="10" max="16384" width="8.88671875" style="338"/>
  </cols>
  <sheetData>
    <row r="1" spans="1:9" ht="15.75">
      <c r="A1" s="338" t="s">
        <v>554</v>
      </c>
      <c r="I1" s="336"/>
    </row>
    <row r="2" spans="1:9" ht="15.75">
      <c r="A2" s="437" t="str">
        <f>'General Inputs'!$B$2</f>
        <v>Delta Natural Gas Company</v>
      </c>
      <c r="B2" s="437"/>
      <c r="C2" s="437"/>
      <c r="D2" s="437"/>
      <c r="E2" s="437"/>
      <c r="F2" s="437"/>
      <c r="G2" s="437"/>
      <c r="H2" s="437"/>
      <c r="I2" s="437"/>
    </row>
    <row r="3" spans="1:9" ht="15.75">
      <c r="A3" s="437" t="str">
        <f>'General Inputs'!$D$34&amp;" "&amp;'General Inputs'!$E$34</f>
        <v>Case No. 2021-00185</v>
      </c>
      <c r="B3" s="437"/>
      <c r="C3" s="437"/>
      <c r="D3" s="437"/>
      <c r="E3" s="437"/>
      <c r="F3" s="437"/>
      <c r="G3" s="437"/>
      <c r="H3" s="437"/>
      <c r="I3" s="437"/>
    </row>
    <row r="4" spans="1:9" ht="15.75">
      <c r="A4" s="437" t="str">
        <f>"For the Year Ended "&amp;TEXT('General Inputs'!E28,"Mmmm dd, yyyy")</f>
        <v>For the Year Ended December 31, 2020</v>
      </c>
      <c r="B4" s="437"/>
      <c r="C4" s="437"/>
      <c r="D4" s="437"/>
      <c r="E4" s="437"/>
      <c r="F4" s="437"/>
      <c r="G4" s="437"/>
      <c r="H4" s="437"/>
      <c r="I4" s="437"/>
    </row>
    <row r="5" spans="1:9" ht="16.5" thickBot="1">
      <c r="A5" s="438" t="s">
        <v>219</v>
      </c>
      <c r="B5" s="438"/>
      <c r="C5" s="438"/>
      <c r="D5" s="438"/>
      <c r="E5" s="438"/>
      <c r="F5" s="438"/>
      <c r="G5" s="438"/>
      <c r="H5" s="438"/>
      <c r="I5" s="438"/>
    </row>
    <row r="8" spans="1:9">
      <c r="H8" s="335"/>
    </row>
    <row r="9" spans="1:9" ht="15.75">
      <c r="A9" s="334"/>
      <c r="B9" s="334"/>
      <c r="C9" s="333"/>
      <c r="D9" s="53" t="s">
        <v>172</v>
      </c>
      <c r="E9" s="53" t="s">
        <v>239</v>
      </c>
      <c r="F9" s="340"/>
      <c r="G9" s="340"/>
      <c r="H9" s="167" t="s">
        <v>171</v>
      </c>
      <c r="I9" s="341"/>
    </row>
    <row r="10" spans="1:9" ht="15.75">
      <c r="A10" s="53" t="s">
        <v>23</v>
      </c>
      <c r="B10" s="333" t="s">
        <v>169</v>
      </c>
      <c r="C10" s="333" t="s">
        <v>38</v>
      </c>
      <c r="D10" s="53" t="s">
        <v>38</v>
      </c>
      <c r="E10" s="53" t="s">
        <v>39</v>
      </c>
      <c r="F10" s="53" t="s">
        <v>39</v>
      </c>
      <c r="G10" s="53" t="s">
        <v>19</v>
      </c>
      <c r="H10" s="167" t="s">
        <v>39</v>
      </c>
      <c r="I10" s="342" t="s">
        <v>28</v>
      </c>
    </row>
    <row r="11" spans="1:9" ht="20.25">
      <c r="A11" s="190" t="s">
        <v>24</v>
      </c>
      <c r="B11" s="343" t="s">
        <v>170</v>
      </c>
      <c r="C11" s="343" t="s">
        <v>25</v>
      </c>
      <c r="D11" s="190" t="s">
        <v>30</v>
      </c>
      <c r="E11" s="190" t="s">
        <v>40</v>
      </c>
      <c r="F11" s="190" t="s">
        <v>30</v>
      </c>
      <c r="G11" s="190" t="s">
        <v>30</v>
      </c>
      <c r="H11" s="196" t="s">
        <v>15</v>
      </c>
      <c r="I11" s="344" t="s">
        <v>33</v>
      </c>
    </row>
    <row r="12" spans="1:9" ht="15.75">
      <c r="A12" s="54"/>
      <c r="B12" s="22" t="s">
        <v>34</v>
      </c>
      <c r="C12" s="22" t="s">
        <v>35</v>
      </c>
      <c r="D12" s="71" t="s">
        <v>180</v>
      </c>
      <c r="E12" s="71" t="s">
        <v>43</v>
      </c>
      <c r="F12" s="22" t="s">
        <v>181</v>
      </c>
      <c r="G12" s="22" t="s">
        <v>164</v>
      </c>
      <c r="H12" s="30" t="s">
        <v>63</v>
      </c>
      <c r="I12" s="30" t="s">
        <v>182</v>
      </c>
    </row>
    <row r="13" spans="1:9">
      <c r="H13" s="335"/>
    </row>
    <row r="14" spans="1:9">
      <c r="A14" s="9">
        <v>1</v>
      </c>
      <c r="B14" s="345" t="s">
        <v>555</v>
      </c>
      <c r="C14" s="239">
        <v>44044</v>
      </c>
      <c r="D14" s="346">
        <f>(EOMONTH(C14,0)-C14+1)/2</f>
        <v>15.5</v>
      </c>
      <c r="E14" s="132">
        <v>44092</v>
      </c>
      <c r="F14" s="347">
        <f>IF(E14="No payment",0,E14-EOMONTH(C14,0))</f>
        <v>18</v>
      </c>
      <c r="G14" s="347">
        <f t="shared" ref="G14:G25" si="0">D14+F14</f>
        <v>33.5</v>
      </c>
      <c r="H14" s="181">
        <v>-717589.99</v>
      </c>
      <c r="I14" s="348">
        <f>ROUND(G14*H14,2)</f>
        <v>-24039264.670000002</v>
      </c>
    </row>
    <row r="15" spans="1:9">
      <c r="A15" s="9">
        <f>A14+1</f>
        <v>2</v>
      </c>
      <c r="B15" s="9"/>
      <c r="C15" s="239">
        <f>EOMONTH(C14,0)+1</f>
        <v>44075</v>
      </c>
      <c r="D15" s="346">
        <f t="shared" ref="D15:D24" si="1">(EOMONTH(C15,0)-C15+1)/2</f>
        <v>15</v>
      </c>
      <c r="E15" s="132">
        <v>44123</v>
      </c>
      <c r="F15" s="347">
        <f t="shared" ref="F15:F25" si="2">IF(E15="No payment",0,E15-EOMONTH(C15,0))</f>
        <v>19</v>
      </c>
      <c r="G15" s="347">
        <f t="shared" si="0"/>
        <v>34</v>
      </c>
      <c r="H15" s="181">
        <v>-32344.720000000001</v>
      </c>
      <c r="I15" s="348">
        <f>ROUND(G15*H15,2)</f>
        <v>-1099720.48</v>
      </c>
    </row>
    <row r="16" spans="1:9">
      <c r="A16" s="9">
        <f t="shared" ref="A16:A25" si="3">A15+1</f>
        <v>3</v>
      </c>
      <c r="B16" s="9"/>
      <c r="C16" s="239">
        <f t="shared" ref="C16:C25" si="4">EOMONTH(C15,0)+1</f>
        <v>44105</v>
      </c>
      <c r="D16" s="346">
        <f t="shared" si="1"/>
        <v>15.5</v>
      </c>
      <c r="E16" s="132">
        <v>44154</v>
      </c>
      <c r="F16" s="347">
        <f t="shared" si="2"/>
        <v>19</v>
      </c>
      <c r="G16" s="347">
        <f t="shared" si="0"/>
        <v>34.5</v>
      </c>
      <c r="H16" s="181">
        <v>3977.3</v>
      </c>
      <c r="I16" s="348">
        <f t="shared" ref="I16:I24" si="5">ROUND(G16*H16,2)</f>
        <v>137216.85</v>
      </c>
    </row>
    <row r="17" spans="1:9">
      <c r="A17" s="9">
        <f t="shared" si="3"/>
        <v>4</v>
      </c>
      <c r="B17" s="9"/>
      <c r="C17" s="239">
        <f t="shared" si="4"/>
        <v>44136</v>
      </c>
      <c r="D17" s="346">
        <f t="shared" si="1"/>
        <v>15</v>
      </c>
      <c r="E17" s="132">
        <v>44183</v>
      </c>
      <c r="F17" s="347">
        <f t="shared" si="2"/>
        <v>18</v>
      </c>
      <c r="G17" s="347">
        <f t="shared" si="0"/>
        <v>33</v>
      </c>
      <c r="H17" s="181">
        <v>144863.89000000001</v>
      </c>
      <c r="I17" s="348">
        <f t="shared" si="5"/>
        <v>4780508.37</v>
      </c>
    </row>
    <row r="18" spans="1:9">
      <c r="A18" s="9">
        <f t="shared" si="3"/>
        <v>5</v>
      </c>
      <c r="B18" s="9"/>
      <c r="C18" s="239">
        <f t="shared" si="4"/>
        <v>44166</v>
      </c>
      <c r="D18" s="346">
        <f t="shared" si="1"/>
        <v>15.5</v>
      </c>
      <c r="E18" s="132">
        <v>44214</v>
      </c>
      <c r="F18" s="347">
        <f t="shared" si="2"/>
        <v>18</v>
      </c>
      <c r="G18" s="347">
        <f t="shared" si="0"/>
        <v>33.5</v>
      </c>
      <c r="H18" s="181">
        <v>343091.38</v>
      </c>
      <c r="I18" s="348">
        <f t="shared" si="5"/>
        <v>11493561.23</v>
      </c>
    </row>
    <row r="19" spans="1:9">
      <c r="A19" s="9">
        <f t="shared" si="3"/>
        <v>6</v>
      </c>
      <c r="B19" s="9"/>
      <c r="C19" s="239">
        <f t="shared" si="4"/>
        <v>44197</v>
      </c>
      <c r="D19" s="346">
        <f t="shared" si="1"/>
        <v>15.5</v>
      </c>
      <c r="E19" s="132">
        <v>44245</v>
      </c>
      <c r="F19" s="347">
        <f t="shared" si="2"/>
        <v>18</v>
      </c>
      <c r="G19" s="347">
        <f t="shared" si="0"/>
        <v>33.5</v>
      </c>
      <c r="H19" s="181">
        <v>281533.37</v>
      </c>
      <c r="I19" s="348">
        <f t="shared" si="5"/>
        <v>9431367.9000000004</v>
      </c>
    </row>
    <row r="20" spans="1:9">
      <c r="A20" s="9">
        <f t="shared" si="3"/>
        <v>7</v>
      </c>
      <c r="B20" s="9"/>
      <c r="C20" s="239">
        <f t="shared" si="4"/>
        <v>44228</v>
      </c>
      <c r="D20" s="346">
        <f t="shared" si="1"/>
        <v>14</v>
      </c>
      <c r="E20" s="132">
        <v>44273</v>
      </c>
      <c r="F20" s="347">
        <f t="shared" si="2"/>
        <v>18</v>
      </c>
      <c r="G20" s="347">
        <f t="shared" si="0"/>
        <v>32</v>
      </c>
      <c r="H20" s="181">
        <v>291259.83</v>
      </c>
      <c r="I20" s="348">
        <f t="shared" si="5"/>
        <v>9320314.5600000005</v>
      </c>
    </row>
    <row r="21" spans="1:9">
      <c r="A21" s="9">
        <f t="shared" si="3"/>
        <v>8</v>
      </c>
      <c r="B21" s="9"/>
      <c r="C21" s="239">
        <f t="shared" si="4"/>
        <v>44256</v>
      </c>
      <c r="D21" s="346">
        <f t="shared" si="1"/>
        <v>15.5</v>
      </c>
      <c r="E21" s="132">
        <v>44304</v>
      </c>
      <c r="F21" s="347">
        <f t="shared" si="2"/>
        <v>18</v>
      </c>
      <c r="G21" s="347">
        <f t="shared" si="0"/>
        <v>33.5</v>
      </c>
      <c r="H21" s="181">
        <v>278260.42</v>
      </c>
      <c r="I21" s="348">
        <f>ROUND(G21*H21,2)</f>
        <v>9321724.0700000003</v>
      </c>
    </row>
    <row r="22" spans="1:9">
      <c r="A22" s="9">
        <f t="shared" si="3"/>
        <v>9</v>
      </c>
      <c r="B22" s="9"/>
      <c r="C22" s="239">
        <f t="shared" si="4"/>
        <v>44287</v>
      </c>
      <c r="D22" s="346">
        <f t="shared" si="1"/>
        <v>15</v>
      </c>
      <c r="E22" s="132">
        <v>44335</v>
      </c>
      <c r="F22" s="347">
        <f t="shared" si="2"/>
        <v>19</v>
      </c>
      <c r="G22" s="347">
        <f t="shared" si="0"/>
        <v>34</v>
      </c>
      <c r="H22" s="181">
        <v>251714.55</v>
      </c>
      <c r="I22" s="348">
        <f t="shared" si="5"/>
        <v>8558294.6999999993</v>
      </c>
    </row>
    <row r="23" spans="1:9">
      <c r="A23" s="9">
        <f t="shared" si="3"/>
        <v>10</v>
      </c>
      <c r="B23" s="9"/>
      <c r="C23" s="239">
        <f t="shared" si="4"/>
        <v>44317</v>
      </c>
      <c r="D23" s="346">
        <f t="shared" si="1"/>
        <v>15.5</v>
      </c>
      <c r="E23" s="132">
        <v>44366</v>
      </c>
      <c r="F23" s="347">
        <f t="shared" si="2"/>
        <v>19</v>
      </c>
      <c r="G23" s="347">
        <f t="shared" si="0"/>
        <v>34.5</v>
      </c>
      <c r="H23" s="181">
        <v>271594.61</v>
      </c>
      <c r="I23" s="348">
        <f t="shared" si="5"/>
        <v>9370014.0500000007</v>
      </c>
    </row>
    <row r="24" spans="1:9">
      <c r="A24" s="9">
        <f t="shared" si="3"/>
        <v>11</v>
      </c>
      <c r="B24" s="9"/>
      <c r="C24" s="239">
        <f t="shared" si="4"/>
        <v>44348</v>
      </c>
      <c r="D24" s="346">
        <f t="shared" si="1"/>
        <v>15</v>
      </c>
      <c r="E24" s="132">
        <v>44395</v>
      </c>
      <c r="F24" s="347">
        <f t="shared" si="2"/>
        <v>18</v>
      </c>
      <c r="G24" s="347">
        <f t="shared" si="0"/>
        <v>33</v>
      </c>
      <c r="H24" s="181">
        <v>265168.03000000003</v>
      </c>
      <c r="I24" s="348">
        <f t="shared" si="5"/>
        <v>8750544.9900000002</v>
      </c>
    </row>
    <row r="25" spans="1:9">
      <c r="A25" s="9">
        <f t="shared" si="3"/>
        <v>12</v>
      </c>
      <c r="B25" s="9"/>
      <c r="C25" s="239">
        <f t="shared" si="4"/>
        <v>44378</v>
      </c>
      <c r="D25" s="346">
        <f>(EOMONTH(C25,0)-C25+1)/2</f>
        <v>15.5</v>
      </c>
      <c r="E25" s="132">
        <v>44426</v>
      </c>
      <c r="F25" s="347">
        <f t="shared" si="2"/>
        <v>18</v>
      </c>
      <c r="G25" s="347">
        <f t="shared" si="0"/>
        <v>33.5</v>
      </c>
      <c r="H25" s="181">
        <v>261559.95</v>
      </c>
      <c r="I25" s="348">
        <f>ROUND(G25*H25,2)</f>
        <v>8762258.3300000001</v>
      </c>
    </row>
    <row r="26" spans="1:9">
      <c r="A26" s="9"/>
      <c r="B26" s="9"/>
      <c r="C26" s="186"/>
      <c r="D26" s="187"/>
      <c r="E26" s="249"/>
      <c r="F26" s="347"/>
      <c r="G26" s="347"/>
      <c r="H26" s="349"/>
      <c r="I26" s="349"/>
    </row>
    <row r="27" spans="1:9" ht="15.75" thickBot="1">
      <c r="A27" s="9">
        <f>A25+1</f>
        <v>13</v>
      </c>
      <c r="B27" s="188" t="s">
        <v>556</v>
      </c>
      <c r="D27" s="11"/>
      <c r="E27" s="9"/>
      <c r="G27" s="350">
        <f>IF(H27=0,0,I27/H27)</f>
        <v>33.34380095700498</v>
      </c>
      <c r="H27" s="351">
        <f>SUM(H14:H25)</f>
        <v>1643088.62</v>
      </c>
      <c r="I27" s="352">
        <f>SUM(I14:I25)</f>
        <v>54786819.899999999</v>
      </c>
    </row>
    <row r="28" spans="1:9" ht="15.75" thickTop="1">
      <c r="A28" s="9"/>
      <c r="B28" s="188"/>
      <c r="C28" s="188"/>
      <c r="E28" s="250"/>
      <c r="F28" s="11"/>
      <c r="H28" s="353"/>
      <c r="I28" s="354"/>
    </row>
    <row r="29" spans="1:9">
      <c r="A29" s="9"/>
      <c r="B29" s="188"/>
      <c r="C29" s="188"/>
      <c r="D29" s="188"/>
      <c r="E29" s="9"/>
      <c r="F29" s="186"/>
      <c r="G29" s="11"/>
      <c r="I29" s="353"/>
    </row>
    <row r="30" spans="1:9">
      <c r="A30" s="9">
        <f>A27+1</f>
        <v>14</v>
      </c>
      <c r="B30" s="394" t="s">
        <v>557</v>
      </c>
      <c r="C30" s="399">
        <f t="shared" ref="C30:C41" si="6">C14</f>
        <v>44044</v>
      </c>
      <c r="D30" s="346">
        <f>(EOMONTH(C30,0)-C30+1)/2</f>
        <v>15.5</v>
      </c>
      <c r="E30" s="304">
        <f>E14</f>
        <v>44092</v>
      </c>
      <c r="F30" s="347">
        <f t="shared" ref="F30:F41" si="7">IF(E30="No payment",0,E30-EOMONTH(C30,0))</f>
        <v>18</v>
      </c>
      <c r="G30" s="347">
        <f t="shared" ref="G30:G41" si="8">D30+F30</f>
        <v>33.5</v>
      </c>
      <c r="H30" s="400">
        <v>36259.57</v>
      </c>
      <c r="I30" s="348">
        <f>ROUND(G30*H30,2)</f>
        <v>1214695.6000000001</v>
      </c>
    </row>
    <row r="31" spans="1:9">
      <c r="A31" s="9">
        <f>A30+1</f>
        <v>15</v>
      </c>
      <c r="B31" s="401"/>
      <c r="C31" s="399">
        <f t="shared" si="6"/>
        <v>44075</v>
      </c>
      <c r="D31" s="346">
        <f t="shared" ref="D31:D40" si="9">(EOMONTH(C31,0)-C31+1)/2</f>
        <v>15</v>
      </c>
      <c r="E31" s="304">
        <f>E15</f>
        <v>44123</v>
      </c>
      <c r="F31" s="347">
        <f t="shared" si="7"/>
        <v>19</v>
      </c>
      <c r="G31" s="347">
        <f t="shared" si="8"/>
        <v>34</v>
      </c>
      <c r="H31" s="400">
        <v>36256.550000000003</v>
      </c>
      <c r="I31" s="348">
        <f>ROUND(G31*H31,2)</f>
        <v>1232722.7</v>
      </c>
    </row>
    <row r="32" spans="1:9">
      <c r="A32" s="9">
        <f t="shared" ref="A32:A41" si="10">A31+1</f>
        <v>16</v>
      </c>
      <c r="B32" s="401"/>
      <c r="C32" s="399">
        <f t="shared" si="6"/>
        <v>44105</v>
      </c>
      <c r="D32" s="346">
        <f t="shared" si="9"/>
        <v>15.5</v>
      </c>
      <c r="E32" s="304">
        <f t="shared" ref="E32:E41" si="11">E16</f>
        <v>44154</v>
      </c>
      <c r="F32" s="347">
        <f t="shared" si="7"/>
        <v>19</v>
      </c>
      <c r="G32" s="347">
        <f t="shared" si="8"/>
        <v>34.5</v>
      </c>
      <c r="H32" s="400">
        <v>32962.29</v>
      </c>
      <c r="I32" s="348">
        <f t="shared" ref="I32:I40" si="12">ROUND(G32*H32,2)</f>
        <v>1137199.01</v>
      </c>
    </row>
    <row r="33" spans="1:9">
      <c r="A33" s="9">
        <f t="shared" si="10"/>
        <v>17</v>
      </c>
      <c r="B33" s="401"/>
      <c r="C33" s="399">
        <f t="shared" si="6"/>
        <v>44136</v>
      </c>
      <c r="D33" s="346">
        <f t="shared" si="9"/>
        <v>15</v>
      </c>
      <c r="E33" s="304">
        <f t="shared" si="11"/>
        <v>44183</v>
      </c>
      <c r="F33" s="347">
        <f t="shared" si="7"/>
        <v>18</v>
      </c>
      <c r="G33" s="347">
        <f t="shared" si="8"/>
        <v>33</v>
      </c>
      <c r="H33" s="400">
        <v>118492</v>
      </c>
      <c r="I33" s="348">
        <f t="shared" si="12"/>
        <v>3910236</v>
      </c>
    </row>
    <row r="34" spans="1:9">
      <c r="A34" s="9">
        <f t="shared" si="10"/>
        <v>18</v>
      </c>
      <c r="B34" s="401"/>
      <c r="C34" s="399">
        <f t="shared" si="6"/>
        <v>44166</v>
      </c>
      <c r="D34" s="346">
        <f t="shared" si="9"/>
        <v>15.5</v>
      </c>
      <c r="E34" s="304">
        <f t="shared" si="11"/>
        <v>44214</v>
      </c>
      <c r="F34" s="347">
        <f t="shared" si="7"/>
        <v>18</v>
      </c>
      <c r="G34" s="347">
        <f t="shared" si="8"/>
        <v>33.5</v>
      </c>
      <c r="H34" s="400">
        <v>24958.63</v>
      </c>
      <c r="I34" s="348">
        <f t="shared" si="12"/>
        <v>836114.11</v>
      </c>
    </row>
    <row r="35" spans="1:9">
      <c r="A35" s="9">
        <f t="shared" si="10"/>
        <v>19</v>
      </c>
      <c r="B35" s="401"/>
      <c r="C35" s="399">
        <f t="shared" si="6"/>
        <v>44197</v>
      </c>
      <c r="D35" s="346">
        <f t="shared" si="9"/>
        <v>15.5</v>
      </c>
      <c r="E35" s="304">
        <f t="shared" si="11"/>
        <v>44245</v>
      </c>
      <c r="F35" s="347">
        <f t="shared" si="7"/>
        <v>18</v>
      </c>
      <c r="G35" s="347">
        <f t="shared" si="8"/>
        <v>33.5</v>
      </c>
      <c r="H35" s="400">
        <v>47117.26</v>
      </c>
      <c r="I35" s="348">
        <f t="shared" si="12"/>
        <v>1578428.21</v>
      </c>
    </row>
    <row r="36" spans="1:9">
      <c r="A36" s="9">
        <f t="shared" si="10"/>
        <v>20</v>
      </c>
      <c r="B36" s="401"/>
      <c r="C36" s="399">
        <f t="shared" si="6"/>
        <v>44228</v>
      </c>
      <c r="D36" s="346">
        <f t="shared" si="9"/>
        <v>14</v>
      </c>
      <c r="E36" s="304">
        <f t="shared" si="11"/>
        <v>44273</v>
      </c>
      <c r="F36" s="347">
        <f t="shared" si="7"/>
        <v>18</v>
      </c>
      <c r="G36" s="347">
        <f t="shared" si="8"/>
        <v>32</v>
      </c>
      <c r="H36" s="400">
        <v>32939.449999999997</v>
      </c>
      <c r="I36" s="348">
        <f t="shared" si="12"/>
        <v>1054062.3999999999</v>
      </c>
    </row>
    <row r="37" spans="1:9">
      <c r="A37" s="9">
        <f t="shared" si="10"/>
        <v>21</v>
      </c>
      <c r="B37" s="401"/>
      <c r="C37" s="399">
        <f t="shared" si="6"/>
        <v>44256</v>
      </c>
      <c r="D37" s="346">
        <f t="shared" si="9"/>
        <v>15.5</v>
      </c>
      <c r="E37" s="304">
        <f t="shared" si="11"/>
        <v>44304</v>
      </c>
      <c r="F37" s="347">
        <f t="shared" si="7"/>
        <v>18</v>
      </c>
      <c r="G37" s="347">
        <f t="shared" si="8"/>
        <v>33.5</v>
      </c>
      <c r="H37" s="400">
        <v>33697.760000000002</v>
      </c>
      <c r="I37" s="348">
        <f t="shared" si="12"/>
        <v>1128874.96</v>
      </c>
    </row>
    <row r="38" spans="1:9">
      <c r="A38" s="9">
        <f t="shared" si="10"/>
        <v>22</v>
      </c>
      <c r="B38" s="401"/>
      <c r="C38" s="399">
        <f t="shared" si="6"/>
        <v>44287</v>
      </c>
      <c r="D38" s="346">
        <f t="shared" si="9"/>
        <v>15</v>
      </c>
      <c r="E38" s="304">
        <f t="shared" si="11"/>
        <v>44335</v>
      </c>
      <c r="F38" s="347">
        <f t="shared" si="7"/>
        <v>19</v>
      </c>
      <c r="G38" s="347">
        <f t="shared" si="8"/>
        <v>34</v>
      </c>
      <c r="H38" s="400">
        <v>34080.01</v>
      </c>
      <c r="I38" s="348">
        <f t="shared" si="12"/>
        <v>1158720.3400000001</v>
      </c>
    </row>
    <row r="39" spans="1:9">
      <c r="A39" s="9">
        <f t="shared" si="10"/>
        <v>23</v>
      </c>
      <c r="B39" s="401"/>
      <c r="C39" s="399">
        <f t="shared" si="6"/>
        <v>44317</v>
      </c>
      <c r="D39" s="346">
        <f t="shared" si="9"/>
        <v>15.5</v>
      </c>
      <c r="E39" s="304">
        <f t="shared" si="11"/>
        <v>44366</v>
      </c>
      <c r="F39" s="347">
        <f t="shared" si="7"/>
        <v>19</v>
      </c>
      <c r="G39" s="347">
        <f t="shared" si="8"/>
        <v>34.5</v>
      </c>
      <c r="H39" s="400">
        <v>32728.05</v>
      </c>
      <c r="I39" s="348">
        <f t="shared" si="12"/>
        <v>1129117.73</v>
      </c>
    </row>
    <row r="40" spans="1:9">
      <c r="A40" s="9">
        <f t="shared" si="10"/>
        <v>24</v>
      </c>
      <c r="B40" s="401"/>
      <c r="C40" s="399">
        <f t="shared" si="6"/>
        <v>44348</v>
      </c>
      <c r="D40" s="346">
        <f t="shared" si="9"/>
        <v>15</v>
      </c>
      <c r="E40" s="304">
        <f t="shared" si="11"/>
        <v>44395</v>
      </c>
      <c r="F40" s="347">
        <f t="shared" si="7"/>
        <v>18</v>
      </c>
      <c r="G40" s="347">
        <f t="shared" si="8"/>
        <v>33</v>
      </c>
      <c r="H40" s="400">
        <v>33905.269999999997</v>
      </c>
      <c r="I40" s="348">
        <f t="shared" si="12"/>
        <v>1118873.9099999999</v>
      </c>
    </row>
    <row r="41" spans="1:9">
      <c r="A41" s="9">
        <f t="shared" si="10"/>
        <v>25</v>
      </c>
      <c r="B41" s="401"/>
      <c r="C41" s="399">
        <f t="shared" si="6"/>
        <v>44378</v>
      </c>
      <c r="D41" s="346">
        <f>(EOMONTH(C41,0)-C41+1)/2</f>
        <v>15.5</v>
      </c>
      <c r="E41" s="304">
        <f t="shared" si="11"/>
        <v>44426</v>
      </c>
      <c r="F41" s="347">
        <f t="shared" si="7"/>
        <v>18</v>
      </c>
      <c r="G41" s="347">
        <f t="shared" si="8"/>
        <v>33.5</v>
      </c>
      <c r="H41" s="400">
        <v>31981.48</v>
      </c>
      <c r="I41" s="348">
        <f>ROUND(G41*H41,2)</f>
        <v>1071379.58</v>
      </c>
    </row>
    <row r="42" spans="1:9">
      <c r="A42" s="9"/>
      <c r="B42" s="401"/>
      <c r="C42" s="402"/>
      <c r="D42" s="403"/>
      <c r="E42" s="404"/>
      <c r="F42" s="347"/>
      <c r="G42" s="347"/>
      <c r="H42" s="349"/>
      <c r="I42" s="349"/>
    </row>
    <row r="43" spans="1:9" ht="15.75" thickBot="1">
      <c r="A43" s="9">
        <f>A41+1</f>
        <v>26</v>
      </c>
      <c r="B43" s="188" t="s">
        <v>558</v>
      </c>
      <c r="D43" s="11"/>
      <c r="E43" s="9"/>
      <c r="G43" s="350">
        <f>IF(H43=0,0,I43/H43)</f>
        <v>33.450039860444434</v>
      </c>
      <c r="H43" s="351">
        <f>SUM(H30:H41)</f>
        <v>495378.32</v>
      </c>
      <c r="I43" s="352">
        <f>SUM(I30:I41)</f>
        <v>16570424.549999999</v>
      </c>
    </row>
    <row r="44" spans="1:9" ht="15.75" thickTop="1">
      <c r="A44" s="9"/>
      <c r="B44" s="188"/>
      <c r="C44" s="188"/>
      <c r="E44" s="250"/>
      <c r="F44" s="11"/>
      <c r="H44" s="353"/>
      <c r="I44" s="354"/>
    </row>
    <row r="45" spans="1:9" ht="16.5" thickBot="1">
      <c r="A45" s="9">
        <f>A43+1</f>
        <v>27</v>
      </c>
      <c r="B45" s="188" t="s">
        <v>248</v>
      </c>
      <c r="C45" s="188"/>
      <c r="E45" s="250"/>
      <c r="F45" s="11"/>
      <c r="G45" s="355">
        <f>I45/H45</f>
        <v>33.368411320868958</v>
      </c>
      <c r="H45" s="351">
        <f>H27+H43</f>
        <v>2138466.94</v>
      </c>
      <c r="I45" s="351">
        <f>I27+I43</f>
        <v>71357244.450000003</v>
      </c>
    </row>
    <row r="46" spans="1:9" ht="15.75" thickTop="1">
      <c r="A46" s="9"/>
      <c r="B46" s="188"/>
      <c r="C46" s="188"/>
      <c r="D46" s="188"/>
      <c r="E46" s="9"/>
      <c r="F46" s="186"/>
      <c r="G46" s="11"/>
      <c r="I46" s="353"/>
    </row>
    <row r="47" spans="1:9">
      <c r="A47" s="189"/>
      <c r="B47" s="188"/>
      <c r="C47" s="188"/>
      <c r="D47" s="188"/>
      <c r="E47" s="9"/>
      <c r="F47" s="186"/>
      <c r="G47" s="11"/>
      <c r="I47" s="353"/>
    </row>
  </sheetData>
  <mergeCells count="4">
    <mergeCell ref="A2:I2"/>
    <mergeCell ref="A3:I3"/>
    <mergeCell ref="A4:I4"/>
    <mergeCell ref="A5:I5"/>
  </mergeCells>
  <printOptions horizontalCentered="1"/>
  <pageMargins left="0.7" right="0.7" top="0.75" bottom="0.75" header="0.3" footer="0.3"/>
  <pageSetup scale="58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3">
    <tabColor theme="4" tint="0.39997558519241921"/>
    <pageSetUpPr fitToPage="1"/>
  </sheetPr>
  <dimension ref="A1:L76"/>
  <sheetViews>
    <sheetView showGridLines="0" zoomScale="85" zoomScaleNormal="85" workbookViewId="0">
      <pane ySplit="5" topLeftCell="A45" activePane="bottomLeft" state="frozen"/>
      <selection pane="bottomLeft" activeCell="D59" sqref="D59"/>
    </sheetView>
  </sheetViews>
  <sheetFormatPr defaultColWidth="8.88671875" defaultRowHeight="15"/>
  <cols>
    <col min="1" max="1" width="9" style="16" bestFit="1" customWidth="1"/>
    <col min="2" max="3" width="12.77734375" style="16" customWidth="1"/>
    <col min="4" max="4" width="15.44140625" style="16" customWidth="1"/>
    <col min="5" max="5" width="12.77734375" style="16" customWidth="1"/>
    <col min="6" max="6" width="10.77734375" style="16" customWidth="1"/>
    <col min="7" max="7" width="12.6640625" style="16" customWidth="1"/>
    <col min="8" max="9" width="14.77734375" style="16" customWidth="1"/>
    <col min="10" max="12" width="9.88671875" style="16" bestFit="1" customWidth="1"/>
    <col min="13" max="16384" width="8.88671875" style="16"/>
  </cols>
  <sheetData>
    <row r="1" spans="1:9" s="107" customFormat="1" ht="15.75">
      <c r="I1" s="246"/>
    </row>
    <row r="2" spans="1:9" ht="15.75">
      <c r="A2" s="434" t="str">
        <f>'General Inputs'!$B$2</f>
        <v>Delta Natural Gas Company</v>
      </c>
      <c r="B2" s="434"/>
      <c r="C2" s="434"/>
      <c r="D2" s="434"/>
      <c r="E2" s="434"/>
      <c r="F2" s="434"/>
      <c r="G2" s="434"/>
      <c r="H2" s="434"/>
      <c r="I2" s="434"/>
    </row>
    <row r="3" spans="1:9" ht="15.75">
      <c r="A3" s="434" t="str">
        <f>'General Inputs'!$D$34&amp;" "&amp;'General Inputs'!$E$34</f>
        <v>Case No. 2021-00185</v>
      </c>
      <c r="B3" s="434"/>
      <c r="C3" s="434"/>
      <c r="D3" s="434"/>
      <c r="E3" s="434"/>
      <c r="F3" s="434"/>
      <c r="G3" s="434"/>
      <c r="H3" s="434"/>
      <c r="I3" s="434"/>
    </row>
    <row r="4" spans="1:9" ht="15.75">
      <c r="A4" s="434" t="str">
        <f>"For the Year Ended "&amp;TEXT('General Inputs'!E28,"Mmmm dd, yyyy")</f>
        <v>For the Year Ended December 31, 2020</v>
      </c>
      <c r="B4" s="434"/>
      <c r="C4" s="434"/>
      <c r="D4" s="434"/>
      <c r="E4" s="434"/>
      <c r="F4" s="434"/>
      <c r="G4" s="434"/>
      <c r="H4" s="434"/>
      <c r="I4" s="434"/>
    </row>
    <row r="5" spans="1:9" ht="16.5" thickBot="1">
      <c r="A5" s="435" t="s">
        <v>80</v>
      </c>
      <c r="B5" s="435"/>
      <c r="C5" s="435"/>
      <c r="D5" s="435"/>
      <c r="E5" s="435"/>
      <c r="F5" s="435"/>
      <c r="G5" s="435"/>
      <c r="H5" s="435"/>
      <c r="I5" s="435"/>
    </row>
    <row r="9" spans="1:9" ht="15.75">
      <c r="A9" s="34"/>
      <c r="B9" s="33" t="s">
        <v>45</v>
      </c>
      <c r="C9" s="33" t="s">
        <v>46</v>
      </c>
      <c r="D9" s="34"/>
      <c r="E9" s="34"/>
      <c r="F9" s="34"/>
      <c r="G9" s="34"/>
      <c r="H9" s="34"/>
      <c r="I9" s="34"/>
    </row>
    <row r="10" spans="1:9" ht="15.75">
      <c r="A10" s="34"/>
      <c r="B10" s="33" t="s">
        <v>47</v>
      </c>
      <c r="C10" s="33" t="s">
        <v>48</v>
      </c>
      <c r="D10" s="34"/>
      <c r="E10" s="34"/>
      <c r="F10" s="34"/>
      <c r="G10" s="33" t="s">
        <v>19</v>
      </c>
      <c r="H10" s="33" t="s">
        <v>19</v>
      </c>
      <c r="I10" s="33"/>
    </row>
    <row r="11" spans="1:9" ht="15.75">
      <c r="A11" s="33" t="s">
        <v>29</v>
      </c>
      <c r="B11" s="33" t="s">
        <v>49</v>
      </c>
      <c r="C11" s="33" t="s">
        <v>50</v>
      </c>
      <c r="D11" s="33" t="s">
        <v>38</v>
      </c>
      <c r="E11" s="33" t="s">
        <v>40</v>
      </c>
      <c r="F11" s="33" t="s">
        <v>39</v>
      </c>
      <c r="G11" s="33" t="s">
        <v>51</v>
      </c>
      <c r="H11" s="33" t="s">
        <v>51</v>
      </c>
      <c r="I11" s="33" t="s">
        <v>28</v>
      </c>
    </row>
    <row r="12" spans="1:9" ht="20.25">
      <c r="A12" s="195" t="s">
        <v>24</v>
      </c>
      <c r="B12" s="195" t="s">
        <v>52</v>
      </c>
      <c r="C12" s="195" t="s">
        <v>52</v>
      </c>
      <c r="D12" s="195" t="s">
        <v>30</v>
      </c>
      <c r="E12" s="195" t="s">
        <v>144</v>
      </c>
      <c r="F12" s="195" t="s">
        <v>30</v>
      </c>
      <c r="G12" s="195" t="s">
        <v>30</v>
      </c>
      <c r="H12" s="195" t="s">
        <v>31</v>
      </c>
      <c r="I12" s="195" t="s">
        <v>30</v>
      </c>
    </row>
    <row r="13" spans="1:9" ht="31.5">
      <c r="A13" s="32"/>
      <c r="B13" s="235" t="s">
        <v>34</v>
      </c>
      <c r="C13" s="235" t="s">
        <v>35</v>
      </c>
      <c r="D13" s="136" t="s">
        <v>108</v>
      </c>
      <c r="E13" s="235" t="s">
        <v>37</v>
      </c>
      <c r="F13" s="235" t="s">
        <v>152</v>
      </c>
      <c r="G13" s="235" t="s">
        <v>183</v>
      </c>
      <c r="H13" s="235" t="s">
        <v>56</v>
      </c>
      <c r="I13" s="235" t="s">
        <v>149</v>
      </c>
    </row>
    <row r="14" spans="1:9" ht="15.75">
      <c r="A14" s="32"/>
      <c r="B14" s="22"/>
      <c r="C14" s="22"/>
      <c r="D14" s="22"/>
      <c r="E14" s="22"/>
      <c r="F14" s="22"/>
      <c r="G14" s="22"/>
      <c r="H14" s="22"/>
      <c r="I14" s="22"/>
    </row>
    <row r="15" spans="1:9">
      <c r="A15" s="27"/>
      <c r="B15" s="133" t="s">
        <v>384</v>
      </c>
      <c r="C15" s="27"/>
      <c r="D15" s="27"/>
      <c r="E15" s="27"/>
      <c r="F15" s="27"/>
      <c r="G15" s="27"/>
      <c r="H15" s="27"/>
      <c r="I15" s="27"/>
    </row>
    <row r="16" spans="1:9">
      <c r="A16" s="23">
        <v>1</v>
      </c>
      <c r="B16" s="292">
        <v>43827</v>
      </c>
      <c r="C16" s="292">
        <v>43841</v>
      </c>
      <c r="D16" s="293">
        <f>(C16-B16)/2</f>
        <v>7</v>
      </c>
      <c r="E16" s="294">
        <v>43845</v>
      </c>
      <c r="F16" s="293">
        <f>E16-C16</f>
        <v>4</v>
      </c>
      <c r="G16" s="293">
        <f>IF(D16="",0,F16+D16)</f>
        <v>11</v>
      </c>
      <c r="H16" s="295">
        <v>200439.57</v>
      </c>
      <c r="I16" s="242">
        <f>G16*H16</f>
        <v>2204835.27</v>
      </c>
    </row>
    <row r="17" spans="1:12">
      <c r="A17" s="23">
        <f>A16+1</f>
        <v>2</v>
      </c>
      <c r="B17" s="292">
        <f>B16+14</f>
        <v>43841</v>
      </c>
      <c r="C17" s="292">
        <f>C16+14</f>
        <v>43855</v>
      </c>
      <c r="D17" s="293">
        <f t="shared" ref="D17:D39" si="0">(C17-B17)/2</f>
        <v>7</v>
      </c>
      <c r="E17" s="296">
        <f>C17+4</f>
        <v>43859</v>
      </c>
      <c r="F17" s="293">
        <f>E17-C17</f>
        <v>4</v>
      </c>
      <c r="G17" s="293">
        <f>IF(D17="",0,F17+D17)</f>
        <v>11</v>
      </c>
      <c r="H17" s="295">
        <v>201337.07</v>
      </c>
      <c r="I17" s="242">
        <f t="shared" ref="I17:I41" si="1">G17*H17</f>
        <v>2214707.77</v>
      </c>
      <c r="L17" s="16">
        <f>E17-C17</f>
        <v>4</v>
      </c>
    </row>
    <row r="18" spans="1:12">
      <c r="A18" s="23">
        <f t="shared" ref="A18:A41" si="2">A17+1</f>
        <v>3</v>
      </c>
      <c r="B18" s="292">
        <f t="shared" ref="B18:B39" si="3">B17+14</f>
        <v>43855</v>
      </c>
      <c r="C18" s="292">
        <f t="shared" ref="C18:C39" si="4">C17+14</f>
        <v>43869</v>
      </c>
      <c r="D18" s="293">
        <f t="shared" si="0"/>
        <v>7</v>
      </c>
      <c r="E18" s="296">
        <f t="shared" ref="E18:E39" si="5">C18+4</f>
        <v>43873</v>
      </c>
      <c r="F18" s="293">
        <f t="shared" ref="F18:F39" si="6">E18-C18</f>
        <v>4</v>
      </c>
      <c r="G18" s="293">
        <f t="shared" ref="G18:G39" si="7">IF(D18="",0,F18+D18)</f>
        <v>11</v>
      </c>
      <c r="H18" s="295">
        <v>196168.59</v>
      </c>
      <c r="I18" s="242">
        <f t="shared" si="1"/>
        <v>2157854.4899999998</v>
      </c>
    </row>
    <row r="19" spans="1:12">
      <c r="A19" s="23">
        <f t="shared" si="2"/>
        <v>4</v>
      </c>
      <c r="B19" s="292">
        <f t="shared" si="3"/>
        <v>43869</v>
      </c>
      <c r="C19" s="292">
        <f t="shared" si="4"/>
        <v>43883</v>
      </c>
      <c r="D19" s="293">
        <f t="shared" si="0"/>
        <v>7</v>
      </c>
      <c r="E19" s="296">
        <f t="shared" si="5"/>
        <v>43887</v>
      </c>
      <c r="F19" s="293">
        <f t="shared" si="6"/>
        <v>4</v>
      </c>
      <c r="G19" s="293">
        <f t="shared" si="7"/>
        <v>11</v>
      </c>
      <c r="H19" s="295">
        <v>566519.35</v>
      </c>
      <c r="I19" s="242">
        <f t="shared" si="1"/>
        <v>6231712.8499999996</v>
      </c>
    </row>
    <row r="20" spans="1:12">
      <c r="A20" s="23">
        <f t="shared" si="2"/>
        <v>5</v>
      </c>
      <c r="B20" s="292">
        <f t="shared" si="3"/>
        <v>43883</v>
      </c>
      <c r="C20" s="292">
        <f t="shared" si="4"/>
        <v>43897</v>
      </c>
      <c r="D20" s="293">
        <f t="shared" si="0"/>
        <v>7</v>
      </c>
      <c r="E20" s="296">
        <f t="shared" si="5"/>
        <v>43901</v>
      </c>
      <c r="F20" s="293">
        <f t="shared" si="6"/>
        <v>4</v>
      </c>
      <c r="G20" s="293">
        <f t="shared" si="7"/>
        <v>11</v>
      </c>
      <c r="H20" s="295">
        <v>198118.44</v>
      </c>
      <c r="I20" s="242">
        <f t="shared" si="1"/>
        <v>2179302.84</v>
      </c>
    </row>
    <row r="21" spans="1:12">
      <c r="A21" s="23">
        <f t="shared" si="2"/>
        <v>6</v>
      </c>
      <c r="B21" s="292">
        <f t="shared" si="3"/>
        <v>43897</v>
      </c>
      <c r="C21" s="292">
        <f t="shared" si="4"/>
        <v>43911</v>
      </c>
      <c r="D21" s="293">
        <f t="shared" si="0"/>
        <v>7</v>
      </c>
      <c r="E21" s="296">
        <f t="shared" si="5"/>
        <v>43915</v>
      </c>
      <c r="F21" s="293">
        <f t="shared" si="6"/>
        <v>4</v>
      </c>
      <c r="G21" s="293">
        <f t="shared" si="7"/>
        <v>11</v>
      </c>
      <c r="H21" s="295">
        <v>207823.72</v>
      </c>
      <c r="I21" s="242">
        <f t="shared" si="1"/>
        <v>2286060.92</v>
      </c>
    </row>
    <row r="22" spans="1:12">
      <c r="A22" s="23">
        <f t="shared" si="2"/>
        <v>7</v>
      </c>
      <c r="B22" s="292">
        <f t="shared" si="3"/>
        <v>43911</v>
      </c>
      <c r="C22" s="292">
        <f t="shared" si="4"/>
        <v>43925</v>
      </c>
      <c r="D22" s="293">
        <f t="shared" si="0"/>
        <v>7</v>
      </c>
      <c r="E22" s="296">
        <f t="shared" si="5"/>
        <v>43929</v>
      </c>
      <c r="F22" s="293">
        <f t="shared" si="6"/>
        <v>4</v>
      </c>
      <c r="G22" s="293">
        <f t="shared" si="7"/>
        <v>11</v>
      </c>
      <c r="H22" s="295">
        <v>206383.48</v>
      </c>
      <c r="I22" s="242">
        <f t="shared" si="1"/>
        <v>2270218.2800000003</v>
      </c>
    </row>
    <row r="23" spans="1:12">
      <c r="A23" s="23">
        <f t="shared" si="2"/>
        <v>8</v>
      </c>
      <c r="B23" s="292">
        <f t="shared" si="3"/>
        <v>43925</v>
      </c>
      <c r="C23" s="292">
        <f t="shared" si="4"/>
        <v>43939</v>
      </c>
      <c r="D23" s="293">
        <f t="shared" si="0"/>
        <v>7</v>
      </c>
      <c r="E23" s="296">
        <f t="shared" si="5"/>
        <v>43943</v>
      </c>
      <c r="F23" s="293">
        <f t="shared" si="6"/>
        <v>4</v>
      </c>
      <c r="G23" s="293">
        <f t="shared" si="7"/>
        <v>11</v>
      </c>
      <c r="H23" s="295">
        <v>203636.95</v>
      </c>
      <c r="I23" s="242">
        <f t="shared" si="1"/>
        <v>2240006.4500000002</v>
      </c>
    </row>
    <row r="24" spans="1:12">
      <c r="A24" s="23">
        <f t="shared" si="2"/>
        <v>9</v>
      </c>
      <c r="B24" s="292">
        <f t="shared" si="3"/>
        <v>43939</v>
      </c>
      <c r="C24" s="292">
        <f t="shared" si="4"/>
        <v>43953</v>
      </c>
      <c r="D24" s="293">
        <f t="shared" si="0"/>
        <v>7</v>
      </c>
      <c r="E24" s="296">
        <f t="shared" si="5"/>
        <v>43957</v>
      </c>
      <c r="F24" s="293">
        <f t="shared" si="6"/>
        <v>4</v>
      </c>
      <c r="G24" s="293">
        <f t="shared" si="7"/>
        <v>11</v>
      </c>
      <c r="H24" s="295">
        <v>205795.44</v>
      </c>
      <c r="I24" s="242">
        <f t="shared" si="1"/>
        <v>2263749.84</v>
      </c>
    </row>
    <row r="25" spans="1:12">
      <c r="A25" s="23">
        <f t="shared" si="2"/>
        <v>10</v>
      </c>
      <c r="B25" s="292">
        <f t="shared" si="3"/>
        <v>43953</v>
      </c>
      <c r="C25" s="292">
        <f t="shared" si="4"/>
        <v>43967</v>
      </c>
      <c r="D25" s="293">
        <f t="shared" si="0"/>
        <v>7</v>
      </c>
      <c r="E25" s="296">
        <f t="shared" si="5"/>
        <v>43971</v>
      </c>
      <c r="F25" s="293">
        <f t="shared" si="6"/>
        <v>4</v>
      </c>
      <c r="G25" s="293">
        <f t="shared" si="7"/>
        <v>11</v>
      </c>
      <c r="H25" s="295">
        <v>207543.85</v>
      </c>
      <c r="I25" s="242">
        <f t="shared" si="1"/>
        <v>2282982.35</v>
      </c>
    </row>
    <row r="26" spans="1:12">
      <c r="A26" s="23">
        <f t="shared" si="2"/>
        <v>11</v>
      </c>
      <c r="B26" s="292">
        <f t="shared" si="3"/>
        <v>43967</v>
      </c>
      <c r="C26" s="292">
        <f t="shared" si="4"/>
        <v>43981</v>
      </c>
      <c r="D26" s="293">
        <f t="shared" si="0"/>
        <v>7</v>
      </c>
      <c r="E26" s="296">
        <f t="shared" si="5"/>
        <v>43985</v>
      </c>
      <c r="F26" s="293">
        <f t="shared" si="6"/>
        <v>4</v>
      </c>
      <c r="G26" s="293">
        <f t="shared" si="7"/>
        <v>11</v>
      </c>
      <c r="H26" s="295">
        <v>204786.27</v>
      </c>
      <c r="I26" s="242">
        <f t="shared" si="1"/>
        <v>2252648.9699999997</v>
      </c>
    </row>
    <row r="27" spans="1:12">
      <c r="A27" s="23">
        <f t="shared" si="2"/>
        <v>12</v>
      </c>
      <c r="B27" s="292">
        <f t="shared" si="3"/>
        <v>43981</v>
      </c>
      <c r="C27" s="292">
        <f t="shared" si="4"/>
        <v>43995</v>
      </c>
      <c r="D27" s="293">
        <f t="shared" si="0"/>
        <v>7</v>
      </c>
      <c r="E27" s="296">
        <f t="shared" si="5"/>
        <v>43999</v>
      </c>
      <c r="F27" s="293">
        <f t="shared" si="6"/>
        <v>4</v>
      </c>
      <c r="G27" s="293">
        <f t="shared" si="7"/>
        <v>11</v>
      </c>
      <c r="H27" s="295">
        <v>205226.42</v>
      </c>
      <c r="I27" s="242">
        <f t="shared" si="1"/>
        <v>2257490.62</v>
      </c>
    </row>
    <row r="28" spans="1:12">
      <c r="A28" s="23">
        <f t="shared" si="2"/>
        <v>13</v>
      </c>
      <c r="B28" s="292">
        <f t="shared" si="3"/>
        <v>43995</v>
      </c>
      <c r="C28" s="292">
        <f t="shared" si="4"/>
        <v>44009</v>
      </c>
      <c r="D28" s="293">
        <f t="shared" si="0"/>
        <v>7</v>
      </c>
      <c r="E28" s="296">
        <f t="shared" si="5"/>
        <v>44013</v>
      </c>
      <c r="F28" s="293">
        <f t="shared" si="6"/>
        <v>4</v>
      </c>
      <c r="G28" s="293">
        <f t="shared" si="7"/>
        <v>11</v>
      </c>
      <c r="H28" s="295">
        <v>207935.44</v>
      </c>
      <c r="I28" s="242">
        <f t="shared" si="1"/>
        <v>2287289.84</v>
      </c>
    </row>
    <row r="29" spans="1:12">
      <c r="A29" s="23">
        <f t="shared" si="2"/>
        <v>14</v>
      </c>
      <c r="B29" s="292">
        <f t="shared" si="3"/>
        <v>44009</v>
      </c>
      <c r="C29" s="292">
        <f t="shared" si="4"/>
        <v>44023</v>
      </c>
      <c r="D29" s="293">
        <f t="shared" si="0"/>
        <v>7</v>
      </c>
      <c r="E29" s="296">
        <f t="shared" si="5"/>
        <v>44027</v>
      </c>
      <c r="F29" s="293">
        <f t="shared" si="6"/>
        <v>4</v>
      </c>
      <c r="G29" s="293">
        <f t="shared" si="7"/>
        <v>11</v>
      </c>
      <c r="H29" s="295">
        <v>205738.39</v>
      </c>
      <c r="I29" s="242">
        <f t="shared" si="1"/>
        <v>2263122.29</v>
      </c>
    </row>
    <row r="30" spans="1:12">
      <c r="A30" s="23">
        <f t="shared" si="2"/>
        <v>15</v>
      </c>
      <c r="B30" s="292">
        <f t="shared" si="3"/>
        <v>44023</v>
      </c>
      <c r="C30" s="292">
        <f t="shared" si="4"/>
        <v>44037</v>
      </c>
      <c r="D30" s="293">
        <f t="shared" si="0"/>
        <v>7</v>
      </c>
      <c r="E30" s="296">
        <f t="shared" si="5"/>
        <v>44041</v>
      </c>
      <c r="F30" s="293">
        <f t="shared" si="6"/>
        <v>4</v>
      </c>
      <c r="G30" s="293">
        <f t="shared" si="7"/>
        <v>11</v>
      </c>
      <c r="H30" s="295">
        <v>204061.66</v>
      </c>
      <c r="I30" s="242">
        <f t="shared" si="1"/>
        <v>2244678.2600000002</v>
      </c>
    </row>
    <row r="31" spans="1:12">
      <c r="A31" s="23">
        <f t="shared" si="2"/>
        <v>16</v>
      </c>
      <c r="B31" s="292">
        <f t="shared" si="3"/>
        <v>44037</v>
      </c>
      <c r="C31" s="292">
        <f t="shared" si="4"/>
        <v>44051</v>
      </c>
      <c r="D31" s="293">
        <f t="shared" si="0"/>
        <v>7</v>
      </c>
      <c r="E31" s="296">
        <f t="shared" si="5"/>
        <v>44055</v>
      </c>
      <c r="F31" s="293">
        <f t="shared" si="6"/>
        <v>4</v>
      </c>
      <c r="G31" s="293">
        <f t="shared" si="7"/>
        <v>11</v>
      </c>
      <c r="H31" s="295">
        <v>206656.07</v>
      </c>
      <c r="I31" s="242">
        <f t="shared" si="1"/>
        <v>2273216.77</v>
      </c>
    </row>
    <row r="32" spans="1:12">
      <c r="A32" s="23">
        <f t="shared" si="2"/>
        <v>17</v>
      </c>
      <c r="B32" s="292">
        <f t="shared" si="3"/>
        <v>44051</v>
      </c>
      <c r="C32" s="292">
        <f t="shared" si="4"/>
        <v>44065</v>
      </c>
      <c r="D32" s="293">
        <f t="shared" si="0"/>
        <v>7</v>
      </c>
      <c r="E32" s="296">
        <f t="shared" si="5"/>
        <v>44069</v>
      </c>
      <c r="F32" s="293">
        <f t="shared" si="6"/>
        <v>4</v>
      </c>
      <c r="G32" s="293">
        <f t="shared" si="7"/>
        <v>11</v>
      </c>
      <c r="H32" s="295">
        <v>208042</v>
      </c>
      <c r="I32" s="242">
        <f t="shared" si="1"/>
        <v>2288462</v>
      </c>
    </row>
    <row r="33" spans="1:9">
      <c r="A33" s="23">
        <f t="shared" si="2"/>
        <v>18</v>
      </c>
      <c r="B33" s="292">
        <f t="shared" si="3"/>
        <v>44065</v>
      </c>
      <c r="C33" s="292">
        <f t="shared" si="4"/>
        <v>44079</v>
      </c>
      <c r="D33" s="293">
        <f t="shared" si="0"/>
        <v>7</v>
      </c>
      <c r="E33" s="296">
        <f t="shared" si="5"/>
        <v>44083</v>
      </c>
      <c r="F33" s="293">
        <f t="shared" si="6"/>
        <v>4</v>
      </c>
      <c r="G33" s="293">
        <f t="shared" si="7"/>
        <v>11</v>
      </c>
      <c r="H33" s="295">
        <v>329504.46999999997</v>
      </c>
      <c r="I33" s="242">
        <f t="shared" si="1"/>
        <v>3624549.17</v>
      </c>
    </row>
    <row r="34" spans="1:9">
      <c r="A34" s="23">
        <f t="shared" si="2"/>
        <v>19</v>
      </c>
      <c r="B34" s="292">
        <f t="shared" si="3"/>
        <v>44079</v>
      </c>
      <c r="C34" s="292">
        <f t="shared" si="4"/>
        <v>44093</v>
      </c>
      <c r="D34" s="293">
        <f t="shared" si="0"/>
        <v>7</v>
      </c>
      <c r="E34" s="296">
        <f t="shared" si="5"/>
        <v>44097</v>
      </c>
      <c r="F34" s="293">
        <f t="shared" si="6"/>
        <v>4</v>
      </c>
      <c r="G34" s="293">
        <f t="shared" si="7"/>
        <v>11</v>
      </c>
      <c r="H34" s="295">
        <v>214871.41</v>
      </c>
      <c r="I34" s="242">
        <f t="shared" si="1"/>
        <v>2363585.5100000002</v>
      </c>
    </row>
    <row r="35" spans="1:9">
      <c r="A35" s="23">
        <f t="shared" si="2"/>
        <v>20</v>
      </c>
      <c r="B35" s="292">
        <f t="shared" si="3"/>
        <v>44093</v>
      </c>
      <c r="C35" s="292">
        <f t="shared" si="4"/>
        <v>44107</v>
      </c>
      <c r="D35" s="293">
        <f t="shared" si="0"/>
        <v>7</v>
      </c>
      <c r="E35" s="296">
        <f t="shared" si="5"/>
        <v>44111</v>
      </c>
      <c r="F35" s="293">
        <f t="shared" si="6"/>
        <v>4</v>
      </c>
      <c r="G35" s="293">
        <f t="shared" si="7"/>
        <v>11</v>
      </c>
      <c r="H35" s="295">
        <v>216429.89</v>
      </c>
      <c r="I35" s="242">
        <f t="shared" si="1"/>
        <v>2380728.79</v>
      </c>
    </row>
    <row r="36" spans="1:9">
      <c r="A36" s="23">
        <f t="shared" si="2"/>
        <v>21</v>
      </c>
      <c r="B36" s="292">
        <f t="shared" si="3"/>
        <v>44107</v>
      </c>
      <c r="C36" s="292">
        <f t="shared" si="4"/>
        <v>44121</v>
      </c>
      <c r="D36" s="293">
        <f t="shared" si="0"/>
        <v>7</v>
      </c>
      <c r="E36" s="296">
        <f t="shared" si="5"/>
        <v>44125</v>
      </c>
      <c r="F36" s="293">
        <f t="shared" si="6"/>
        <v>4</v>
      </c>
      <c r="G36" s="293">
        <f t="shared" si="7"/>
        <v>11</v>
      </c>
      <c r="H36" s="295">
        <v>216993.72</v>
      </c>
      <c r="I36" s="242">
        <f t="shared" si="1"/>
        <v>2386930.92</v>
      </c>
    </row>
    <row r="37" spans="1:9">
      <c r="A37" s="23">
        <f t="shared" si="2"/>
        <v>22</v>
      </c>
      <c r="B37" s="292">
        <f t="shared" si="3"/>
        <v>44121</v>
      </c>
      <c r="C37" s="292">
        <f t="shared" si="4"/>
        <v>44135</v>
      </c>
      <c r="D37" s="293">
        <f t="shared" si="0"/>
        <v>7</v>
      </c>
      <c r="E37" s="296">
        <f t="shared" si="5"/>
        <v>44139</v>
      </c>
      <c r="F37" s="293">
        <f t="shared" si="6"/>
        <v>4</v>
      </c>
      <c r="G37" s="293">
        <f t="shared" si="7"/>
        <v>11</v>
      </c>
      <c r="H37" s="295">
        <v>216984.02</v>
      </c>
      <c r="I37" s="242">
        <f t="shared" si="1"/>
        <v>2386824.2199999997</v>
      </c>
    </row>
    <row r="38" spans="1:9">
      <c r="A38" s="23">
        <f t="shared" si="2"/>
        <v>23</v>
      </c>
      <c r="B38" s="292">
        <f t="shared" si="3"/>
        <v>44135</v>
      </c>
      <c r="C38" s="292">
        <f t="shared" si="4"/>
        <v>44149</v>
      </c>
      <c r="D38" s="293">
        <f t="shared" si="0"/>
        <v>7</v>
      </c>
      <c r="E38" s="296">
        <f t="shared" si="5"/>
        <v>44153</v>
      </c>
      <c r="F38" s="293">
        <f t="shared" si="6"/>
        <v>4</v>
      </c>
      <c r="G38" s="293">
        <f t="shared" si="7"/>
        <v>11</v>
      </c>
      <c r="H38" s="295">
        <v>218825.07</v>
      </c>
      <c r="I38" s="242">
        <f t="shared" si="1"/>
        <v>2407075.77</v>
      </c>
    </row>
    <row r="39" spans="1:9">
      <c r="A39" s="23">
        <f t="shared" si="2"/>
        <v>24</v>
      </c>
      <c r="B39" s="292">
        <f t="shared" si="3"/>
        <v>44149</v>
      </c>
      <c r="C39" s="292">
        <f t="shared" si="4"/>
        <v>44163</v>
      </c>
      <c r="D39" s="293">
        <f t="shared" si="0"/>
        <v>7</v>
      </c>
      <c r="E39" s="296">
        <f t="shared" si="5"/>
        <v>44167</v>
      </c>
      <c r="F39" s="293">
        <f t="shared" si="6"/>
        <v>4</v>
      </c>
      <c r="G39" s="293">
        <f t="shared" si="7"/>
        <v>11</v>
      </c>
      <c r="H39" s="295">
        <f>212732.15+6426</f>
        <v>219158.15</v>
      </c>
      <c r="I39" s="242">
        <f t="shared" si="1"/>
        <v>2410739.65</v>
      </c>
    </row>
    <row r="40" spans="1:9">
      <c r="A40" s="23">
        <f t="shared" si="2"/>
        <v>25</v>
      </c>
      <c r="B40" s="292">
        <f t="shared" ref="B40" si="8">B39+14</f>
        <v>44163</v>
      </c>
      <c r="C40" s="292">
        <f t="shared" ref="C40" si="9">C39+14</f>
        <v>44177</v>
      </c>
      <c r="D40" s="293">
        <f t="shared" ref="D40" si="10">(C40-B40)/2</f>
        <v>7</v>
      </c>
      <c r="E40" s="296">
        <f t="shared" ref="E40" si="11">C40+4</f>
        <v>44181</v>
      </c>
      <c r="F40" s="293">
        <f t="shared" ref="F40" si="12">E40-C40</f>
        <v>4</v>
      </c>
      <c r="G40" s="293">
        <f t="shared" ref="G40" si="13">IF(D40="",0,F40+D40)</f>
        <v>11</v>
      </c>
      <c r="H40" s="295">
        <v>213932.39</v>
      </c>
      <c r="I40" s="242">
        <f t="shared" si="1"/>
        <v>2353256.29</v>
      </c>
    </row>
    <row r="41" spans="1:9">
      <c r="A41" s="23">
        <f t="shared" si="2"/>
        <v>26</v>
      </c>
      <c r="B41" s="292">
        <f t="shared" ref="B41" si="14">B40+14</f>
        <v>44177</v>
      </c>
      <c r="C41" s="292">
        <f t="shared" ref="C41" si="15">C40+14</f>
        <v>44191</v>
      </c>
      <c r="D41" s="293">
        <f t="shared" ref="D41" si="16">(C41-B41)/2</f>
        <v>7</v>
      </c>
      <c r="E41" s="296">
        <f t="shared" ref="E41" si="17">C41+4</f>
        <v>44195</v>
      </c>
      <c r="F41" s="293">
        <f t="shared" ref="F41" si="18">E41-C41</f>
        <v>4</v>
      </c>
      <c r="G41" s="293">
        <f t="shared" ref="G41" si="19">IF(D41="",0,F41+D41)</f>
        <v>11</v>
      </c>
      <c r="H41" s="69">
        <v>207715.59</v>
      </c>
      <c r="I41" s="242">
        <f t="shared" si="1"/>
        <v>2284871.4899999998</v>
      </c>
    </row>
    <row r="42" spans="1:9">
      <c r="A42" s="23"/>
      <c r="B42" s="292"/>
      <c r="C42" s="292"/>
      <c r="D42" s="293"/>
      <c r="E42" s="296"/>
      <c r="F42" s="293"/>
      <c r="G42" s="293"/>
      <c r="H42" s="69"/>
      <c r="I42" s="27"/>
    </row>
    <row r="43" spans="1:9">
      <c r="A43" s="23">
        <f>A41+1</f>
        <v>27</v>
      </c>
      <c r="B43" s="150" t="s">
        <v>534</v>
      </c>
      <c r="C43" s="27"/>
      <c r="D43" s="27"/>
      <c r="E43" s="27"/>
      <c r="G43" s="302">
        <f>IF(H43=0,0,I43/H43)</f>
        <v>11.000000000000004</v>
      </c>
      <c r="H43" s="303">
        <f>SUM(H16:H41)</f>
        <v>5890627.419999999</v>
      </c>
      <c r="I43" s="303">
        <f>SUM(I16:I41)</f>
        <v>64796901.620000005</v>
      </c>
    </row>
    <row r="44" spans="1:9">
      <c r="A44" s="23"/>
      <c r="B44" s="27"/>
      <c r="C44" s="27"/>
      <c r="D44" s="27"/>
      <c r="E44" s="27"/>
      <c r="F44" s="27"/>
      <c r="G44" s="27"/>
      <c r="H44" s="27"/>
      <c r="I44" s="27"/>
    </row>
    <row r="45" spans="1:9">
      <c r="A45" s="23"/>
      <c r="B45" s="133" t="s">
        <v>385</v>
      </c>
      <c r="C45" s="27"/>
      <c r="D45" s="27"/>
      <c r="E45" s="27"/>
      <c r="F45" s="27"/>
      <c r="G45" s="27"/>
      <c r="H45" s="27"/>
      <c r="I45" s="27"/>
    </row>
    <row r="46" spans="1:9">
      <c r="A46" s="23">
        <f>A43+1</f>
        <v>28</v>
      </c>
      <c r="B46" s="292">
        <v>43831</v>
      </c>
      <c r="C46" s="292">
        <v>43845</v>
      </c>
      <c r="D46" s="293">
        <f t="shared" ref="D46:D69" si="20">(C46-B46)/2</f>
        <v>7</v>
      </c>
      <c r="E46" s="301" t="s">
        <v>398</v>
      </c>
      <c r="F46" s="293">
        <f t="shared" ref="F46:F69" si="21">E46-C46</f>
        <v>-2</v>
      </c>
      <c r="G46" s="293">
        <f t="shared" ref="G46:G69" si="22">IF(D46="",0,F46+D46)</f>
        <v>5</v>
      </c>
      <c r="H46" s="295">
        <v>21641.17</v>
      </c>
      <c r="I46" s="242">
        <f t="shared" ref="I46:I47" si="23">G46*H46</f>
        <v>108205.84999999999</v>
      </c>
    </row>
    <row r="47" spans="1:9">
      <c r="A47" s="23">
        <f t="shared" ref="A47:A69" si="24">A46+1</f>
        <v>29</v>
      </c>
      <c r="B47" s="292">
        <v>43846</v>
      </c>
      <c r="C47" s="292">
        <v>43861</v>
      </c>
      <c r="D47" s="293">
        <f t="shared" si="20"/>
        <v>7.5</v>
      </c>
      <c r="E47" s="301" t="s">
        <v>391</v>
      </c>
      <c r="F47" s="293">
        <f t="shared" si="21"/>
        <v>-2</v>
      </c>
      <c r="G47" s="293">
        <f t="shared" si="22"/>
        <v>5.5</v>
      </c>
      <c r="H47" s="69">
        <v>21641.16</v>
      </c>
      <c r="I47" s="242">
        <f t="shared" si="23"/>
        <v>119026.38</v>
      </c>
    </row>
    <row r="48" spans="1:9">
      <c r="A48" s="23">
        <f t="shared" ref="A48" si="25">A46+1</f>
        <v>29</v>
      </c>
      <c r="B48" s="292">
        <v>43862</v>
      </c>
      <c r="C48" s="292">
        <v>43876</v>
      </c>
      <c r="D48" s="293">
        <f t="shared" si="20"/>
        <v>7</v>
      </c>
      <c r="E48" s="168" t="s">
        <v>392</v>
      </c>
      <c r="F48" s="293">
        <f t="shared" si="21"/>
        <v>-3</v>
      </c>
      <c r="G48" s="293">
        <f t="shared" si="22"/>
        <v>4</v>
      </c>
      <c r="H48" s="295">
        <v>21641.18</v>
      </c>
      <c r="I48" s="242">
        <f t="shared" ref="I48:I69" si="26">G48*H48</f>
        <v>86564.72</v>
      </c>
    </row>
    <row r="49" spans="1:9">
      <c r="A49" s="23">
        <f t="shared" si="24"/>
        <v>30</v>
      </c>
      <c r="B49" s="292">
        <v>43877</v>
      </c>
      <c r="C49" s="292">
        <v>43889</v>
      </c>
      <c r="D49" s="293">
        <f t="shared" si="20"/>
        <v>6</v>
      </c>
      <c r="E49" s="168" t="s">
        <v>393</v>
      </c>
      <c r="F49" s="293">
        <f t="shared" si="21"/>
        <v>-2</v>
      </c>
      <c r="G49" s="293">
        <f t="shared" si="22"/>
        <v>4</v>
      </c>
      <c r="H49" s="69">
        <v>21641.17</v>
      </c>
      <c r="I49" s="242">
        <f t="shared" si="26"/>
        <v>86564.68</v>
      </c>
    </row>
    <row r="50" spans="1:9">
      <c r="A50" s="23">
        <f t="shared" ref="A50" si="27">A48+1</f>
        <v>30</v>
      </c>
      <c r="B50" s="292">
        <v>43891</v>
      </c>
      <c r="C50" s="292">
        <v>43905</v>
      </c>
      <c r="D50" s="293">
        <f t="shared" si="20"/>
        <v>7</v>
      </c>
      <c r="E50" s="168" t="s">
        <v>394</v>
      </c>
      <c r="F50" s="293">
        <f t="shared" si="21"/>
        <v>-4</v>
      </c>
      <c r="G50" s="293">
        <f t="shared" si="22"/>
        <v>3</v>
      </c>
      <c r="H50" s="295">
        <v>21641.16</v>
      </c>
      <c r="I50" s="242">
        <f t="shared" si="26"/>
        <v>64923.479999999996</v>
      </c>
    </row>
    <row r="51" spans="1:9">
      <c r="A51" s="23">
        <f t="shared" si="24"/>
        <v>31</v>
      </c>
      <c r="B51" s="292">
        <v>43906</v>
      </c>
      <c r="C51" s="292">
        <v>43921</v>
      </c>
      <c r="D51" s="293">
        <f t="shared" si="20"/>
        <v>7.5</v>
      </c>
      <c r="E51" s="168" t="s">
        <v>399</v>
      </c>
      <c r="F51" s="293">
        <f t="shared" si="21"/>
        <v>-4</v>
      </c>
      <c r="G51" s="293">
        <f t="shared" si="22"/>
        <v>3.5</v>
      </c>
      <c r="H51" s="69">
        <v>79848.88</v>
      </c>
      <c r="I51" s="242">
        <f t="shared" si="26"/>
        <v>279471.08</v>
      </c>
    </row>
    <row r="52" spans="1:9">
      <c r="A52" s="23">
        <f t="shared" ref="A52" si="28">A50+1</f>
        <v>31</v>
      </c>
      <c r="B52" s="292">
        <v>43922</v>
      </c>
      <c r="C52" s="292">
        <v>43936</v>
      </c>
      <c r="D52" s="293">
        <f t="shared" si="20"/>
        <v>7</v>
      </c>
      <c r="E52" s="168" t="s">
        <v>400</v>
      </c>
      <c r="F52" s="293">
        <f t="shared" si="21"/>
        <v>-2</v>
      </c>
      <c r="G52" s="293">
        <f t="shared" si="22"/>
        <v>5</v>
      </c>
      <c r="H52" s="295">
        <v>21641.19</v>
      </c>
      <c r="I52" s="242">
        <f t="shared" si="26"/>
        <v>108205.95</v>
      </c>
    </row>
    <row r="53" spans="1:9">
      <c r="A53" s="23">
        <f t="shared" si="24"/>
        <v>32</v>
      </c>
      <c r="B53" s="292">
        <v>43937</v>
      </c>
      <c r="C53" s="292">
        <v>43951</v>
      </c>
      <c r="D53" s="293">
        <f t="shared" si="20"/>
        <v>7</v>
      </c>
      <c r="E53" s="168" t="s">
        <v>401</v>
      </c>
      <c r="F53" s="293">
        <f t="shared" si="21"/>
        <v>-2</v>
      </c>
      <c r="G53" s="293">
        <f t="shared" si="22"/>
        <v>5</v>
      </c>
      <c r="H53" s="69">
        <v>22327.63</v>
      </c>
      <c r="I53" s="242">
        <f t="shared" si="26"/>
        <v>111638.15000000001</v>
      </c>
    </row>
    <row r="54" spans="1:9">
      <c r="A54" s="23">
        <f t="shared" ref="A54" si="29">A52+1</f>
        <v>32</v>
      </c>
      <c r="B54" s="292">
        <v>43952</v>
      </c>
      <c r="C54" s="292">
        <v>43966</v>
      </c>
      <c r="D54" s="293">
        <f t="shared" si="20"/>
        <v>7</v>
      </c>
      <c r="E54" s="168" t="s">
        <v>402</v>
      </c>
      <c r="F54" s="293">
        <f t="shared" si="21"/>
        <v>-2</v>
      </c>
      <c r="G54" s="293">
        <f t="shared" si="22"/>
        <v>5</v>
      </c>
      <c r="H54" s="295">
        <v>22794.15</v>
      </c>
      <c r="I54" s="242">
        <f t="shared" si="26"/>
        <v>113970.75</v>
      </c>
    </row>
    <row r="55" spans="1:9">
      <c r="A55" s="23">
        <f t="shared" si="24"/>
        <v>33</v>
      </c>
      <c r="B55" s="292">
        <v>43967</v>
      </c>
      <c r="C55" s="292">
        <v>43982</v>
      </c>
      <c r="D55" s="293">
        <f t="shared" si="20"/>
        <v>7.5</v>
      </c>
      <c r="E55" s="168" t="s">
        <v>403</v>
      </c>
      <c r="F55" s="293">
        <f t="shared" si="21"/>
        <v>-4</v>
      </c>
      <c r="G55" s="293">
        <f t="shared" si="22"/>
        <v>3.5</v>
      </c>
      <c r="H55" s="69">
        <v>22794.15</v>
      </c>
      <c r="I55" s="242">
        <f t="shared" si="26"/>
        <v>79779.525000000009</v>
      </c>
    </row>
    <row r="56" spans="1:9">
      <c r="A56" s="23">
        <f t="shared" ref="A56" si="30">A54+1</f>
        <v>33</v>
      </c>
      <c r="B56" s="292">
        <v>43983</v>
      </c>
      <c r="C56" s="292">
        <v>43997</v>
      </c>
      <c r="D56" s="293">
        <f t="shared" si="20"/>
        <v>7</v>
      </c>
      <c r="E56" s="168" t="s">
        <v>404</v>
      </c>
      <c r="F56" s="293">
        <f t="shared" si="21"/>
        <v>-4</v>
      </c>
      <c r="G56" s="293">
        <f t="shared" si="22"/>
        <v>3</v>
      </c>
      <c r="H56" s="295">
        <v>22753.11</v>
      </c>
      <c r="I56" s="242">
        <f t="shared" si="26"/>
        <v>68259.33</v>
      </c>
    </row>
    <row r="57" spans="1:9">
      <c r="A57" s="23">
        <f t="shared" si="24"/>
        <v>34</v>
      </c>
      <c r="B57" s="292">
        <v>43998</v>
      </c>
      <c r="C57" s="296" t="s">
        <v>386</v>
      </c>
      <c r="D57" s="293">
        <f t="shared" si="20"/>
        <v>7</v>
      </c>
      <c r="E57" s="168" t="s">
        <v>405</v>
      </c>
      <c r="F57" s="293">
        <f t="shared" si="21"/>
        <v>-4</v>
      </c>
      <c r="G57" s="293">
        <f t="shared" si="22"/>
        <v>3</v>
      </c>
      <c r="H57" s="69">
        <v>22626.78</v>
      </c>
      <c r="I57" s="242">
        <f t="shared" si="26"/>
        <v>67880.34</v>
      </c>
    </row>
    <row r="58" spans="1:9">
      <c r="A58" s="23">
        <f t="shared" ref="A58" si="31">A56+1</f>
        <v>34</v>
      </c>
      <c r="B58" s="292">
        <v>44013</v>
      </c>
      <c r="C58" s="296" t="s">
        <v>387</v>
      </c>
      <c r="D58" s="293">
        <f t="shared" si="20"/>
        <v>7</v>
      </c>
      <c r="E58" s="168" t="s">
        <v>406</v>
      </c>
      <c r="F58" s="293">
        <f t="shared" si="21"/>
        <v>-2</v>
      </c>
      <c r="G58" s="293">
        <f t="shared" si="22"/>
        <v>5</v>
      </c>
      <c r="H58" s="295">
        <v>22626.78</v>
      </c>
      <c r="I58" s="242">
        <f t="shared" si="26"/>
        <v>113133.9</v>
      </c>
    </row>
    <row r="59" spans="1:9">
      <c r="A59" s="23">
        <f t="shared" si="24"/>
        <v>35</v>
      </c>
      <c r="B59" s="292">
        <v>44028</v>
      </c>
      <c r="C59" s="296" t="s">
        <v>388</v>
      </c>
      <c r="D59" s="293">
        <f t="shared" si="20"/>
        <v>7.5</v>
      </c>
      <c r="E59" s="168" t="s">
        <v>395</v>
      </c>
      <c r="F59" s="293">
        <f t="shared" si="21"/>
        <v>-2</v>
      </c>
      <c r="G59" s="293">
        <f t="shared" si="22"/>
        <v>5.5</v>
      </c>
      <c r="H59" s="69">
        <v>23199.040000000001</v>
      </c>
      <c r="I59" s="242">
        <f t="shared" si="26"/>
        <v>127594.72</v>
      </c>
    </row>
    <row r="60" spans="1:9">
      <c r="A60" s="23">
        <f t="shared" ref="A60" si="32">A58+1</f>
        <v>35</v>
      </c>
      <c r="B60" s="292">
        <v>44044</v>
      </c>
      <c r="C60" s="292">
        <v>44058</v>
      </c>
      <c r="D60" s="293">
        <f t="shared" si="20"/>
        <v>7</v>
      </c>
      <c r="E60" s="168" t="s">
        <v>396</v>
      </c>
      <c r="F60" s="293">
        <f t="shared" si="21"/>
        <v>-3</v>
      </c>
      <c r="G60" s="293">
        <f t="shared" si="22"/>
        <v>4</v>
      </c>
      <c r="H60" s="295">
        <v>23277.48</v>
      </c>
      <c r="I60" s="242">
        <f t="shared" si="26"/>
        <v>93109.92</v>
      </c>
    </row>
    <row r="61" spans="1:9">
      <c r="A61" s="23">
        <f t="shared" si="24"/>
        <v>36</v>
      </c>
      <c r="B61" s="292">
        <v>44059</v>
      </c>
      <c r="C61" s="292">
        <v>44074</v>
      </c>
      <c r="D61" s="293">
        <f t="shared" si="20"/>
        <v>7.5</v>
      </c>
      <c r="E61" s="168" t="s">
        <v>407</v>
      </c>
      <c r="F61" s="293">
        <f t="shared" si="21"/>
        <v>-4</v>
      </c>
      <c r="G61" s="293">
        <f t="shared" si="22"/>
        <v>3.5</v>
      </c>
      <c r="H61" s="69">
        <v>497521.85</v>
      </c>
      <c r="I61" s="242">
        <f t="shared" si="26"/>
        <v>1741326.4749999999</v>
      </c>
    </row>
    <row r="62" spans="1:9">
      <c r="A62" s="23">
        <f t="shared" ref="A62" si="33">A60+1</f>
        <v>36</v>
      </c>
      <c r="B62" s="292">
        <v>44075</v>
      </c>
      <c r="C62" s="296" t="s">
        <v>389</v>
      </c>
      <c r="D62" s="293">
        <f t="shared" si="20"/>
        <v>7</v>
      </c>
      <c r="E62" s="168" t="s">
        <v>408</v>
      </c>
      <c r="F62" s="293">
        <f t="shared" si="21"/>
        <v>-4</v>
      </c>
      <c r="G62" s="293">
        <f t="shared" si="22"/>
        <v>3</v>
      </c>
      <c r="H62" s="295">
        <v>23648.799999999999</v>
      </c>
      <c r="I62" s="242">
        <f t="shared" si="26"/>
        <v>70946.399999999994</v>
      </c>
    </row>
    <row r="63" spans="1:9">
      <c r="A63" s="23">
        <f t="shared" si="24"/>
        <v>37</v>
      </c>
      <c r="B63" s="292">
        <v>44090</v>
      </c>
      <c r="C63" s="296" t="s">
        <v>390</v>
      </c>
      <c r="D63" s="293">
        <f t="shared" si="20"/>
        <v>7</v>
      </c>
      <c r="E63" s="168" t="s">
        <v>409</v>
      </c>
      <c r="F63" s="293">
        <f t="shared" si="21"/>
        <v>-2</v>
      </c>
      <c r="G63" s="293">
        <f t="shared" si="22"/>
        <v>5</v>
      </c>
      <c r="H63" s="69">
        <v>23648.79</v>
      </c>
      <c r="I63" s="242">
        <f t="shared" si="26"/>
        <v>118243.95000000001</v>
      </c>
    </row>
    <row r="64" spans="1:9">
      <c r="A64" s="23">
        <f t="shared" ref="A64" si="34">A62+1</f>
        <v>37</v>
      </c>
      <c r="B64" s="292">
        <v>44105</v>
      </c>
      <c r="C64" s="294">
        <v>44119</v>
      </c>
      <c r="D64" s="293">
        <f t="shared" si="20"/>
        <v>7</v>
      </c>
      <c r="E64" s="168" t="s">
        <v>410</v>
      </c>
      <c r="F64" s="293">
        <f t="shared" si="21"/>
        <v>-2</v>
      </c>
      <c r="G64" s="293">
        <f t="shared" si="22"/>
        <v>5</v>
      </c>
      <c r="H64" s="295">
        <v>23648.799999999999</v>
      </c>
      <c r="I64" s="242">
        <f t="shared" si="26"/>
        <v>118244</v>
      </c>
    </row>
    <row r="65" spans="1:9">
      <c r="A65" s="23">
        <f t="shared" si="24"/>
        <v>38</v>
      </c>
      <c r="B65" s="292">
        <v>44120</v>
      </c>
      <c r="C65" s="292">
        <v>44135</v>
      </c>
      <c r="D65" s="293">
        <f t="shared" si="20"/>
        <v>7.5</v>
      </c>
      <c r="E65" s="168" t="s">
        <v>411</v>
      </c>
      <c r="F65" s="293">
        <f t="shared" si="21"/>
        <v>-3</v>
      </c>
      <c r="G65" s="293">
        <f t="shared" si="22"/>
        <v>4.5</v>
      </c>
      <c r="H65" s="69">
        <v>23648.81</v>
      </c>
      <c r="I65" s="242">
        <f t="shared" si="26"/>
        <v>106419.645</v>
      </c>
    </row>
    <row r="66" spans="1:9">
      <c r="A66" s="23">
        <f t="shared" ref="A66" si="35">A64+1</f>
        <v>38</v>
      </c>
      <c r="B66" s="292">
        <v>44136</v>
      </c>
      <c r="C66" s="292">
        <v>44150</v>
      </c>
      <c r="D66" s="293">
        <f t="shared" si="20"/>
        <v>7</v>
      </c>
      <c r="E66" s="168" t="s">
        <v>412</v>
      </c>
      <c r="F66" s="293">
        <f t="shared" si="21"/>
        <v>-5</v>
      </c>
      <c r="G66" s="293">
        <f t="shared" si="22"/>
        <v>2</v>
      </c>
      <c r="H66" s="295">
        <v>23648.79</v>
      </c>
      <c r="I66" s="242">
        <f t="shared" si="26"/>
        <v>47297.58</v>
      </c>
    </row>
    <row r="67" spans="1:9">
      <c r="A67" s="23">
        <f t="shared" si="24"/>
        <v>39</v>
      </c>
      <c r="B67" s="292">
        <v>44151</v>
      </c>
      <c r="C67" s="294">
        <v>44165</v>
      </c>
      <c r="D67" s="293">
        <f t="shared" si="20"/>
        <v>7</v>
      </c>
      <c r="E67" s="168" t="s">
        <v>413</v>
      </c>
      <c r="F67" s="293">
        <f t="shared" si="21"/>
        <v>-5</v>
      </c>
      <c r="G67" s="293">
        <f t="shared" si="22"/>
        <v>2</v>
      </c>
      <c r="H67" s="69">
        <v>17551.060000000001</v>
      </c>
      <c r="I67" s="242">
        <f t="shared" si="26"/>
        <v>35102.120000000003</v>
      </c>
    </row>
    <row r="68" spans="1:9">
      <c r="A68" s="23">
        <f t="shared" ref="A68" si="36">A66+1</f>
        <v>39</v>
      </c>
      <c r="B68" s="292">
        <v>44166</v>
      </c>
      <c r="C68" s="294">
        <v>44180</v>
      </c>
      <c r="D68" s="293">
        <f t="shared" si="20"/>
        <v>7</v>
      </c>
      <c r="E68" s="168" t="s">
        <v>414</v>
      </c>
      <c r="F68" s="293">
        <f t="shared" si="21"/>
        <v>-4</v>
      </c>
      <c r="G68" s="293">
        <f t="shared" si="22"/>
        <v>3</v>
      </c>
      <c r="H68" s="295">
        <v>17551.060000000001</v>
      </c>
      <c r="I68" s="242">
        <f t="shared" si="26"/>
        <v>52653.180000000008</v>
      </c>
    </row>
    <row r="69" spans="1:9">
      <c r="A69" s="23">
        <f t="shared" si="24"/>
        <v>40</v>
      </c>
      <c r="B69" s="292">
        <v>44181</v>
      </c>
      <c r="C69" s="294">
        <v>44196</v>
      </c>
      <c r="D69" s="293">
        <f t="shared" si="20"/>
        <v>7.5</v>
      </c>
      <c r="E69" s="168" t="s">
        <v>397</v>
      </c>
      <c r="F69" s="293">
        <f t="shared" si="21"/>
        <v>-2</v>
      </c>
      <c r="G69" s="293">
        <f t="shared" si="22"/>
        <v>5.5</v>
      </c>
      <c r="H69" s="69">
        <v>17551.060000000001</v>
      </c>
      <c r="I69" s="242">
        <f t="shared" si="26"/>
        <v>96530.83</v>
      </c>
    </row>
    <row r="71" spans="1:9">
      <c r="A71" s="101">
        <f>A69+1</f>
        <v>41</v>
      </c>
      <c r="B71" s="150" t="s">
        <v>535</v>
      </c>
      <c r="G71" s="302">
        <f>IF(H71=0,0,I71/H71)</f>
        <v>3.7859875170913573</v>
      </c>
      <c r="H71" s="303">
        <f>SUM(H44:H69)</f>
        <v>1060514.0500000003</v>
      </c>
      <c r="I71" s="303">
        <f>SUM(I44:I69)</f>
        <v>4015092.9550000005</v>
      </c>
    </row>
    <row r="72" spans="1:9">
      <c r="A72" s="101"/>
    </row>
    <row r="73" spans="1:9" ht="15.75" thickBot="1">
      <c r="A73" s="101">
        <f>A71+1</f>
        <v>42</v>
      </c>
      <c r="B73" s="16" t="s">
        <v>536</v>
      </c>
      <c r="G73" s="268">
        <f>IF(H73=0,0,I73/H73)</f>
        <v>9.899380536560999</v>
      </c>
      <c r="H73" s="243">
        <f>H43+H71</f>
        <v>6951141.4699999988</v>
      </c>
      <c r="I73" s="243">
        <f>I43+I71</f>
        <v>68811994.575000003</v>
      </c>
    </row>
    <row r="74" spans="1:9" ht="15.75" thickTop="1"/>
    <row r="76" spans="1:9">
      <c r="B76" s="16" t="s">
        <v>537</v>
      </c>
    </row>
  </sheetData>
  <mergeCells count="4">
    <mergeCell ref="A2:I2"/>
    <mergeCell ref="A3:I3"/>
    <mergeCell ref="A4:I4"/>
    <mergeCell ref="A5:I5"/>
  </mergeCells>
  <phoneticPr fontId="37" type="noConversion"/>
  <printOptions horizontalCentered="1"/>
  <pageMargins left="0.7" right="0.7" top="0.75" bottom="0.75" header="0.3" footer="0.3"/>
  <pageSetup scale="88" fitToHeight="0" orientation="landscape" blackAndWhite="1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5">
    <tabColor theme="4" tint="0.39997558519241921"/>
    <pageSetUpPr fitToPage="1"/>
  </sheetPr>
  <dimension ref="A1:J19"/>
  <sheetViews>
    <sheetView showGridLines="0" zoomScale="85" zoomScaleNormal="85" workbookViewId="0">
      <pane ySplit="5" topLeftCell="A6" activePane="bottomLeft" state="frozen"/>
      <selection pane="bottomLeft" activeCell="E21" sqref="E21"/>
    </sheetView>
  </sheetViews>
  <sheetFormatPr defaultColWidth="8.88671875" defaultRowHeight="15"/>
  <cols>
    <col min="1" max="1" width="9" style="16" bestFit="1" customWidth="1"/>
    <col min="2" max="2" width="25.5546875" style="16" customWidth="1"/>
    <col min="3" max="8" width="14.77734375" style="16" customWidth="1"/>
    <col min="9" max="9" width="19.88671875" style="16" customWidth="1"/>
    <col min="10" max="10" width="15.44140625" style="16" bestFit="1" customWidth="1"/>
    <col min="11" max="16384" width="8.88671875" style="16"/>
  </cols>
  <sheetData>
    <row r="1" spans="1:10" s="107" customFormat="1" ht="15.75">
      <c r="H1" s="246"/>
    </row>
    <row r="2" spans="1:10" ht="15.75">
      <c r="A2" s="434" t="str">
        <f>'General Inputs'!$B$2</f>
        <v>Delta Natural Gas Company</v>
      </c>
      <c r="B2" s="434"/>
      <c r="C2" s="434"/>
      <c r="D2" s="434"/>
      <c r="E2" s="434"/>
      <c r="F2" s="434"/>
      <c r="G2" s="434"/>
      <c r="H2" s="434"/>
    </row>
    <row r="3" spans="1:10" ht="15.75">
      <c r="A3" s="434" t="str">
        <f>'General Inputs'!$D$34&amp;" "&amp;'General Inputs'!$E$34</f>
        <v>Case No. 2021-00185</v>
      </c>
      <c r="B3" s="434"/>
      <c r="C3" s="434"/>
      <c r="D3" s="434"/>
      <c r="E3" s="434"/>
      <c r="F3" s="434"/>
      <c r="G3" s="434"/>
      <c r="H3" s="434"/>
    </row>
    <row r="4" spans="1:10" ht="15.75">
      <c r="A4" s="434" t="str">
        <f>"For the Year Ended "&amp;TEXT('General Inputs'!E28,"Mmmm dd, yyyy")</f>
        <v>For the Year Ended December 31, 2020</v>
      </c>
      <c r="B4" s="434"/>
      <c r="C4" s="434"/>
      <c r="D4" s="434"/>
      <c r="E4" s="434"/>
      <c r="F4" s="434"/>
      <c r="G4" s="434"/>
      <c r="H4" s="434"/>
    </row>
    <row r="5" spans="1:10" ht="16.5" thickBot="1">
      <c r="A5" s="435" t="s">
        <v>532</v>
      </c>
      <c r="B5" s="435"/>
      <c r="C5" s="435"/>
      <c r="D5" s="435"/>
      <c r="E5" s="435"/>
      <c r="F5" s="435"/>
      <c r="G5" s="435"/>
      <c r="H5" s="435"/>
    </row>
    <row r="9" spans="1:10" ht="15.75">
      <c r="A9" s="18" t="s">
        <v>29</v>
      </c>
      <c r="B9" s="18"/>
      <c r="C9" s="55" t="s">
        <v>351</v>
      </c>
      <c r="D9" s="55" t="s">
        <v>79</v>
      </c>
      <c r="E9" s="56" t="s">
        <v>172</v>
      </c>
      <c r="F9" s="56" t="s">
        <v>528</v>
      </c>
      <c r="G9" s="56" t="s">
        <v>39</v>
      </c>
      <c r="H9" s="56" t="s">
        <v>30</v>
      </c>
    </row>
    <row r="10" spans="1:10" ht="20.25">
      <c r="A10" s="185" t="s">
        <v>24</v>
      </c>
      <c r="B10" s="192" t="s">
        <v>1</v>
      </c>
      <c r="C10" s="192" t="s">
        <v>54</v>
      </c>
      <c r="D10" s="192" t="s">
        <v>54</v>
      </c>
      <c r="E10" s="193" t="s">
        <v>150</v>
      </c>
      <c r="F10" s="193" t="s">
        <v>40</v>
      </c>
      <c r="G10" s="193" t="s">
        <v>30</v>
      </c>
      <c r="H10" s="193" t="s">
        <v>33</v>
      </c>
      <c r="I10" s="193" t="s">
        <v>15</v>
      </c>
      <c r="J10" s="193" t="s">
        <v>28</v>
      </c>
    </row>
    <row r="11" spans="1:10" ht="15.75">
      <c r="A11" s="20"/>
      <c r="B11" s="20"/>
      <c r="C11" s="18" t="s">
        <v>34</v>
      </c>
      <c r="D11" s="18" t="s">
        <v>35</v>
      </c>
      <c r="E11" s="145" t="s">
        <v>107</v>
      </c>
      <c r="F11" s="36" t="s">
        <v>37</v>
      </c>
      <c r="G11" s="36" t="s">
        <v>529</v>
      </c>
      <c r="H11" s="36" t="s">
        <v>530</v>
      </c>
    </row>
    <row r="12" spans="1:10">
      <c r="A12" s="27"/>
      <c r="B12" s="27"/>
      <c r="C12" s="31"/>
      <c r="D12" s="31"/>
      <c r="E12" s="21"/>
      <c r="F12" s="31"/>
      <c r="G12" s="31"/>
      <c r="H12" s="27"/>
    </row>
    <row r="13" spans="1:10" ht="15.75">
      <c r="A13" s="23">
        <v>1</v>
      </c>
      <c r="B13" s="297" t="s">
        <v>527</v>
      </c>
      <c r="C13" s="130">
        <v>43466</v>
      </c>
      <c r="D13" s="130">
        <f>EOMONTH(C13,11)</f>
        <v>43830</v>
      </c>
      <c r="E13" s="173">
        <f>(D13-C13)/2</f>
        <v>182</v>
      </c>
      <c r="F13" s="298">
        <v>43873</v>
      </c>
      <c r="G13" s="96">
        <f>F13-D13</f>
        <v>43</v>
      </c>
      <c r="H13" s="299">
        <f>E13+G13</f>
        <v>225</v>
      </c>
      <c r="I13" s="93">
        <v>357777</v>
      </c>
      <c r="J13" s="93">
        <f>H13*I13</f>
        <v>80499825</v>
      </c>
    </row>
    <row r="14" spans="1:10">
      <c r="A14" s="23"/>
      <c r="B14" s="23"/>
      <c r="C14" s="21"/>
      <c r="D14" s="60"/>
      <c r="E14" s="57"/>
      <c r="F14" s="75"/>
      <c r="G14" s="75"/>
      <c r="H14" s="27"/>
      <c r="J14" s="274"/>
    </row>
    <row r="15" spans="1:10">
      <c r="A15" s="23">
        <v>2</v>
      </c>
      <c r="B15" s="297" t="s">
        <v>527</v>
      </c>
      <c r="C15" s="130">
        <v>43647</v>
      </c>
      <c r="D15" s="130">
        <f>EOMONTH(C15,11)</f>
        <v>44012</v>
      </c>
      <c r="E15" s="173">
        <f>(D15-C15)/2</f>
        <v>182.5</v>
      </c>
      <c r="F15" s="298">
        <v>44070</v>
      </c>
      <c r="G15" s="96">
        <f>F15-D15</f>
        <v>58</v>
      </c>
      <c r="H15" s="59">
        <f>E15+G15</f>
        <v>240.5</v>
      </c>
      <c r="I15" s="274">
        <v>172535</v>
      </c>
      <c r="J15" s="274">
        <f>H15*I15</f>
        <v>41494667.5</v>
      </c>
    </row>
    <row r="16" spans="1:10" s="107" customFormat="1">
      <c r="A16" s="123"/>
      <c r="B16" s="176"/>
      <c r="C16" s="130"/>
      <c r="D16" s="130"/>
      <c r="E16" s="173"/>
      <c r="F16" s="130"/>
      <c r="G16" s="173"/>
      <c r="H16" s="131"/>
      <c r="J16" s="276"/>
    </row>
    <row r="17" spans="1:10">
      <c r="A17" s="23">
        <v>3</v>
      </c>
      <c r="B17" s="150" t="s">
        <v>19</v>
      </c>
      <c r="C17" s="21"/>
      <c r="D17" s="60"/>
      <c r="E17" s="57"/>
      <c r="F17" s="75"/>
      <c r="G17" s="75"/>
      <c r="H17" s="27"/>
      <c r="I17" s="300">
        <f>SUM(I13:I15)</f>
        <v>530312</v>
      </c>
      <c r="J17" s="93">
        <f>SUM(J13:J15)</f>
        <v>121994492.5</v>
      </c>
    </row>
    <row r="18" spans="1:10">
      <c r="A18" s="23"/>
      <c r="B18" s="150"/>
      <c r="C18" s="21"/>
      <c r="D18" s="60"/>
      <c r="E18" s="57"/>
      <c r="F18" s="75"/>
      <c r="G18" s="75"/>
      <c r="H18" s="27"/>
    </row>
    <row r="19" spans="1:10">
      <c r="A19" s="101">
        <v>4</v>
      </c>
      <c r="B19" s="16" t="s">
        <v>533</v>
      </c>
      <c r="J19" s="96">
        <f>J17/I17</f>
        <v>230.04286627494758</v>
      </c>
    </row>
  </sheetData>
  <mergeCells count="4">
    <mergeCell ref="A2:H2"/>
    <mergeCell ref="A3:H3"/>
    <mergeCell ref="A4:H4"/>
    <mergeCell ref="A5:H5"/>
  </mergeCells>
  <printOptions horizontalCentered="1"/>
  <pageMargins left="0.7" right="0.7" top="0.75" bottom="0.75" header="0.3" footer="0.3"/>
  <pageSetup scale="80" fitToHeight="0" orientation="landscape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6">
    <tabColor theme="4" tint="0.39997558519241921"/>
    <pageSetUpPr fitToPage="1"/>
  </sheetPr>
  <dimension ref="A1:O154"/>
  <sheetViews>
    <sheetView showGridLines="0" zoomScale="85" zoomScaleNormal="85" workbookViewId="0">
      <pane ySplit="5" topLeftCell="A6" activePane="bottomLeft" state="frozen"/>
      <selection pane="bottomLeft" activeCell="H161" sqref="H161"/>
    </sheetView>
  </sheetViews>
  <sheetFormatPr defaultColWidth="8.88671875" defaultRowHeight="15"/>
  <cols>
    <col min="1" max="1" width="9" style="245" bestFit="1" customWidth="1"/>
    <col min="2" max="2" width="31.33203125" style="135" bestFit="1" customWidth="1"/>
    <col min="3" max="3" width="39.33203125" style="135" customWidth="1"/>
    <col min="4" max="5" width="12.77734375" style="135" customWidth="1"/>
    <col min="6" max="6" width="10.77734375" style="135" bestFit="1" customWidth="1"/>
    <col min="7" max="8" width="16.77734375" style="135" customWidth="1"/>
    <col min="9" max="9" width="10.109375" style="135" customWidth="1"/>
    <col min="10" max="16384" width="8.88671875" style="135"/>
  </cols>
  <sheetData>
    <row r="1" spans="1:8" s="152" customFormat="1" ht="15.75">
      <c r="A1" s="264"/>
      <c r="C1" s="151"/>
      <c r="D1" s="151"/>
      <c r="E1" s="151"/>
      <c r="H1" s="267"/>
    </row>
    <row r="2" spans="1:8" s="16" customFormat="1" ht="15.75">
      <c r="A2" s="434" t="str">
        <f>'General Inputs'!$B$2</f>
        <v>Delta Natural Gas Company</v>
      </c>
      <c r="B2" s="434"/>
      <c r="C2" s="434"/>
      <c r="D2" s="434"/>
      <c r="E2" s="434"/>
      <c r="F2" s="434"/>
      <c r="G2" s="434"/>
      <c r="H2" s="434"/>
    </row>
    <row r="3" spans="1:8" s="16" customFormat="1" ht="15.75">
      <c r="A3" s="434" t="str">
        <f>'General Inputs'!$D$34&amp;" "&amp;'General Inputs'!$E$34</f>
        <v>Case No. 2021-00185</v>
      </c>
      <c r="B3" s="434"/>
      <c r="C3" s="434"/>
      <c r="D3" s="434"/>
      <c r="E3" s="434"/>
      <c r="F3" s="434"/>
      <c r="G3" s="434"/>
      <c r="H3" s="434"/>
    </row>
    <row r="4" spans="1:8" s="16" customFormat="1" ht="15.75">
      <c r="A4" s="434" t="str">
        <f>"For the Year Ended "&amp;TEXT('General Inputs'!E28,"Mmmm dd, yyyy")</f>
        <v>For the Year Ended December 31, 2020</v>
      </c>
      <c r="B4" s="434"/>
      <c r="C4" s="434"/>
      <c r="D4" s="434"/>
      <c r="E4" s="434"/>
      <c r="F4" s="434"/>
      <c r="G4" s="434"/>
      <c r="H4" s="434"/>
    </row>
    <row r="5" spans="1:8" s="16" customFormat="1" ht="16.5" thickBot="1">
      <c r="A5" s="435" t="s">
        <v>83</v>
      </c>
      <c r="B5" s="435"/>
      <c r="C5" s="435"/>
      <c r="D5" s="435"/>
      <c r="E5" s="435"/>
      <c r="F5" s="435"/>
      <c r="G5" s="435"/>
      <c r="H5" s="435"/>
    </row>
    <row r="6" spans="1:8" s="16" customFormat="1">
      <c r="A6" s="101"/>
    </row>
    <row r="7" spans="1:8" s="16" customFormat="1" ht="15.75">
      <c r="A7" s="53" t="s">
        <v>29</v>
      </c>
      <c r="B7" s="53"/>
      <c r="C7" s="53"/>
      <c r="D7" s="39" t="s">
        <v>41</v>
      </c>
      <c r="E7" s="39" t="s">
        <v>148</v>
      </c>
      <c r="F7" s="33" t="s">
        <v>39</v>
      </c>
      <c r="G7" s="39" t="s">
        <v>31</v>
      </c>
      <c r="H7" s="39" t="s">
        <v>28</v>
      </c>
    </row>
    <row r="8" spans="1:8" s="16" customFormat="1" ht="20.25">
      <c r="A8" s="190" t="s">
        <v>24</v>
      </c>
      <c r="B8" s="190" t="s">
        <v>64</v>
      </c>
      <c r="C8" s="190" t="s">
        <v>1</v>
      </c>
      <c r="D8" s="190" t="s">
        <v>146</v>
      </c>
      <c r="E8" s="190" t="s">
        <v>147</v>
      </c>
      <c r="F8" s="190" t="s">
        <v>30</v>
      </c>
      <c r="G8" s="190" t="s">
        <v>15</v>
      </c>
      <c r="H8" s="190" t="s">
        <v>30</v>
      </c>
    </row>
    <row r="9" spans="1:8" s="16" customFormat="1" ht="15.75">
      <c r="A9" s="54"/>
      <c r="B9" s="41" t="s">
        <v>34</v>
      </c>
      <c r="C9" s="22" t="s">
        <v>35</v>
      </c>
      <c r="D9" s="22" t="s">
        <v>36</v>
      </c>
      <c r="E9" s="134" t="s">
        <v>37</v>
      </c>
      <c r="F9" s="22" t="s">
        <v>190</v>
      </c>
      <c r="G9" s="41" t="s">
        <v>55</v>
      </c>
      <c r="H9" s="41" t="s">
        <v>104</v>
      </c>
    </row>
    <row r="10" spans="1:8" s="16" customFormat="1" ht="15.75">
      <c r="A10" s="54"/>
      <c r="B10" s="54"/>
      <c r="C10" s="54"/>
      <c r="D10" s="22"/>
      <c r="E10" s="134"/>
      <c r="F10" s="22"/>
      <c r="G10" s="41"/>
      <c r="H10" s="41"/>
    </row>
    <row r="11" spans="1:8" s="16" customFormat="1" ht="15.75">
      <c r="A11" s="54"/>
      <c r="B11" s="254" t="s">
        <v>51</v>
      </c>
      <c r="C11" s="54"/>
      <c r="D11" s="22"/>
      <c r="E11" s="134"/>
      <c r="F11" s="22"/>
      <c r="G11" s="41"/>
      <c r="H11" s="41"/>
    </row>
    <row r="12" spans="1:8">
      <c r="A12" s="245">
        <v>1</v>
      </c>
      <c r="B12" s="137" t="s">
        <v>145</v>
      </c>
      <c r="C12" s="137" t="s">
        <v>145</v>
      </c>
      <c r="D12" s="292">
        <f>E12-14</f>
        <v>43813</v>
      </c>
      <c r="E12" s="292">
        <v>43827</v>
      </c>
      <c r="F12" s="138">
        <f t="shared" ref="F12:F26" si="0">E12-D12</f>
        <v>14</v>
      </c>
      <c r="G12" s="244">
        <v>18785.98</v>
      </c>
      <c r="H12" s="244">
        <f t="shared" ref="H12:H26" si="1">F12*G12</f>
        <v>263003.71999999997</v>
      </c>
    </row>
    <row r="13" spans="1:8">
      <c r="A13" s="245">
        <f>A12+1</f>
        <v>2</v>
      </c>
      <c r="B13" s="137" t="s">
        <v>145</v>
      </c>
      <c r="C13" s="137" t="s">
        <v>145</v>
      </c>
      <c r="D13" s="292">
        <f t="shared" ref="D13:D26" si="2">E13-14</f>
        <v>43827</v>
      </c>
      <c r="E13" s="292">
        <v>43841</v>
      </c>
      <c r="F13" s="138">
        <f t="shared" si="0"/>
        <v>14</v>
      </c>
      <c r="G13" s="244">
        <v>18410.37</v>
      </c>
      <c r="H13" s="244">
        <f t="shared" si="1"/>
        <v>257745.18</v>
      </c>
    </row>
    <row r="14" spans="1:8">
      <c r="A14" s="245">
        <f t="shared" ref="A14:A26" si="3">A13+1</f>
        <v>3</v>
      </c>
      <c r="B14" s="137" t="s">
        <v>145</v>
      </c>
      <c r="C14" s="137" t="s">
        <v>145</v>
      </c>
      <c r="D14" s="292">
        <f t="shared" si="2"/>
        <v>43841</v>
      </c>
      <c r="E14" s="292">
        <v>43855</v>
      </c>
      <c r="F14" s="138">
        <f t="shared" si="0"/>
        <v>14</v>
      </c>
      <c r="G14" s="244">
        <v>18324.310000000001</v>
      </c>
      <c r="H14" s="244">
        <f t="shared" si="1"/>
        <v>256540.34000000003</v>
      </c>
    </row>
    <row r="15" spans="1:8">
      <c r="A15" s="245">
        <f t="shared" si="3"/>
        <v>4</v>
      </c>
      <c r="B15" s="137" t="s">
        <v>145</v>
      </c>
      <c r="C15" s="137" t="s">
        <v>145</v>
      </c>
      <c r="D15" s="292">
        <f t="shared" si="2"/>
        <v>43855</v>
      </c>
      <c r="E15" s="292">
        <v>43869</v>
      </c>
      <c r="F15" s="138">
        <f t="shared" si="0"/>
        <v>14</v>
      </c>
      <c r="G15" s="244">
        <v>51620.88</v>
      </c>
      <c r="H15" s="244">
        <f t="shared" si="1"/>
        <v>722692.32</v>
      </c>
    </row>
    <row r="16" spans="1:8">
      <c r="A16" s="245">
        <f t="shared" si="3"/>
        <v>5</v>
      </c>
      <c r="B16" s="137" t="s">
        <v>145</v>
      </c>
      <c r="C16" s="137" t="s">
        <v>145</v>
      </c>
      <c r="D16" s="292">
        <f t="shared" si="2"/>
        <v>43869</v>
      </c>
      <c r="E16" s="292">
        <v>43883</v>
      </c>
      <c r="F16" s="138">
        <f t="shared" si="0"/>
        <v>14</v>
      </c>
      <c r="G16" s="244">
        <v>18621.439999999999</v>
      </c>
      <c r="H16" s="244">
        <f t="shared" si="1"/>
        <v>260700.15999999997</v>
      </c>
    </row>
    <row r="17" spans="1:8">
      <c r="A17" s="245">
        <f t="shared" si="3"/>
        <v>6</v>
      </c>
      <c r="B17" s="137" t="s">
        <v>145</v>
      </c>
      <c r="C17" s="137" t="s">
        <v>145</v>
      </c>
      <c r="D17" s="292">
        <f t="shared" si="2"/>
        <v>43883</v>
      </c>
      <c r="E17" s="292">
        <v>43897</v>
      </c>
      <c r="F17" s="138">
        <f t="shared" si="0"/>
        <v>14</v>
      </c>
      <c r="G17" s="244">
        <v>19580.59</v>
      </c>
      <c r="H17" s="244">
        <f t="shared" si="1"/>
        <v>274128.26</v>
      </c>
    </row>
    <row r="18" spans="1:8">
      <c r="A18" s="245">
        <f t="shared" si="3"/>
        <v>7</v>
      </c>
      <c r="B18" s="137" t="s">
        <v>145</v>
      </c>
      <c r="C18" s="137" t="s">
        <v>145</v>
      </c>
      <c r="D18" s="292">
        <f t="shared" si="2"/>
        <v>43897</v>
      </c>
      <c r="E18" s="292">
        <v>43911</v>
      </c>
      <c r="F18" s="138">
        <f t="shared" si="0"/>
        <v>14</v>
      </c>
      <c r="G18" s="244">
        <v>19326.84</v>
      </c>
      <c r="H18" s="244">
        <f t="shared" si="1"/>
        <v>270575.76</v>
      </c>
    </row>
    <row r="19" spans="1:8">
      <c r="A19" s="245">
        <f t="shared" si="3"/>
        <v>8</v>
      </c>
      <c r="B19" s="137" t="s">
        <v>145</v>
      </c>
      <c r="C19" s="137" t="s">
        <v>145</v>
      </c>
      <c r="D19" s="292">
        <f t="shared" si="2"/>
        <v>43911</v>
      </c>
      <c r="E19" s="292">
        <v>43925</v>
      </c>
      <c r="F19" s="138">
        <f t="shared" si="0"/>
        <v>14</v>
      </c>
      <c r="G19" s="244">
        <v>19207.32</v>
      </c>
      <c r="H19" s="244">
        <f t="shared" si="1"/>
        <v>268902.48</v>
      </c>
    </row>
    <row r="20" spans="1:8">
      <c r="A20" s="245">
        <f t="shared" si="3"/>
        <v>9</v>
      </c>
      <c r="B20" s="137" t="s">
        <v>145</v>
      </c>
      <c r="C20" s="137" t="s">
        <v>145</v>
      </c>
      <c r="D20" s="292">
        <f t="shared" si="2"/>
        <v>43831</v>
      </c>
      <c r="E20" s="305">
        <v>43845</v>
      </c>
      <c r="F20" s="138">
        <f t="shared" si="0"/>
        <v>14</v>
      </c>
      <c r="G20" s="244">
        <v>2348.54</v>
      </c>
      <c r="H20" s="244">
        <f t="shared" si="1"/>
        <v>32879.56</v>
      </c>
    </row>
    <row r="21" spans="1:8">
      <c r="A21" s="245">
        <f t="shared" si="3"/>
        <v>10</v>
      </c>
      <c r="B21" s="137" t="s">
        <v>145</v>
      </c>
      <c r="C21" s="137" t="s">
        <v>145</v>
      </c>
      <c r="D21" s="292">
        <f t="shared" si="2"/>
        <v>43847</v>
      </c>
      <c r="E21" s="305">
        <v>43861</v>
      </c>
      <c r="F21" s="138">
        <f t="shared" si="0"/>
        <v>14</v>
      </c>
      <c r="G21" s="244">
        <v>2348.54</v>
      </c>
      <c r="H21" s="244">
        <f t="shared" si="1"/>
        <v>32879.56</v>
      </c>
    </row>
    <row r="22" spans="1:8">
      <c r="A22" s="245">
        <f t="shared" si="3"/>
        <v>11</v>
      </c>
      <c r="B22" s="137" t="s">
        <v>145</v>
      </c>
      <c r="C22" s="137" t="s">
        <v>145</v>
      </c>
      <c r="D22" s="292">
        <f t="shared" si="2"/>
        <v>43862</v>
      </c>
      <c r="E22" s="305">
        <v>43876</v>
      </c>
      <c r="F22" s="138">
        <f t="shared" si="0"/>
        <v>14</v>
      </c>
      <c r="G22" s="244">
        <v>2348.54</v>
      </c>
      <c r="H22" s="244">
        <f t="shared" si="1"/>
        <v>32879.56</v>
      </c>
    </row>
    <row r="23" spans="1:8">
      <c r="A23" s="245">
        <f t="shared" si="3"/>
        <v>12</v>
      </c>
      <c r="B23" s="137" t="s">
        <v>145</v>
      </c>
      <c r="C23" s="137" t="s">
        <v>145</v>
      </c>
      <c r="D23" s="292">
        <f t="shared" si="2"/>
        <v>43875</v>
      </c>
      <c r="E23" s="305">
        <v>43889</v>
      </c>
      <c r="F23" s="138">
        <f t="shared" si="0"/>
        <v>14</v>
      </c>
      <c r="G23" s="244">
        <v>2348.54</v>
      </c>
      <c r="H23" s="244">
        <f t="shared" si="1"/>
        <v>32879.56</v>
      </c>
    </row>
    <row r="24" spans="1:8">
      <c r="A24" s="245">
        <f t="shared" si="3"/>
        <v>13</v>
      </c>
      <c r="B24" s="137" t="s">
        <v>145</v>
      </c>
      <c r="C24" s="137" t="s">
        <v>145</v>
      </c>
      <c r="D24" s="292">
        <f t="shared" si="2"/>
        <v>43891</v>
      </c>
      <c r="E24" s="305">
        <v>43905</v>
      </c>
      <c r="F24" s="138">
        <f t="shared" si="0"/>
        <v>14</v>
      </c>
      <c r="G24" s="244">
        <v>2348.54</v>
      </c>
      <c r="H24" s="244">
        <f t="shared" si="1"/>
        <v>32879.56</v>
      </c>
    </row>
    <row r="25" spans="1:8">
      <c r="A25" s="245">
        <f t="shared" si="3"/>
        <v>14</v>
      </c>
      <c r="B25" s="137" t="s">
        <v>145</v>
      </c>
      <c r="C25" s="137" t="s">
        <v>145</v>
      </c>
      <c r="D25" s="292">
        <f t="shared" si="2"/>
        <v>43907</v>
      </c>
      <c r="E25" s="305">
        <v>43921</v>
      </c>
      <c r="F25" s="138">
        <f t="shared" si="0"/>
        <v>14</v>
      </c>
      <c r="G25" s="244">
        <v>2348.54</v>
      </c>
      <c r="H25" s="244">
        <f t="shared" si="1"/>
        <v>32879.56</v>
      </c>
    </row>
    <row r="26" spans="1:8">
      <c r="A26" s="245">
        <f t="shared" si="3"/>
        <v>15</v>
      </c>
      <c r="B26" s="137" t="s">
        <v>145</v>
      </c>
      <c r="C26" s="137" t="s">
        <v>145</v>
      </c>
      <c r="D26" s="292">
        <f t="shared" si="2"/>
        <v>43922</v>
      </c>
      <c r="E26" s="305">
        <v>43936</v>
      </c>
      <c r="F26" s="138">
        <f t="shared" si="0"/>
        <v>14</v>
      </c>
      <c r="G26" s="244">
        <v>2348.54</v>
      </c>
      <c r="H26" s="244">
        <f t="shared" si="1"/>
        <v>32879.56</v>
      </c>
    </row>
    <row r="27" spans="1:8">
      <c r="H27" s="244"/>
    </row>
    <row r="28" spans="1:8" ht="15.75">
      <c r="A28" s="245">
        <f>A26+1</f>
        <v>16</v>
      </c>
      <c r="B28" s="137"/>
      <c r="E28" s="139" t="s">
        <v>19</v>
      </c>
      <c r="F28" s="311">
        <f>IF(G28=0,0,H28/G28)</f>
        <v>13.999999999999998</v>
      </c>
      <c r="G28" s="313">
        <f>SUM(G12:G27)</f>
        <v>200317.51000000007</v>
      </c>
      <c r="H28" s="314">
        <f>SUM(H12:H27)</f>
        <v>2804445.1400000006</v>
      </c>
    </row>
    <row r="29" spans="1:8" ht="15.75">
      <c r="B29" s="137"/>
      <c r="E29" s="139"/>
      <c r="F29" s="306"/>
      <c r="G29" s="307"/>
      <c r="H29" s="308"/>
    </row>
    <row r="30" spans="1:8">
      <c r="A30" s="309">
        <v>47</v>
      </c>
      <c r="B30" s="310" t="s">
        <v>539</v>
      </c>
      <c r="C30" s="310" t="s">
        <v>539</v>
      </c>
      <c r="D30" s="292">
        <v>43827</v>
      </c>
      <c r="E30" s="305">
        <v>43832</v>
      </c>
      <c r="F30" s="138">
        <f t="shared" ref="F30:F82" si="4">E30-D30</f>
        <v>5</v>
      </c>
      <c r="G30" s="244">
        <v>4393.49</v>
      </c>
      <c r="H30" s="244">
        <f t="shared" ref="H30:H82" si="5">F30*G30</f>
        <v>21967.449999999997</v>
      </c>
    </row>
    <row r="31" spans="1:8">
      <c r="A31" s="309">
        <v>48</v>
      </c>
      <c r="B31" s="310" t="s">
        <v>539</v>
      </c>
      <c r="C31" s="310" t="s">
        <v>539</v>
      </c>
      <c r="D31" s="292">
        <v>43841</v>
      </c>
      <c r="E31" s="305" t="s">
        <v>540</v>
      </c>
      <c r="F31" s="138">
        <f t="shared" si="4"/>
        <v>5</v>
      </c>
      <c r="G31" s="244">
        <v>4305.6499999999996</v>
      </c>
      <c r="H31" s="244">
        <f t="shared" si="5"/>
        <v>21528.25</v>
      </c>
    </row>
    <row r="32" spans="1:8">
      <c r="A32" s="309">
        <v>49</v>
      </c>
      <c r="B32" s="310" t="s">
        <v>539</v>
      </c>
      <c r="C32" s="310" t="s">
        <v>539</v>
      </c>
      <c r="D32" s="292">
        <v>43855</v>
      </c>
      <c r="E32" s="305" t="s">
        <v>541</v>
      </c>
      <c r="F32" s="138">
        <f t="shared" si="4"/>
        <v>5</v>
      </c>
      <c r="G32" s="244">
        <v>4285.5200000000004</v>
      </c>
      <c r="H32" s="244">
        <f t="shared" si="5"/>
        <v>21427.600000000002</v>
      </c>
    </row>
    <row r="33" spans="1:8">
      <c r="A33" s="309">
        <v>50</v>
      </c>
      <c r="B33" s="310" t="s">
        <v>539</v>
      </c>
      <c r="C33" s="310" t="s">
        <v>539</v>
      </c>
      <c r="D33" s="292">
        <v>43869</v>
      </c>
      <c r="E33" s="305" t="s">
        <v>542</v>
      </c>
      <c r="F33" s="138">
        <f t="shared" si="4"/>
        <v>5</v>
      </c>
      <c r="G33" s="244">
        <v>12072.63</v>
      </c>
      <c r="H33" s="244">
        <f t="shared" si="5"/>
        <v>60363.149999999994</v>
      </c>
    </row>
    <row r="34" spans="1:8">
      <c r="A34" s="309">
        <v>51</v>
      </c>
      <c r="B34" s="310" t="s">
        <v>539</v>
      </c>
      <c r="C34" s="310" t="s">
        <v>539</v>
      </c>
      <c r="D34" s="292">
        <v>43883</v>
      </c>
      <c r="E34" s="305" t="s">
        <v>543</v>
      </c>
      <c r="F34" s="138">
        <f t="shared" si="4"/>
        <v>5</v>
      </c>
      <c r="G34" s="244">
        <v>4355.0200000000004</v>
      </c>
      <c r="H34" s="244">
        <f t="shared" si="5"/>
        <v>21775.100000000002</v>
      </c>
    </row>
    <row r="35" spans="1:8">
      <c r="A35" s="309">
        <v>52</v>
      </c>
      <c r="B35" s="310" t="s">
        <v>539</v>
      </c>
      <c r="C35" s="310" t="s">
        <v>539</v>
      </c>
      <c r="D35" s="292">
        <v>43897</v>
      </c>
      <c r="E35" s="305" t="s">
        <v>544</v>
      </c>
      <c r="F35" s="138">
        <f t="shared" si="4"/>
        <v>5</v>
      </c>
      <c r="G35" s="244">
        <v>4579.33</v>
      </c>
      <c r="H35" s="244">
        <f t="shared" si="5"/>
        <v>22896.65</v>
      </c>
    </row>
    <row r="36" spans="1:8">
      <c r="A36" s="309">
        <v>53</v>
      </c>
      <c r="B36" s="310" t="s">
        <v>539</v>
      </c>
      <c r="C36" s="310" t="s">
        <v>539</v>
      </c>
      <c r="D36" s="292">
        <v>43911</v>
      </c>
      <c r="E36" s="305" t="s">
        <v>545</v>
      </c>
      <c r="F36" s="138">
        <f t="shared" si="4"/>
        <v>5</v>
      </c>
      <c r="G36" s="244">
        <v>4519.99</v>
      </c>
      <c r="H36" s="244">
        <f t="shared" si="5"/>
        <v>22599.949999999997</v>
      </c>
    </row>
    <row r="37" spans="1:8">
      <c r="A37" s="309">
        <v>54</v>
      </c>
      <c r="B37" s="310" t="s">
        <v>539</v>
      </c>
      <c r="C37" s="310" t="s">
        <v>539</v>
      </c>
      <c r="D37" s="292">
        <v>43925</v>
      </c>
      <c r="E37" s="305" t="s">
        <v>546</v>
      </c>
      <c r="F37" s="138">
        <f t="shared" si="4"/>
        <v>4</v>
      </c>
      <c r="G37" s="244">
        <v>4492.03</v>
      </c>
      <c r="H37" s="244">
        <f t="shared" si="5"/>
        <v>17968.12</v>
      </c>
    </row>
    <row r="38" spans="1:8">
      <c r="A38" s="309">
        <v>55</v>
      </c>
      <c r="B38" s="310" t="s">
        <v>539</v>
      </c>
      <c r="C38" s="310" t="s">
        <v>539</v>
      </c>
      <c r="D38" s="292">
        <v>43939</v>
      </c>
      <c r="E38" s="305">
        <v>43944</v>
      </c>
      <c r="F38" s="138">
        <f t="shared" si="4"/>
        <v>5</v>
      </c>
      <c r="G38" s="244">
        <v>4567.66</v>
      </c>
      <c r="H38" s="244">
        <f t="shared" si="5"/>
        <v>22838.3</v>
      </c>
    </row>
    <row r="39" spans="1:8">
      <c r="A39" s="309">
        <v>56</v>
      </c>
      <c r="B39" s="310" t="s">
        <v>539</v>
      </c>
      <c r="C39" s="310" t="s">
        <v>539</v>
      </c>
      <c r="D39" s="292">
        <v>43953</v>
      </c>
      <c r="E39" s="305">
        <v>43958</v>
      </c>
      <c r="F39" s="138">
        <f t="shared" si="4"/>
        <v>5</v>
      </c>
      <c r="G39" s="244">
        <v>4559.1000000000004</v>
      </c>
      <c r="H39" s="244">
        <f t="shared" si="5"/>
        <v>22795.5</v>
      </c>
    </row>
    <row r="40" spans="1:8">
      <c r="A40" s="309">
        <v>57</v>
      </c>
      <c r="B40" s="310" t="s">
        <v>539</v>
      </c>
      <c r="C40" s="310" t="s">
        <v>539</v>
      </c>
      <c r="D40" s="292">
        <v>43967</v>
      </c>
      <c r="E40" s="305">
        <v>43972</v>
      </c>
      <c r="F40" s="138">
        <f t="shared" si="4"/>
        <v>5</v>
      </c>
      <c r="G40" s="244">
        <v>4501.42</v>
      </c>
      <c r="H40" s="244">
        <f t="shared" si="5"/>
        <v>22507.1</v>
      </c>
    </row>
    <row r="41" spans="1:8">
      <c r="A41" s="309">
        <v>58</v>
      </c>
      <c r="B41" s="310" t="s">
        <v>539</v>
      </c>
      <c r="C41" s="310" t="s">
        <v>539</v>
      </c>
      <c r="D41" s="292">
        <v>43981</v>
      </c>
      <c r="E41" s="305">
        <v>43986</v>
      </c>
      <c r="F41" s="138">
        <f t="shared" si="4"/>
        <v>5</v>
      </c>
      <c r="G41" s="244">
        <v>4525.99</v>
      </c>
      <c r="H41" s="244">
        <f t="shared" si="5"/>
        <v>22629.949999999997</v>
      </c>
    </row>
    <row r="42" spans="1:8">
      <c r="A42" s="309">
        <v>59</v>
      </c>
      <c r="B42" s="310" t="s">
        <v>539</v>
      </c>
      <c r="C42" s="310" t="s">
        <v>539</v>
      </c>
      <c r="D42" s="292">
        <v>43995</v>
      </c>
      <c r="E42" s="305">
        <v>44000</v>
      </c>
      <c r="F42" s="138">
        <f t="shared" si="4"/>
        <v>5</v>
      </c>
      <c r="G42" s="244">
        <v>4536.09</v>
      </c>
      <c r="H42" s="244">
        <f t="shared" si="5"/>
        <v>22680.45</v>
      </c>
    </row>
    <row r="43" spans="1:8">
      <c r="A43" s="309">
        <v>60</v>
      </c>
      <c r="B43" s="310" t="s">
        <v>539</v>
      </c>
      <c r="C43" s="310" t="s">
        <v>539</v>
      </c>
      <c r="D43" s="292">
        <v>44009</v>
      </c>
      <c r="E43" s="305">
        <v>44013</v>
      </c>
      <c r="F43" s="138">
        <f t="shared" si="4"/>
        <v>4</v>
      </c>
      <c r="G43" s="244">
        <v>4495.95</v>
      </c>
      <c r="H43" s="244">
        <f t="shared" si="5"/>
        <v>17983.8</v>
      </c>
    </row>
    <row r="44" spans="1:8">
      <c r="A44" s="309">
        <v>61</v>
      </c>
      <c r="B44" s="310" t="s">
        <v>539</v>
      </c>
      <c r="C44" s="310" t="s">
        <v>539</v>
      </c>
      <c r="D44" s="292">
        <v>44023</v>
      </c>
      <c r="E44" s="305">
        <v>44028</v>
      </c>
      <c r="F44" s="138">
        <f t="shared" si="4"/>
        <v>5</v>
      </c>
      <c r="G44" s="244">
        <v>4470.34</v>
      </c>
      <c r="H44" s="244">
        <f t="shared" si="5"/>
        <v>22351.7</v>
      </c>
    </row>
    <row r="45" spans="1:8">
      <c r="A45" s="309">
        <v>62</v>
      </c>
      <c r="B45" s="310" t="s">
        <v>539</v>
      </c>
      <c r="C45" s="310" t="s">
        <v>539</v>
      </c>
      <c r="D45" s="292">
        <v>44037</v>
      </c>
      <c r="E45" s="305">
        <v>44042</v>
      </c>
      <c r="F45" s="138">
        <f t="shared" si="4"/>
        <v>5</v>
      </c>
      <c r="G45" s="244">
        <v>4516.2299999999996</v>
      </c>
      <c r="H45" s="244">
        <f t="shared" si="5"/>
        <v>22581.149999999998</v>
      </c>
    </row>
    <row r="46" spans="1:8">
      <c r="A46" s="309">
        <v>63</v>
      </c>
      <c r="B46" s="310" t="s">
        <v>539</v>
      </c>
      <c r="C46" s="310" t="s">
        <v>539</v>
      </c>
      <c r="D46" s="292">
        <v>44051</v>
      </c>
      <c r="E46" s="305">
        <v>44056</v>
      </c>
      <c r="F46" s="138">
        <f t="shared" si="4"/>
        <v>5</v>
      </c>
      <c r="G46" s="244">
        <v>4549.8999999999996</v>
      </c>
      <c r="H46" s="244">
        <f t="shared" si="5"/>
        <v>22749.5</v>
      </c>
    </row>
    <row r="47" spans="1:8">
      <c r="A47" s="309">
        <v>64</v>
      </c>
      <c r="B47" s="310" t="s">
        <v>539</v>
      </c>
      <c r="C47" s="310" t="s">
        <v>539</v>
      </c>
      <c r="D47" s="292">
        <v>44065</v>
      </c>
      <c r="E47" s="305">
        <v>44070</v>
      </c>
      <c r="F47" s="138">
        <f t="shared" si="4"/>
        <v>5</v>
      </c>
      <c r="G47" s="244">
        <v>7125.33</v>
      </c>
      <c r="H47" s="244">
        <f t="shared" si="5"/>
        <v>35626.65</v>
      </c>
    </row>
    <row r="48" spans="1:8" ht="14.25" customHeight="1">
      <c r="A48" s="309">
        <v>65</v>
      </c>
      <c r="B48" s="310" t="s">
        <v>539</v>
      </c>
      <c r="C48" s="310" t="s">
        <v>539</v>
      </c>
      <c r="D48" s="292">
        <v>44079</v>
      </c>
      <c r="E48" s="305">
        <v>44084</v>
      </c>
      <c r="F48" s="138">
        <f t="shared" si="4"/>
        <v>5</v>
      </c>
      <c r="G48" s="244">
        <v>4630.96</v>
      </c>
      <c r="H48" s="244">
        <f t="shared" si="5"/>
        <v>23154.799999999999</v>
      </c>
    </row>
    <row r="49" spans="1:15" ht="14.25" customHeight="1">
      <c r="A49" s="309">
        <v>66</v>
      </c>
      <c r="B49" s="310" t="s">
        <v>539</v>
      </c>
      <c r="C49" s="310" t="s">
        <v>539</v>
      </c>
      <c r="D49" s="292">
        <v>44093</v>
      </c>
      <c r="E49" s="305">
        <v>44098</v>
      </c>
      <c r="F49" s="138">
        <f t="shared" si="4"/>
        <v>5</v>
      </c>
      <c r="G49" s="244">
        <v>4659.6000000000004</v>
      </c>
      <c r="H49" s="244">
        <f t="shared" si="5"/>
        <v>23298</v>
      </c>
    </row>
    <row r="50" spans="1:15" ht="14.25" customHeight="1">
      <c r="A50" s="309">
        <v>67</v>
      </c>
      <c r="B50" s="310" t="s">
        <v>539</v>
      </c>
      <c r="C50" s="310" t="s">
        <v>539</v>
      </c>
      <c r="D50" s="292">
        <v>44107</v>
      </c>
      <c r="E50" s="305">
        <v>44112</v>
      </c>
      <c r="F50" s="138">
        <f t="shared" si="4"/>
        <v>5</v>
      </c>
      <c r="G50" s="244">
        <v>4665.3900000000003</v>
      </c>
      <c r="H50" s="244">
        <f t="shared" si="5"/>
        <v>23326.95</v>
      </c>
    </row>
    <row r="51" spans="1:15" ht="14.25" customHeight="1">
      <c r="A51" s="309">
        <v>68</v>
      </c>
      <c r="B51" s="310" t="s">
        <v>539</v>
      </c>
      <c r="C51" s="310" t="s">
        <v>539</v>
      </c>
      <c r="D51" s="292">
        <v>44121</v>
      </c>
      <c r="E51" s="305">
        <v>44126</v>
      </c>
      <c r="F51" s="138">
        <f t="shared" si="4"/>
        <v>5</v>
      </c>
      <c r="G51" s="244">
        <v>4688.6000000000004</v>
      </c>
      <c r="H51" s="244">
        <f t="shared" si="5"/>
        <v>23443</v>
      </c>
    </row>
    <row r="52" spans="1:15" ht="14.25" customHeight="1">
      <c r="A52" s="309">
        <v>69</v>
      </c>
      <c r="B52" s="310" t="s">
        <v>539</v>
      </c>
      <c r="C52" s="310" t="s">
        <v>539</v>
      </c>
      <c r="D52" s="292">
        <v>44135</v>
      </c>
      <c r="E52" s="305">
        <v>44140</v>
      </c>
      <c r="F52" s="138">
        <f t="shared" si="4"/>
        <v>5</v>
      </c>
      <c r="G52" s="244">
        <v>4722.91</v>
      </c>
      <c r="H52" s="244">
        <f t="shared" si="5"/>
        <v>23614.55</v>
      </c>
    </row>
    <row r="53" spans="1:15" ht="14.25" customHeight="1">
      <c r="A53" s="309">
        <v>70</v>
      </c>
      <c r="B53" s="310" t="s">
        <v>539</v>
      </c>
      <c r="C53" s="310" t="s">
        <v>539</v>
      </c>
      <c r="D53" s="292">
        <v>44141</v>
      </c>
      <c r="E53" s="305">
        <v>44140</v>
      </c>
      <c r="F53" s="138">
        <f t="shared" si="4"/>
        <v>-1</v>
      </c>
      <c r="G53" s="244">
        <v>1986.5</v>
      </c>
      <c r="H53" s="244">
        <f t="shared" si="5"/>
        <v>-1986.5</v>
      </c>
    </row>
    <row r="54" spans="1:15" ht="14.25" customHeight="1">
      <c r="A54" s="309">
        <v>71</v>
      </c>
      <c r="B54" s="310" t="s">
        <v>539</v>
      </c>
      <c r="C54" s="310" t="s">
        <v>539</v>
      </c>
      <c r="D54" s="292">
        <v>44149</v>
      </c>
      <c r="E54" s="305">
        <v>44154</v>
      </c>
      <c r="F54" s="138">
        <f t="shared" si="4"/>
        <v>5</v>
      </c>
      <c r="G54" s="244">
        <v>4530.68</v>
      </c>
      <c r="H54" s="244">
        <f t="shared" si="5"/>
        <v>22653.4</v>
      </c>
    </row>
    <row r="55" spans="1:15" ht="14.25" customHeight="1">
      <c r="A55" s="309">
        <v>72</v>
      </c>
      <c r="B55" s="310" t="s">
        <v>539</v>
      </c>
      <c r="C55" s="310" t="s">
        <v>539</v>
      </c>
      <c r="D55" s="292">
        <v>44162</v>
      </c>
      <c r="E55" s="305">
        <v>44160</v>
      </c>
      <c r="F55" s="138">
        <f t="shared" si="4"/>
        <v>-2</v>
      </c>
      <c r="G55" s="244">
        <v>145</v>
      </c>
      <c r="H55" s="244">
        <f t="shared" si="5"/>
        <v>-290</v>
      </c>
    </row>
    <row r="56" spans="1:15" ht="14.25" customHeight="1">
      <c r="A56" s="309">
        <v>73</v>
      </c>
      <c r="B56" s="310" t="s">
        <v>539</v>
      </c>
      <c r="C56" s="310" t="s">
        <v>539</v>
      </c>
      <c r="D56" s="292">
        <v>44163</v>
      </c>
      <c r="E56" s="305">
        <v>44168</v>
      </c>
      <c r="F56" s="138">
        <f t="shared" si="4"/>
        <v>5</v>
      </c>
      <c r="G56" s="244">
        <v>4592.83</v>
      </c>
      <c r="H56" s="244">
        <f t="shared" si="5"/>
        <v>22964.15</v>
      </c>
      <c r="J56" s="152"/>
      <c r="K56" s="152"/>
      <c r="L56" s="152"/>
      <c r="M56" s="152"/>
      <c r="N56" s="152"/>
      <c r="O56" s="152"/>
    </row>
    <row r="57" spans="1:15" ht="14.25" customHeight="1">
      <c r="A57" s="309">
        <v>74</v>
      </c>
      <c r="B57" s="310" t="s">
        <v>539</v>
      </c>
      <c r="C57" s="310" t="s">
        <v>539</v>
      </c>
      <c r="D57" s="292">
        <v>44177</v>
      </c>
      <c r="E57" s="305">
        <v>44182</v>
      </c>
      <c r="F57" s="138">
        <f t="shared" si="4"/>
        <v>5</v>
      </c>
      <c r="G57" s="244">
        <v>4566.04</v>
      </c>
      <c r="H57" s="244">
        <f t="shared" si="5"/>
        <v>22830.2</v>
      </c>
      <c r="J57" s="152"/>
      <c r="K57" s="152"/>
      <c r="L57" s="152"/>
      <c r="M57" s="152"/>
      <c r="N57" s="152"/>
      <c r="O57" s="152"/>
    </row>
    <row r="58" spans="1:15" ht="14.25" customHeight="1">
      <c r="A58" s="309">
        <v>75</v>
      </c>
      <c r="B58" s="310" t="s">
        <v>539</v>
      </c>
      <c r="C58" s="310" t="s">
        <v>539</v>
      </c>
      <c r="D58" s="292">
        <v>44191</v>
      </c>
      <c r="E58" s="305">
        <v>44195</v>
      </c>
      <c r="F58" s="138">
        <f t="shared" si="4"/>
        <v>4</v>
      </c>
      <c r="G58" s="244">
        <v>4449.3100000000004</v>
      </c>
      <c r="H58" s="244">
        <f t="shared" si="5"/>
        <v>17797.240000000002</v>
      </c>
      <c r="J58" s="152"/>
      <c r="K58" s="152"/>
      <c r="L58" s="152"/>
      <c r="M58" s="152"/>
      <c r="N58" s="152"/>
      <c r="O58" s="152"/>
    </row>
    <row r="59" spans="1:15" ht="14.25" customHeight="1">
      <c r="A59" s="309">
        <v>76</v>
      </c>
      <c r="B59" s="310" t="s">
        <v>539</v>
      </c>
      <c r="C59" s="310" t="s">
        <v>539</v>
      </c>
      <c r="D59" s="292">
        <v>43845</v>
      </c>
      <c r="E59" s="305">
        <v>43844</v>
      </c>
      <c r="F59" s="138">
        <f t="shared" si="4"/>
        <v>-1</v>
      </c>
      <c r="G59" s="244">
        <v>549.26</v>
      </c>
      <c r="H59" s="244">
        <f t="shared" si="5"/>
        <v>-549.26</v>
      </c>
      <c r="J59" s="152"/>
      <c r="K59" s="152"/>
      <c r="L59" s="152"/>
      <c r="M59" s="152"/>
      <c r="N59" s="152"/>
      <c r="O59" s="152"/>
    </row>
    <row r="60" spans="1:15" ht="14.25" customHeight="1">
      <c r="A60" s="309">
        <v>77</v>
      </c>
      <c r="B60" s="310" t="s">
        <v>539</v>
      </c>
      <c r="C60" s="310" t="s">
        <v>539</v>
      </c>
      <c r="D60" s="292">
        <v>43861</v>
      </c>
      <c r="E60" s="305">
        <v>43860</v>
      </c>
      <c r="F60" s="138">
        <f t="shared" si="4"/>
        <v>-1</v>
      </c>
      <c r="G60" s="244">
        <v>549.26</v>
      </c>
      <c r="H60" s="244">
        <f t="shared" si="5"/>
        <v>-549.26</v>
      </c>
      <c r="J60" s="152"/>
      <c r="K60" s="152"/>
      <c r="L60" s="152"/>
      <c r="M60" s="152"/>
      <c r="N60" s="152"/>
      <c r="O60" s="152"/>
    </row>
    <row r="61" spans="1:15" ht="14.25" customHeight="1">
      <c r="A61" s="309">
        <v>78</v>
      </c>
      <c r="B61" s="310" t="s">
        <v>539</v>
      </c>
      <c r="C61" s="310" t="s">
        <v>539</v>
      </c>
      <c r="D61" s="292">
        <v>43876</v>
      </c>
      <c r="E61" s="305">
        <v>43874</v>
      </c>
      <c r="F61" s="138">
        <f t="shared" si="4"/>
        <v>-2</v>
      </c>
      <c r="G61" s="244">
        <v>549.26</v>
      </c>
      <c r="H61" s="244">
        <f t="shared" si="5"/>
        <v>-1098.52</v>
      </c>
      <c r="J61" s="152"/>
      <c r="K61" s="152"/>
      <c r="L61" s="152"/>
      <c r="M61" s="152"/>
      <c r="N61" s="152"/>
      <c r="O61" s="152"/>
    </row>
    <row r="62" spans="1:15" ht="14.25" customHeight="1">
      <c r="A62" s="309">
        <v>79</v>
      </c>
      <c r="B62" s="310" t="s">
        <v>539</v>
      </c>
      <c r="C62" s="310" t="s">
        <v>539</v>
      </c>
      <c r="D62" s="292">
        <v>43889</v>
      </c>
      <c r="E62" s="305">
        <v>43888</v>
      </c>
      <c r="F62" s="138">
        <f t="shared" si="4"/>
        <v>-1</v>
      </c>
      <c r="G62" s="244">
        <v>549.26</v>
      </c>
      <c r="H62" s="244">
        <f t="shared" si="5"/>
        <v>-549.26</v>
      </c>
      <c r="J62" s="152"/>
      <c r="K62" s="152"/>
      <c r="L62" s="152"/>
      <c r="M62" s="152"/>
      <c r="N62" s="152"/>
      <c r="O62" s="152"/>
    </row>
    <row r="63" spans="1:15" ht="14.25" customHeight="1">
      <c r="A63" s="309">
        <v>80</v>
      </c>
      <c r="B63" s="310" t="s">
        <v>539</v>
      </c>
      <c r="C63" s="310" t="s">
        <v>539</v>
      </c>
      <c r="D63" s="292">
        <v>43905</v>
      </c>
      <c r="E63" s="305">
        <v>43902</v>
      </c>
      <c r="F63" s="138">
        <f t="shared" si="4"/>
        <v>-3</v>
      </c>
      <c r="G63" s="244">
        <v>549.26</v>
      </c>
      <c r="H63" s="244">
        <f t="shared" si="5"/>
        <v>-1647.78</v>
      </c>
      <c r="J63" s="152"/>
      <c r="K63" s="152"/>
      <c r="L63" s="152"/>
      <c r="M63" s="152"/>
      <c r="N63" s="152"/>
      <c r="O63" s="152"/>
    </row>
    <row r="64" spans="1:15" ht="14.25" customHeight="1">
      <c r="A64" s="309">
        <v>81</v>
      </c>
      <c r="B64" s="310" t="s">
        <v>539</v>
      </c>
      <c r="C64" s="310" t="s">
        <v>539</v>
      </c>
      <c r="D64" s="292">
        <v>43921</v>
      </c>
      <c r="E64" s="305">
        <v>43920</v>
      </c>
      <c r="F64" s="138">
        <f t="shared" si="4"/>
        <v>-1</v>
      </c>
      <c r="G64" s="244">
        <v>549.26</v>
      </c>
      <c r="H64" s="244">
        <f t="shared" si="5"/>
        <v>-549.26</v>
      </c>
      <c r="J64" s="152"/>
      <c r="K64" s="152"/>
      <c r="L64" s="152"/>
      <c r="M64" s="152"/>
      <c r="N64" s="152"/>
      <c r="O64" s="152"/>
    </row>
    <row r="65" spans="1:8" ht="14.25" customHeight="1">
      <c r="A65" s="309">
        <v>82</v>
      </c>
      <c r="B65" s="310" t="s">
        <v>539</v>
      </c>
      <c r="C65" s="310" t="s">
        <v>539</v>
      </c>
      <c r="D65" s="292">
        <v>43936</v>
      </c>
      <c r="E65" s="305">
        <v>43935</v>
      </c>
      <c r="F65" s="138">
        <f t="shared" si="4"/>
        <v>-1</v>
      </c>
      <c r="G65" s="244">
        <v>549.26</v>
      </c>
      <c r="H65" s="244">
        <f t="shared" si="5"/>
        <v>-549.26</v>
      </c>
    </row>
    <row r="66" spans="1:8" ht="14.25" customHeight="1">
      <c r="A66" s="309">
        <v>83</v>
      </c>
      <c r="B66" s="310" t="s">
        <v>539</v>
      </c>
      <c r="C66" s="310" t="s">
        <v>539</v>
      </c>
      <c r="D66" s="292">
        <v>43951</v>
      </c>
      <c r="E66" s="305">
        <v>43950</v>
      </c>
      <c r="F66" s="138">
        <f t="shared" si="4"/>
        <v>-1</v>
      </c>
      <c r="G66" s="244">
        <v>549.26</v>
      </c>
      <c r="H66" s="244">
        <f t="shared" si="5"/>
        <v>-549.26</v>
      </c>
    </row>
    <row r="67" spans="1:8" ht="14.25" customHeight="1">
      <c r="A67" s="309">
        <v>84</v>
      </c>
      <c r="B67" s="310" t="s">
        <v>539</v>
      </c>
      <c r="C67" s="310" t="s">
        <v>539</v>
      </c>
      <c r="D67" s="292">
        <v>43966</v>
      </c>
      <c r="E67" s="305">
        <v>43965</v>
      </c>
      <c r="F67" s="138">
        <f t="shared" si="4"/>
        <v>-1</v>
      </c>
      <c r="G67" s="244">
        <v>549.26</v>
      </c>
      <c r="H67" s="244">
        <f t="shared" si="5"/>
        <v>-549.26</v>
      </c>
    </row>
    <row r="68" spans="1:8" ht="14.25" customHeight="1">
      <c r="A68" s="309">
        <v>85</v>
      </c>
      <c r="B68" s="310" t="s">
        <v>539</v>
      </c>
      <c r="C68" s="310" t="s">
        <v>539</v>
      </c>
      <c r="D68" s="292">
        <v>43982</v>
      </c>
      <c r="E68" s="305">
        <v>43980</v>
      </c>
      <c r="F68" s="138">
        <f t="shared" si="4"/>
        <v>-2</v>
      </c>
      <c r="G68" s="244">
        <v>549.26</v>
      </c>
      <c r="H68" s="244">
        <f t="shared" si="5"/>
        <v>-1098.52</v>
      </c>
    </row>
    <row r="69" spans="1:8" ht="14.25" customHeight="1">
      <c r="A69" s="309">
        <v>86</v>
      </c>
      <c r="B69" s="310" t="s">
        <v>539</v>
      </c>
      <c r="C69" s="310" t="s">
        <v>539</v>
      </c>
      <c r="D69" s="292">
        <v>43997</v>
      </c>
      <c r="E69" s="305">
        <v>43994</v>
      </c>
      <c r="F69" s="138">
        <f t="shared" si="4"/>
        <v>-3</v>
      </c>
      <c r="G69" s="244">
        <v>549.26</v>
      </c>
      <c r="H69" s="244">
        <f t="shared" si="5"/>
        <v>-1647.78</v>
      </c>
    </row>
    <row r="70" spans="1:8" ht="14.25" customHeight="1">
      <c r="A70" s="309">
        <v>87</v>
      </c>
      <c r="B70" s="310" t="s">
        <v>539</v>
      </c>
      <c r="C70" s="310" t="s">
        <v>539</v>
      </c>
      <c r="D70" s="292">
        <v>44012</v>
      </c>
      <c r="E70" s="305">
        <v>44011</v>
      </c>
      <c r="F70" s="138">
        <f t="shared" si="4"/>
        <v>-1</v>
      </c>
      <c r="G70" s="244">
        <v>549.26</v>
      </c>
      <c r="H70" s="244">
        <f t="shared" si="5"/>
        <v>-549.26</v>
      </c>
    </row>
    <row r="71" spans="1:8" ht="14.25" customHeight="1">
      <c r="A71" s="309">
        <v>88</v>
      </c>
      <c r="B71" s="310" t="s">
        <v>539</v>
      </c>
      <c r="C71" s="310" t="s">
        <v>539</v>
      </c>
      <c r="D71" s="292">
        <v>44027</v>
      </c>
      <c r="E71" s="305">
        <v>44026</v>
      </c>
      <c r="F71" s="138">
        <f t="shared" si="4"/>
        <v>-1</v>
      </c>
      <c r="G71" s="244">
        <v>549.26</v>
      </c>
      <c r="H71" s="244">
        <f t="shared" si="5"/>
        <v>-549.26</v>
      </c>
    </row>
    <row r="72" spans="1:8" ht="14.25" customHeight="1">
      <c r="A72" s="309">
        <v>89</v>
      </c>
      <c r="B72" s="310" t="s">
        <v>539</v>
      </c>
      <c r="C72" s="310" t="s">
        <v>539</v>
      </c>
      <c r="D72" s="292">
        <v>44043</v>
      </c>
      <c r="E72" s="305">
        <v>44042</v>
      </c>
      <c r="F72" s="138">
        <f t="shared" si="4"/>
        <v>-1</v>
      </c>
      <c r="G72" s="244">
        <v>549.26</v>
      </c>
      <c r="H72" s="244">
        <f t="shared" si="5"/>
        <v>-549.26</v>
      </c>
    </row>
    <row r="73" spans="1:8" s="107" customFormat="1" ht="14.25" customHeight="1">
      <c r="A73" s="309">
        <v>90</v>
      </c>
      <c r="B73" s="310" t="s">
        <v>539</v>
      </c>
      <c r="C73" s="310" t="s">
        <v>539</v>
      </c>
      <c r="D73" s="292">
        <v>44058</v>
      </c>
      <c r="E73" s="305">
        <v>44056</v>
      </c>
      <c r="F73" s="138">
        <f t="shared" si="4"/>
        <v>-2</v>
      </c>
      <c r="G73" s="244">
        <v>549.26</v>
      </c>
      <c r="H73" s="244">
        <f t="shared" si="5"/>
        <v>-1098.52</v>
      </c>
    </row>
    <row r="74" spans="1:8" ht="14.25" customHeight="1">
      <c r="A74" s="309">
        <v>91</v>
      </c>
      <c r="B74" s="310" t="s">
        <v>539</v>
      </c>
      <c r="C74" s="310" t="s">
        <v>539</v>
      </c>
      <c r="D74" s="292">
        <v>44074</v>
      </c>
      <c r="E74" s="305">
        <v>44071</v>
      </c>
      <c r="F74" s="138">
        <f t="shared" si="4"/>
        <v>-3</v>
      </c>
      <c r="G74" s="244">
        <v>10466.73</v>
      </c>
      <c r="H74" s="244">
        <f t="shared" si="5"/>
        <v>-31400.19</v>
      </c>
    </row>
    <row r="75" spans="1:8" s="152" customFormat="1" ht="14.25" customHeight="1">
      <c r="A75" s="309">
        <v>92</v>
      </c>
      <c r="B75" s="310" t="s">
        <v>539</v>
      </c>
      <c r="C75" s="310" t="s">
        <v>539</v>
      </c>
      <c r="D75" s="292">
        <v>44089</v>
      </c>
      <c r="E75" s="305">
        <v>44088</v>
      </c>
      <c r="F75" s="138">
        <f t="shared" si="4"/>
        <v>-1</v>
      </c>
      <c r="G75" s="244">
        <v>549.26</v>
      </c>
      <c r="H75" s="244">
        <f t="shared" si="5"/>
        <v>-549.26</v>
      </c>
    </row>
    <row r="76" spans="1:8" ht="14.25" customHeight="1">
      <c r="A76" s="309">
        <v>93</v>
      </c>
      <c r="B76" s="310" t="s">
        <v>539</v>
      </c>
      <c r="C76" s="310" t="s">
        <v>539</v>
      </c>
      <c r="D76" s="292">
        <v>44104</v>
      </c>
      <c r="E76" s="305">
        <v>44103</v>
      </c>
      <c r="F76" s="138">
        <f t="shared" si="4"/>
        <v>-1</v>
      </c>
      <c r="G76" s="244">
        <v>549.26</v>
      </c>
      <c r="H76" s="244">
        <f t="shared" si="5"/>
        <v>-549.26</v>
      </c>
    </row>
    <row r="77" spans="1:8" ht="14.25" customHeight="1">
      <c r="A77" s="309">
        <v>94</v>
      </c>
      <c r="B77" s="310" t="s">
        <v>539</v>
      </c>
      <c r="C77" s="310" t="s">
        <v>539</v>
      </c>
      <c r="D77" s="292">
        <v>44119</v>
      </c>
      <c r="E77" s="305">
        <v>44118</v>
      </c>
      <c r="F77" s="138">
        <f t="shared" si="4"/>
        <v>-1</v>
      </c>
      <c r="G77" s="244">
        <v>549.26</v>
      </c>
      <c r="H77" s="244">
        <f t="shared" si="5"/>
        <v>-549.26</v>
      </c>
    </row>
    <row r="78" spans="1:8" ht="14.25" customHeight="1">
      <c r="A78" s="309">
        <v>95</v>
      </c>
      <c r="B78" s="310" t="s">
        <v>539</v>
      </c>
      <c r="C78" s="310" t="s">
        <v>539</v>
      </c>
      <c r="D78" s="292">
        <v>44135</v>
      </c>
      <c r="E78" s="305">
        <v>44133</v>
      </c>
      <c r="F78" s="138">
        <f t="shared" si="4"/>
        <v>-2</v>
      </c>
      <c r="G78" s="244">
        <v>549.26</v>
      </c>
      <c r="H78" s="244">
        <f t="shared" si="5"/>
        <v>-1098.52</v>
      </c>
    </row>
    <row r="79" spans="1:8" ht="14.25" customHeight="1">
      <c r="A79" s="309">
        <v>96</v>
      </c>
      <c r="B79" s="310" t="s">
        <v>539</v>
      </c>
      <c r="C79" s="310" t="s">
        <v>539</v>
      </c>
      <c r="D79" s="292">
        <v>44150</v>
      </c>
      <c r="E79" s="305">
        <v>44147</v>
      </c>
      <c r="F79" s="138">
        <f t="shared" si="4"/>
        <v>-3</v>
      </c>
      <c r="G79" s="244">
        <v>549.26</v>
      </c>
      <c r="H79" s="244">
        <f t="shared" si="5"/>
        <v>-1647.78</v>
      </c>
    </row>
    <row r="80" spans="1:8" ht="14.25" customHeight="1">
      <c r="A80" s="309">
        <v>97</v>
      </c>
      <c r="B80" s="310" t="s">
        <v>539</v>
      </c>
      <c r="C80" s="310" t="s">
        <v>539</v>
      </c>
      <c r="D80" s="292">
        <v>44165</v>
      </c>
      <c r="E80" s="305">
        <v>44162</v>
      </c>
      <c r="F80" s="138">
        <f t="shared" si="4"/>
        <v>-3</v>
      </c>
      <c r="G80" s="244">
        <v>421.83</v>
      </c>
      <c r="H80" s="244">
        <f t="shared" si="5"/>
        <v>-1265.49</v>
      </c>
    </row>
    <row r="81" spans="1:8" ht="14.25" customHeight="1">
      <c r="A81" s="309">
        <v>98</v>
      </c>
      <c r="B81" s="310" t="s">
        <v>539</v>
      </c>
      <c r="C81" s="310" t="s">
        <v>539</v>
      </c>
      <c r="D81" s="292">
        <v>44180</v>
      </c>
      <c r="E81" s="305">
        <v>44179</v>
      </c>
      <c r="F81" s="138">
        <f t="shared" si="4"/>
        <v>-1</v>
      </c>
      <c r="G81" s="244">
        <v>421.83</v>
      </c>
      <c r="H81" s="244">
        <f t="shared" si="5"/>
        <v>-421.83</v>
      </c>
    </row>
    <row r="82" spans="1:8" ht="14.25" customHeight="1">
      <c r="A82" s="309">
        <v>99</v>
      </c>
      <c r="B82" s="310" t="s">
        <v>539</v>
      </c>
      <c r="C82" s="310" t="s">
        <v>539</v>
      </c>
      <c r="D82" s="292">
        <v>44196</v>
      </c>
      <c r="E82" s="305">
        <v>44195</v>
      </c>
      <c r="F82" s="138">
        <f t="shared" si="4"/>
        <v>-1</v>
      </c>
      <c r="G82" s="244">
        <v>421.83</v>
      </c>
      <c r="H82" s="244">
        <f t="shared" si="5"/>
        <v>-421.83</v>
      </c>
    </row>
    <row r="84" spans="1:8" ht="15.75">
      <c r="E84" s="139" t="s">
        <v>19</v>
      </c>
      <c r="F84" s="311">
        <f>IF(G84=0,0,H84/G84)</f>
        <v>3.7917482125944675</v>
      </c>
      <c r="G84" s="312">
        <f>SUM(G30:G83)</f>
        <v>157206.91000000015</v>
      </c>
      <c r="H84" s="312">
        <f>SUM(H30:H83)</f>
        <v>596089.0199999999</v>
      </c>
    </row>
    <row r="86" spans="1:8">
      <c r="A86" s="309">
        <v>101</v>
      </c>
      <c r="B86" s="315" t="s">
        <v>66</v>
      </c>
      <c r="C86" s="315" t="s">
        <v>66</v>
      </c>
      <c r="D86" s="292">
        <v>43827</v>
      </c>
      <c r="E86" s="305">
        <v>43832</v>
      </c>
      <c r="F86" s="138">
        <f t="shared" ref="F86:F115" si="6">E86-D86</f>
        <v>5</v>
      </c>
      <c r="G86" s="244">
        <v>1787.86</v>
      </c>
      <c r="H86" s="244">
        <f t="shared" ref="H86:H115" si="7">F86*G86</f>
        <v>8939.2999999999993</v>
      </c>
    </row>
    <row r="87" spans="1:8">
      <c r="A87" s="309">
        <v>102</v>
      </c>
      <c r="B87" s="315" t="s">
        <v>66</v>
      </c>
      <c r="C87" s="315" t="s">
        <v>66</v>
      </c>
      <c r="D87" s="292">
        <v>43841</v>
      </c>
      <c r="E87" s="305" t="s">
        <v>540</v>
      </c>
      <c r="F87" s="138">
        <f t="shared" si="6"/>
        <v>5</v>
      </c>
      <c r="G87" s="244">
        <v>1603.97</v>
      </c>
      <c r="H87" s="244">
        <f t="shared" si="7"/>
        <v>8019.85</v>
      </c>
    </row>
    <row r="88" spans="1:8">
      <c r="A88" s="309">
        <v>103</v>
      </c>
      <c r="B88" s="315" t="s">
        <v>66</v>
      </c>
      <c r="C88" s="315" t="s">
        <v>66</v>
      </c>
      <c r="D88" s="292">
        <v>43855</v>
      </c>
      <c r="E88" s="305" t="s">
        <v>541</v>
      </c>
      <c r="F88" s="138">
        <f t="shared" si="6"/>
        <v>5</v>
      </c>
      <c r="G88" s="244">
        <v>1326.45</v>
      </c>
      <c r="H88" s="244">
        <f t="shared" si="7"/>
        <v>6632.25</v>
      </c>
    </row>
    <row r="89" spans="1:8">
      <c r="A89" s="309">
        <v>104</v>
      </c>
      <c r="B89" s="315" t="s">
        <v>66</v>
      </c>
      <c r="C89" s="315" t="s">
        <v>66</v>
      </c>
      <c r="D89" s="292">
        <v>43869</v>
      </c>
      <c r="E89" s="305" t="s">
        <v>542</v>
      </c>
      <c r="F89" s="138">
        <f t="shared" si="6"/>
        <v>5</v>
      </c>
      <c r="G89" s="244">
        <v>1415.55</v>
      </c>
      <c r="H89" s="244">
        <f t="shared" si="7"/>
        <v>7077.75</v>
      </c>
    </row>
    <row r="90" spans="1:8">
      <c r="A90" s="309">
        <v>105</v>
      </c>
      <c r="B90" s="315" t="s">
        <v>66</v>
      </c>
      <c r="C90" s="315" t="s">
        <v>66</v>
      </c>
      <c r="D90" s="292">
        <v>43883</v>
      </c>
      <c r="E90" s="305" t="s">
        <v>543</v>
      </c>
      <c r="F90" s="138">
        <f t="shared" si="6"/>
        <v>5</v>
      </c>
      <c r="G90" s="244">
        <v>141.71</v>
      </c>
      <c r="H90" s="244">
        <f t="shared" si="7"/>
        <v>708.55000000000007</v>
      </c>
    </row>
    <row r="91" spans="1:8">
      <c r="A91" s="309">
        <v>106</v>
      </c>
      <c r="B91" s="315" t="s">
        <v>66</v>
      </c>
      <c r="C91" s="315" t="s">
        <v>66</v>
      </c>
      <c r="D91" s="292">
        <v>43897</v>
      </c>
      <c r="E91" s="305" t="s">
        <v>544</v>
      </c>
      <c r="F91" s="138">
        <f t="shared" si="6"/>
        <v>5</v>
      </c>
      <c r="G91" s="244">
        <v>54.61</v>
      </c>
      <c r="H91" s="244">
        <f t="shared" si="7"/>
        <v>273.05</v>
      </c>
    </row>
    <row r="92" spans="1:8">
      <c r="A92" s="309">
        <v>107</v>
      </c>
      <c r="B92" s="315" t="s">
        <v>66</v>
      </c>
      <c r="C92" s="315" t="s">
        <v>66</v>
      </c>
      <c r="D92" s="292">
        <v>43911</v>
      </c>
      <c r="E92" s="305" t="s">
        <v>545</v>
      </c>
      <c r="F92" s="138">
        <f t="shared" si="6"/>
        <v>5</v>
      </c>
      <c r="G92" s="244">
        <v>38.909999999999997</v>
      </c>
      <c r="H92" s="244">
        <f t="shared" si="7"/>
        <v>194.54999999999998</v>
      </c>
    </row>
    <row r="93" spans="1:8">
      <c r="A93" s="309">
        <v>108</v>
      </c>
      <c r="B93" s="315" t="s">
        <v>66</v>
      </c>
      <c r="C93" s="315" t="s">
        <v>66</v>
      </c>
      <c r="D93" s="292">
        <v>43925</v>
      </c>
      <c r="E93" s="305" t="s">
        <v>546</v>
      </c>
      <c r="F93" s="138">
        <f t="shared" si="6"/>
        <v>4</v>
      </c>
      <c r="G93" s="244">
        <v>39.28</v>
      </c>
      <c r="H93" s="244">
        <f t="shared" si="7"/>
        <v>157.12</v>
      </c>
    </row>
    <row r="94" spans="1:8">
      <c r="A94" s="309">
        <v>109</v>
      </c>
      <c r="B94" s="315" t="s">
        <v>66</v>
      </c>
      <c r="C94" s="315" t="s">
        <v>66</v>
      </c>
      <c r="D94" s="292">
        <v>43939</v>
      </c>
      <c r="E94" s="305">
        <v>43944</v>
      </c>
      <c r="F94" s="138">
        <f t="shared" si="6"/>
        <v>5</v>
      </c>
      <c r="G94" s="244">
        <v>36.130000000000003</v>
      </c>
      <c r="H94" s="244">
        <f t="shared" si="7"/>
        <v>180.65</v>
      </c>
    </row>
    <row r="95" spans="1:8">
      <c r="A95" s="309">
        <v>110</v>
      </c>
      <c r="B95" s="315" t="s">
        <v>66</v>
      </c>
      <c r="C95" s="315" t="s">
        <v>66</v>
      </c>
      <c r="D95" s="292">
        <v>43953</v>
      </c>
      <c r="E95" s="305">
        <v>43958</v>
      </c>
      <c r="F95" s="138">
        <f t="shared" si="6"/>
        <v>5</v>
      </c>
      <c r="G95" s="244">
        <v>28.64</v>
      </c>
      <c r="H95" s="244">
        <f t="shared" si="7"/>
        <v>143.19999999999999</v>
      </c>
    </row>
    <row r="96" spans="1:8">
      <c r="A96" s="309">
        <v>111</v>
      </c>
      <c r="B96" s="315" t="s">
        <v>66</v>
      </c>
      <c r="C96" s="315" t="s">
        <v>66</v>
      </c>
      <c r="D96" s="292">
        <v>43967</v>
      </c>
      <c r="E96" s="305">
        <v>43972</v>
      </c>
      <c r="F96" s="138">
        <f t="shared" si="6"/>
        <v>5</v>
      </c>
      <c r="G96" s="244">
        <v>22.12</v>
      </c>
      <c r="H96" s="244">
        <f t="shared" si="7"/>
        <v>110.60000000000001</v>
      </c>
    </row>
    <row r="97" spans="1:8">
      <c r="A97" s="309">
        <v>112</v>
      </c>
      <c r="B97" s="315" t="s">
        <v>66</v>
      </c>
      <c r="C97" s="315" t="s">
        <v>66</v>
      </c>
      <c r="D97" s="292">
        <v>43981</v>
      </c>
      <c r="E97" s="305">
        <v>43986</v>
      </c>
      <c r="F97" s="138">
        <f t="shared" si="6"/>
        <v>5</v>
      </c>
      <c r="G97" s="244">
        <v>20.03</v>
      </c>
      <c r="H97" s="244">
        <f t="shared" si="7"/>
        <v>100.15</v>
      </c>
    </row>
    <row r="98" spans="1:8">
      <c r="A98" s="309">
        <v>113</v>
      </c>
      <c r="B98" s="315" t="s">
        <v>66</v>
      </c>
      <c r="C98" s="315" t="s">
        <v>66</v>
      </c>
      <c r="D98" s="292">
        <v>43995</v>
      </c>
      <c r="E98" s="305">
        <v>44000</v>
      </c>
      <c r="F98" s="138">
        <f t="shared" si="6"/>
        <v>5</v>
      </c>
      <c r="G98" s="244">
        <v>8.33</v>
      </c>
      <c r="H98" s="244">
        <f t="shared" si="7"/>
        <v>41.65</v>
      </c>
    </row>
    <row r="99" spans="1:8">
      <c r="A99" s="309">
        <v>114</v>
      </c>
      <c r="B99" s="315" t="s">
        <v>66</v>
      </c>
      <c r="C99" s="315" t="s">
        <v>66</v>
      </c>
      <c r="D99" s="292">
        <v>44009</v>
      </c>
      <c r="E99" s="305">
        <v>44013</v>
      </c>
      <c r="F99" s="138">
        <f t="shared" si="6"/>
        <v>4</v>
      </c>
      <c r="G99" s="244">
        <v>11.03</v>
      </c>
      <c r="H99" s="244">
        <f t="shared" si="7"/>
        <v>44.12</v>
      </c>
    </row>
    <row r="100" spans="1:8">
      <c r="A100" s="309">
        <v>115</v>
      </c>
      <c r="B100" s="315" t="s">
        <v>66</v>
      </c>
      <c r="C100" s="315" t="s">
        <v>66</v>
      </c>
      <c r="D100" s="292">
        <v>44023</v>
      </c>
      <c r="E100" s="305">
        <v>44028</v>
      </c>
      <c r="F100" s="138">
        <f t="shared" si="6"/>
        <v>5</v>
      </c>
      <c r="G100" s="244">
        <v>2.12</v>
      </c>
      <c r="H100" s="244">
        <f t="shared" si="7"/>
        <v>10.600000000000001</v>
      </c>
    </row>
    <row r="101" spans="1:8">
      <c r="A101" s="309">
        <v>116</v>
      </c>
      <c r="B101" s="315" t="s">
        <v>66</v>
      </c>
      <c r="C101" s="315" t="s">
        <v>66</v>
      </c>
      <c r="D101" s="292">
        <v>44037</v>
      </c>
      <c r="E101" s="305">
        <v>44042</v>
      </c>
      <c r="F101" s="138">
        <f t="shared" si="6"/>
        <v>5</v>
      </c>
      <c r="G101" s="244">
        <v>1.44</v>
      </c>
      <c r="H101" s="244">
        <f t="shared" si="7"/>
        <v>7.1999999999999993</v>
      </c>
    </row>
    <row r="102" spans="1:8">
      <c r="A102" s="309">
        <v>117</v>
      </c>
      <c r="B102" s="315" t="s">
        <v>66</v>
      </c>
      <c r="C102" s="315" t="s">
        <v>66</v>
      </c>
      <c r="D102" s="292">
        <v>44051</v>
      </c>
      <c r="E102" s="305">
        <v>44056</v>
      </c>
      <c r="F102" s="138">
        <f t="shared" si="6"/>
        <v>5</v>
      </c>
      <c r="G102" s="244">
        <v>15.3</v>
      </c>
      <c r="H102" s="244">
        <f t="shared" si="7"/>
        <v>76.5</v>
      </c>
    </row>
    <row r="103" spans="1:8">
      <c r="A103" s="309">
        <v>118</v>
      </c>
      <c r="B103" s="315" t="s">
        <v>66</v>
      </c>
      <c r="C103" s="315" t="s">
        <v>66</v>
      </c>
      <c r="D103" s="292">
        <v>44065</v>
      </c>
      <c r="E103" s="305">
        <v>44070</v>
      </c>
      <c r="F103" s="138">
        <f t="shared" si="6"/>
        <v>5</v>
      </c>
      <c r="G103" s="244">
        <v>49.41</v>
      </c>
      <c r="H103" s="244">
        <f t="shared" si="7"/>
        <v>247.04999999999998</v>
      </c>
    </row>
    <row r="104" spans="1:8">
      <c r="A104" s="309">
        <v>119</v>
      </c>
      <c r="B104" s="315" t="s">
        <v>66</v>
      </c>
      <c r="C104" s="315" t="s">
        <v>66</v>
      </c>
      <c r="D104" s="292">
        <v>44079</v>
      </c>
      <c r="E104" s="305">
        <v>44084</v>
      </c>
      <c r="F104" s="138">
        <f t="shared" si="6"/>
        <v>5</v>
      </c>
      <c r="G104" s="244">
        <v>49.62</v>
      </c>
      <c r="H104" s="244">
        <f t="shared" si="7"/>
        <v>248.1</v>
      </c>
    </row>
    <row r="105" spans="1:8">
      <c r="A105" s="309">
        <v>120</v>
      </c>
      <c r="B105" s="315" t="s">
        <v>66</v>
      </c>
      <c r="C105" s="315" t="s">
        <v>66</v>
      </c>
      <c r="D105" s="292">
        <v>44093</v>
      </c>
      <c r="E105" s="305">
        <v>44098</v>
      </c>
      <c r="F105" s="138">
        <f t="shared" si="6"/>
        <v>5</v>
      </c>
      <c r="G105" s="244">
        <v>47.76</v>
      </c>
      <c r="H105" s="244">
        <f t="shared" si="7"/>
        <v>238.79999999999998</v>
      </c>
    </row>
    <row r="106" spans="1:8">
      <c r="A106" s="309">
        <v>121</v>
      </c>
      <c r="B106" s="315" t="s">
        <v>66</v>
      </c>
      <c r="C106" s="315" t="s">
        <v>66</v>
      </c>
      <c r="D106" s="292">
        <v>44107</v>
      </c>
      <c r="E106" s="305">
        <v>44112</v>
      </c>
      <c r="F106" s="138">
        <f t="shared" si="6"/>
        <v>5</v>
      </c>
      <c r="G106" s="244">
        <v>51.21</v>
      </c>
      <c r="H106" s="244">
        <f t="shared" si="7"/>
        <v>256.05</v>
      </c>
    </row>
    <row r="107" spans="1:8">
      <c r="A107" s="309">
        <v>122</v>
      </c>
      <c r="B107" s="315" t="s">
        <v>66</v>
      </c>
      <c r="C107" s="315" t="s">
        <v>66</v>
      </c>
      <c r="D107" s="292">
        <v>44121</v>
      </c>
      <c r="E107" s="305">
        <v>44126</v>
      </c>
      <c r="F107" s="138">
        <f t="shared" si="6"/>
        <v>5</v>
      </c>
      <c r="G107" s="244">
        <v>61.49</v>
      </c>
      <c r="H107" s="244">
        <f t="shared" si="7"/>
        <v>307.45</v>
      </c>
    </row>
    <row r="108" spans="1:8">
      <c r="A108" s="309">
        <v>123</v>
      </c>
      <c r="B108" s="315" t="s">
        <v>66</v>
      </c>
      <c r="C108" s="315" t="s">
        <v>66</v>
      </c>
      <c r="D108" s="292">
        <v>44135</v>
      </c>
      <c r="E108" s="305">
        <v>44140</v>
      </c>
      <c r="F108" s="138">
        <f t="shared" si="6"/>
        <v>5</v>
      </c>
      <c r="G108" s="244">
        <v>50.98</v>
      </c>
      <c r="H108" s="244">
        <f t="shared" si="7"/>
        <v>254.89999999999998</v>
      </c>
    </row>
    <row r="109" spans="1:8">
      <c r="A109" s="309">
        <v>124</v>
      </c>
      <c r="B109" s="315" t="s">
        <v>66</v>
      </c>
      <c r="C109" s="315" t="s">
        <v>66</v>
      </c>
      <c r="D109" s="292">
        <v>44141</v>
      </c>
      <c r="E109" s="305">
        <v>44140</v>
      </c>
      <c r="F109" s="138">
        <f t="shared" si="6"/>
        <v>-1</v>
      </c>
      <c r="G109" s="244">
        <v>27.68</v>
      </c>
      <c r="H109" s="244">
        <f t="shared" si="7"/>
        <v>-27.68</v>
      </c>
    </row>
    <row r="110" spans="1:8">
      <c r="A110" s="309">
        <v>125</v>
      </c>
      <c r="B110" s="315" t="s">
        <v>66</v>
      </c>
      <c r="C110" s="315" t="s">
        <v>66</v>
      </c>
      <c r="D110" s="292">
        <v>44149</v>
      </c>
      <c r="E110" s="305">
        <v>44154</v>
      </c>
      <c r="F110" s="138">
        <f t="shared" si="6"/>
        <v>5</v>
      </c>
      <c r="G110" s="244">
        <v>47.02</v>
      </c>
      <c r="H110" s="244">
        <f t="shared" si="7"/>
        <v>235.10000000000002</v>
      </c>
    </row>
    <row r="111" spans="1:8">
      <c r="A111" s="309">
        <v>126</v>
      </c>
      <c r="B111" s="315" t="s">
        <v>66</v>
      </c>
      <c r="C111" s="315" t="s">
        <v>66</v>
      </c>
      <c r="D111" s="292">
        <v>44162</v>
      </c>
      <c r="E111" s="305">
        <v>44160</v>
      </c>
      <c r="F111" s="138">
        <f t="shared" si="6"/>
        <v>-2</v>
      </c>
      <c r="G111" s="244">
        <v>0</v>
      </c>
      <c r="H111" s="244">
        <f t="shared" si="7"/>
        <v>0</v>
      </c>
    </row>
    <row r="112" spans="1:8">
      <c r="A112" s="309">
        <v>127</v>
      </c>
      <c r="B112" s="315" t="s">
        <v>66</v>
      </c>
      <c r="C112" s="315" t="s">
        <v>66</v>
      </c>
      <c r="D112" s="292">
        <v>44163</v>
      </c>
      <c r="E112" s="305">
        <v>44168</v>
      </c>
      <c r="F112" s="138">
        <f t="shared" si="6"/>
        <v>5</v>
      </c>
      <c r="G112" s="244">
        <v>37.6</v>
      </c>
      <c r="H112" s="244">
        <f t="shared" si="7"/>
        <v>188</v>
      </c>
    </row>
    <row r="113" spans="1:8">
      <c r="A113" s="309">
        <v>128</v>
      </c>
      <c r="B113" s="315" t="s">
        <v>66</v>
      </c>
      <c r="C113" s="315" t="s">
        <v>66</v>
      </c>
      <c r="D113" s="292">
        <v>44177</v>
      </c>
      <c r="E113" s="305">
        <v>44182</v>
      </c>
      <c r="F113" s="138">
        <f t="shared" si="6"/>
        <v>5</v>
      </c>
      <c r="G113" s="244">
        <v>16.329999999999998</v>
      </c>
      <c r="H113" s="244">
        <f t="shared" si="7"/>
        <v>81.649999999999991</v>
      </c>
    </row>
    <row r="114" spans="1:8">
      <c r="A114" s="309">
        <v>129</v>
      </c>
      <c r="B114" s="315" t="s">
        <v>66</v>
      </c>
      <c r="C114" s="315" t="s">
        <v>66</v>
      </c>
      <c r="D114" s="292">
        <v>44191</v>
      </c>
      <c r="E114" s="305">
        <v>44195</v>
      </c>
      <c r="F114" s="138">
        <f t="shared" si="6"/>
        <v>4</v>
      </c>
      <c r="G114" s="244">
        <v>5.04</v>
      </c>
      <c r="H114" s="244">
        <f t="shared" si="7"/>
        <v>20.16</v>
      </c>
    </row>
    <row r="115" spans="1:8">
      <c r="A115" s="309">
        <v>130</v>
      </c>
      <c r="B115" s="315" t="s">
        <v>547</v>
      </c>
      <c r="C115" s="315" t="s">
        <v>547</v>
      </c>
      <c r="D115" s="292">
        <v>43845</v>
      </c>
      <c r="E115" s="305">
        <v>43844</v>
      </c>
      <c r="F115" s="138">
        <f t="shared" si="6"/>
        <v>-1</v>
      </c>
      <c r="G115" s="244">
        <v>126</v>
      </c>
      <c r="H115" s="244">
        <f t="shared" si="7"/>
        <v>-126</v>
      </c>
    </row>
    <row r="116" spans="1:8">
      <c r="A116" s="309"/>
      <c r="B116" s="315"/>
    </row>
    <row r="117" spans="1:8" ht="15.75">
      <c r="A117" s="309">
        <v>131</v>
      </c>
      <c r="B117" s="315"/>
      <c r="E117" s="139" t="s">
        <v>19</v>
      </c>
      <c r="F117" s="311">
        <f>IF(G117=0,0,H117/G117)</f>
        <v>4.8627902667464031</v>
      </c>
      <c r="G117" s="312">
        <f>SUM(G86:G116)</f>
        <v>7123.619999999999</v>
      </c>
      <c r="H117" s="312">
        <f>SUM(H86:H116)</f>
        <v>34640.670000000006</v>
      </c>
    </row>
    <row r="118" spans="1:8">
      <c r="A118" s="309"/>
      <c r="B118" s="315"/>
    </row>
    <row r="119" spans="1:8">
      <c r="A119" s="309">
        <v>132</v>
      </c>
      <c r="B119" s="315" t="s">
        <v>548</v>
      </c>
      <c r="C119" s="315" t="s">
        <v>548</v>
      </c>
      <c r="D119" s="292">
        <v>43827</v>
      </c>
      <c r="E119" s="305">
        <v>43832</v>
      </c>
      <c r="F119" s="138">
        <f t="shared" ref="F119:F149" si="8">E119-D119</f>
        <v>5</v>
      </c>
      <c r="G119" s="244">
        <v>1568</v>
      </c>
      <c r="H119" s="244">
        <f t="shared" ref="H119:H149" si="9">F119*G119</f>
        <v>7840</v>
      </c>
    </row>
    <row r="120" spans="1:8">
      <c r="A120" s="309">
        <v>133</v>
      </c>
      <c r="B120" s="315" t="s">
        <v>548</v>
      </c>
      <c r="C120" s="315" t="s">
        <v>548</v>
      </c>
      <c r="D120" s="292">
        <v>43841</v>
      </c>
      <c r="E120" s="305" t="s">
        <v>540</v>
      </c>
      <c r="F120" s="138">
        <f t="shared" si="8"/>
        <v>5</v>
      </c>
      <c r="G120" s="244">
        <v>1456.5</v>
      </c>
      <c r="H120" s="244">
        <f t="shared" si="9"/>
        <v>7282.5</v>
      </c>
    </row>
    <row r="121" spans="1:8">
      <c r="A121" s="309">
        <v>134</v>
      </c>
      <c r="B121" s="315" t="s">
        <v>548</v>
      </c>
      <c r="C121" s="315" t="s">
        <v>548</v>
      </c>
      <c r="D121" s="292">
        <v>43855</v>
      </c>
      <c r="E121" s="305" t="s">
        <v>541</v>
      </c>
      <c r="F121" s="138">
        <f t="shared" si="8"/>
        <v>5</v>
      </c>
      <c r="G121" s="244">
        <v>1369.25</v>
      </c>
      <c r="H121" s="244">
        <f t="shared" si="9"/>
        <v>6846.25</v>
      </c>
    </row>
    <row r="122" spans="1:8">
      <c r="A122" s="309">
        <v>135</v>
      </c>
      <c r="B122" s="315" t="s">
        <v>548</v>
      </c>
      <c r="C122" s="315" t="s">
        <v>548</v>
      </c>
      <c r="D122" s="292">
        <v>43869</v>
      </c>
      <c r="E122" s="305" t="s">
        <v>542</v>
      </c>
      <c r="F122" s="138">
        <f t="shared" si="8"/>
        <v>5</v>
      </c>
      <c r="G122" s="244">
        <v>2161.61</v>
      </c>
      <c r="H122" s="244">
        <f t="shared" si="9"/>
        <v>10808.050000000001</v>
      </c>
    </row>
    <row r="123" spans="1:8">
      <c r="A123" s="309">
        <v>136</v>
      </c>
      <c r="B123" s="315" t="s">
        <v>548</v>
      </c>
      <c r="C123" s="315" t="s">
        <v>548</v>
      </c>
      <c r="D123" s="292">
        <v>43883</v>
      </c>
      <c r="E123" s="305" t="s">
        <v>543</v>
      </c>
      <c r="F123" s="138">
        <f t="shared" si="8"/>
        <v>5</v>
      </c>
      <c r="G123" s="244">
        <v>725.18</v>
      </c>
      <c r="H123" s="244">
        <f t="shared" si="9"/>
        <v>3625.8999999999996</v>
      </c>
    </row>
    <row r="124" spans="1:8">
      <c r="A124" s="309">
        <v>137</v>
      </c>
      <c r="B124" s="315" t="s">
        <v>548</v>
      </c>
      <c r="C124" s="315" t="s">
        <v>548</v>
      </c>
      <c r="D124" s="292">
        <v>43897</v>
      </c>
      <c r="E124" s="305" t="s">
        <v>544</v>
      </c>
      <c r="F124" s="138">
        <f t="shared" si="8"/>
        <v>5</v>
      </c>
      <c r="G124" s="244">
        <v>514.38</v>
      </c>
      <c r="H124" s="244">
        <f t="shared" si="9"/>
        <v>2571.9</v>
      </c>
    </row>
    <row r="125" spans="1:8">
      <c r="A125" s="309">
        <v>138</v>
      </c>
      <c r="B125" s="315" t="s">
        <v>548</v>
      </c>
      <c r="C125" s="315" t="s">
        <v>548</v>
      </c>
      <c r="D125" s="292">
        <v>43911</v>
      </c>
      <c r="E125" s="305" t="s">
        <v>545</v>
      </c>
      <c r="F125" s="138">
        <f t="shared" si="8"/>
        <v>5</v>
      </c>
      <c r="G125" s="244">
        <v>204.19</v>
      </c>
      <c r="H125" s="244">
        <f t="shared" si="9"/>
        <v>1020.95</v>
      </c>
    </row>
    <row r="126" spans="1:8">
      <c r="A126" s="309">
        <v>139</v>
      </c>
      <c r="B126" s="315" t="s">
        <v>548</v>
      </c>
      <c r="C126" s="315" t="s">
        <v>548</v>
      </c>
      <c r="D126" s="292">
        <v>43925</v>
      </c>
      <c r="E126" s="305" t="s">
        <v>546</v>
      </c>
      <c r="F126" s="138">
        <f t="shared" si="8"/>
        <v>4</v>
      </c>
      <c r="G126" s="244">
        <v>75.36</v>
      </c>
      <c r="H126" s="244">
        <f t="shared" si="9"/>
        <v>301.44</v>
      </c>
    </row>
    <row r="127" spans="1:8">
      <c r="A127" s="309">
        <v>140</v>
      </c>
      <c r="B127" s="315" t="s">
        <v>548</v>
      </c>
      <c r="C127" s="315" t="s">
        <v>548</v>
      </c>
      <c r="D127" s="292">
        <v>43939</v>
      </c>
      <c r="E127" s="305">
        <v>43944</v>
      </c>
      <c r="F127" s="138">
        <f t="shared" si="8"/>
        <v>5</v>
      </c>
      <c r="G127" s="244">
        <v>48.14</v>
      </c>
      <c r="H127" s="244">
        <f t="shared" si="9"/>
        <v>240.7</v>
      </c>
    </row>
    <row r="128" spans="1:8">
      <c r="A128" s="309">
        <v>141</v>
      </c>
      <c r="B128" s="315" t="s">
        <v>548</v>
      </c>
      <c r="C128" s="315" t="s">
        <v>548</v>
      </c>
      <c r="D128" s="292">
        <v>43953</v>
      </c>
      <c r="E128" s="305">
        <v>43958</v>
      </c>
      <c r="F128" s="138">
        <f t="shared" si="8"/>
        <v>5</v>
      </c>
      <c r="G128" s="244">
        <v>48.13</v>
      </c>
      <c r="H128" s="244">
        <f t="shared" si="9"/>
        <v>240.65</v>
      </c>
    </row>
    <row r="129" spans="1:8">
      <c r="A129" s="309">
        <v>142</v>
      </c>
      <c r="B129" s="315" t="s">
        <v>548</v>
      </c>
      <c r="C129" s="315" t="s">
        <v>548</v>
      </c>
      <c r="D129" s="292">
        <v>43967</v>
      </c>
      <c r="E129" s="305">
        <v>43972</v>
      </c>
      <c r="F129" s="138">
        <f t="shared" si="8"/>
        <v>5</v>
      </c>
      <c r="G129" s="244">
        <v>45.8</v>
      </c>
      <c r="H129" s="244">
        <f t="shared" si="9"/>
        <v>229</v>
      </c>
    </row>
    <row r="130" spans="1:8">
      <c r="A130" s="309">
        <v>143</v>
      </c>
      <c r="B130" s="315" t="s">
        <v>548</v>
      </c>
      <c r="C130" s="315" t="s">
        <v>548</v>
      </c>
      <c r="D130" s="292">
        <v>43981</v>
      </c>
      <c r="E130" s="305">
        <v>43986</v>
      </c>
      <c r="F130" s="138">
        <f t="shared" si="8"/>
        <v>5</v>
      </c>
      <c r="G130" s="244">
        <v>32.35</v>
      </c>
      <c r="H130" s="244">
        <f t="shared" si="9"/>
        <v>161.75</v>
      </c>
    </row>
    <row r="131" spans="1:8">
      <c r="A131" s="309">
        <v>144</v>
      </c>
      <c r="B131" s="315" t="s">
        <v>548</v>
      </c>
      <c r="C131" s="315" t="s">
        <v>548</v>
      </c>
      <c r="D131" s="292">
        <v>43995</v>
      </c>
      <c r="E131" s="305">
        <v>44000</v>
      </c>
      <c r="F131" s="138">
        <f t="shared" si="8"/>
        <v>5</v>
      </c>
      <c r="G131" s="244">
        <v>19.850000000000001</v>
      </c>
      <c r="H131" s="244">
        <f t="shared" si="9"/>
        <v>99.25</v>
      </c>
    </row>
    <row r="132" spans="1:8">
      <c r="A132" s="309">
        <v>145</v>
      </c>
      <c r="B132" s="315" t="s">
        <v>548</v>
      </c>
      <c r="C132" s="315" t="s">
        <v>548</v>
      </c>
      <c r="D132" s="292">
        <v>44009</v>
      </c>
      <c r="E132" s="305">
        <v>44013</v>
      </c>
      <c r="F132" s="138">
        <f t="shared" si="8"/>
        <v>4</v>
      </c>
      <c r="G132" s="244">
        <v>18.5</v>
      </c>
      <c r="H132" s="244">
        <f t="shared" si="9"/>
        <v>74</v>
      </c>
    </row>
    <row r="133" spans="1:8">
      <c r="A133" s="309">
        <v>146</v>
      </c>
      <c r="B133" s="315" t="s">
        <v>548</v>
      </c>
      <c r="C133" s="315" t="s">
        <v>548</v>
      </c>
      <c r="D133" s="292">
        <v>44023</v>
      </c>
      <c r="E133" s="305">
        <v>44028</v>
      </c>
      <c r="F133" s="138">
        <f t="shared" si="8"/>
        <v>5</v>
      </c>
      <c r="G133" s="244">
        <v>8.24</v>
      </c>
      <c r="H133" s="244">
        <f t="shared" si="9"/>
        <v>41.2</v>
      </c>
    </row>
    <row r="134" spans="1:8">
      <c r="A134" s="309">
        <v>147</v>
      </c>
      <c r="B134" s="315" t="s">
        <v>548</v>
      </c>
      <c r="C134" s="315" t="s">
        <v>548</v>
      </c>
      <c r="D134" s="292">
        <v>44037</v>
      </c>
      <c r="E134" s="305">
        <v>44042</v>
      </c>
      <c r="F134" s="138">
        <f t="shared" si="8"/>
        <v>5</v>
      </c>
      <c r="G134" s="244">
        <v>8.8000000000000007</v>
      </c>
      <c r="H134" s="244">
        <f t="shared" si="9"/>
        <v>44</v>
      </c>
    </row>
    <row r="135" spans="1:8">
      <c r="A135" s="309">
        <v>148</v>
      </c>
      <c r="B135" s="315" t="s">
        <v>548</v>
      </c>
      <c r="C135" s="315" t="s">
        <v>548</v>
      </c>
      <c r="D135" s="292">
        <v>44051</v>
      </c>
      <c r="E135" s="305">
        <v>44056</v>
      </c>
      <c r="F135" s="138">
        <f t="shared" si="8"/>
        <v>5</v>
      </c>
      <c r="G135" s="244">
        <v>16.88</v>
      </c>
      <c r="H135" s="244">
        <f t="shared" si="9"/>
        <v>84.399999999999991</v>
      </c>
    </row>
    <row r="136" spans="1:8">
      <c r="A136" s="309">
        <v>149</v>
      </c>
      <c r="B136" s="315" t="s">
        <v>548</v>
      </c>
      <c r="C136" s="315" t="s">
        <v>548</v>
      </c>
      <c r="D136" s="292">
        <v>44065</v>
      </c>
      <c r="E136" s="305">
        <v>44070</v>
      </c>
      <c r="F136" s="138">
        <f t="shared" si="8"/>
        <v>5</v>
      </c>
      <c r="G136" s="244">
        <v>41.62</v>
      </c>
      <c r="H136" s="244">
        <f t="shared" si="9"/>
        <v>208.1</v>
      </c>
    </row>
    <row r="137" spans="1:8">
      <c r="A137" s="309">
        <v>150</v>
      </c>
      <c r="B137" s="315" t="s">
        <v>548</v>
      </c>
      <c r="C137" s="315" t="s">
        <v>548</v>
      </c>
      <c r="D137" s="292">
        <v>44079</v>
      </c>
      <c r="E137" s="305">
        <v>44084</v>
      </c>
      <c r="F137" s="138">
        <f t="shared" si="8"/>
        <v>5</v>
      </c>
      <c r="G137" s="244">
        <v>41.8</v>
      </c>
      <c r="H137" s="244">
        <f t="shared" si="9"/>
        <v>209</v>
      </c>
    </row>
    <row r="138" spans="1:8">
      <c r="A138" s="309">
        <v>151</v>
      </c>
      <c r="B138" s="315" t="s">
        <v>548</v>
      </c>
      <c r="C138" s="315" t="s">
        <v>548</v>
      </c>
      <c r="D138" s="292">
        <v>44093</v>
      </c>
      <c r="E138" s="305">
        <v>44098</v>
      </c>
      <c r="F138" s="138">
        <f t="shared" si="8"/>
        <v>5</v>
      </c>
      <c r="G138" s="244">
        <v>40.24</v>
      </c>
      <c r="H138" s="244">
        <f t="shared" si="9"/>
        <v>201.20000000000002</v>
      </c>
    </row>
    <row r="139" spans="1:8">
      <c r="A139" s="309">
        <v>152</v>
      </c>
      <c r="B139" s="315" t="s">
        <v>548</v>
      </c>
      <c r="C139" s="315" t="s">
        <v>548</v>
      </c>
      <c r="D139" s="292">
        <v>44107</v>
      </c>
      <c r="E139" s="305">
        <v>44112</v>
      </c>
      <c r="F139" s="138">
        <f t="shared" si="8"/>
        <v>5</v>
      </c>
      <c r="G139" s="244">
        <v>43.12</v>
      </c>
      <c r="H139" s="244">
        <f t="shared" si="9"/>
        <v>215.6</v>
      </c>
    </row>
    <row r="140" spans="1:8">
      <c r="A140" s="309">
        <v>153</v>
      </c>
      <c r="B140" s="315" t="s">
        <v>548</v>
      </c>
      <c r="C140" s="315" t="s">
        <v>548</v>
      </c>
      <c r="D140" s="292">
        <v>44121</v>
      </c>
      <c r="E140" s="305">
        <v>44126</v>
      </c>
      <c r="F140" s="138">
        <f t="shared" si="8"/>
        <v>5</v>
      </c>
      <c r="G140" s="244">
        <v>59.02</v>
      </c>
      <c r="H140" s="244">
        <f t="shared" si="9"/>
        <v>295.10000000000002</v>
      </c>
    </row>
    <row r="141" spans="1:8">
      <c r="A141" s="309">
        <v>154</v>
      </c>
      <c r="B141" s="315" t="s">
        <v>548</v>
      </c>
      <c r="C141" s="315" t="s">
        <v>548</v>
      </c>
      <c r="D141" s="292">
        <v>44135</v>
      </c>
      <c r="E141" s="305">
        <v>44140</v>
      </c>
      <c r="F141" s="138">
        <f t="shared" si="8"/>
        <v>5</v>
      </c>
      <c r="G141" s="244">
        <v>56.44</v>
      </c>
      <c r="H141" s="244">
        <f t="shared" si="9"/>
        <v>282.2</v>
      </c>
    </row>
    <row r="142" spans="1:8">
      <c r="A142" s="309">
        <v>155</v>
      </c>
      <c r="B142" s="315" t="s">
        <v>548</v>
      </c>
      <c r="C142" s="315" t="s">
        <v>548</v>
      </c>
      <c r="D142" s="292">
        <v>44141</v>
      </c>
      <c r="E142" s="305">
        <v>44140</v>
      </c>
      <c r="F142" s="138">
        <f t="shared" si="8"/>
        <v>-1</v>
      </c>
      <c r="G142" s="244">
        <v>30</v>
      </c>
      <c r="H142" s="244">
        <f t="shared" si="9"/>
        <v>-30</v>
      </c>
    </row>
    <row r="143" spans="1:8">
      <c r="A143" s="309">
        <v>156</v>
      </c>
      <c r="B143" s="315" t="s">
        <v>548</v>
      </c>
      <c r="C143" s="315" t="s">
        <v>548</v>
      </c>
      <c r="D143" s="292">
        <v>44149</v>
      </c>
      <c r="E143" s="305">
        <v>44154</v>
      </c>
      <c r="F143" s="138">
        <f t="shared" si="8"/>
        <v>5</v>
      </c>
      <c r="G143" s="244">
        <v>45.83</v>
      </c>
      <c r="H143" s="244">
        <f t="shared" si="9"/>
        <v>229.14999999999998</v>
      </c>
    </row>
    <row r="144" spans="1:8">
      <c r="A144" s="309">
        <v>157</v>
      </c>
      <c r="B144" s="315" t="s">
        <v>548</v>
      </c>
      <c r="C144" s="315" t="s">
        <v>548</v>
      </c>
      <c r="D144" s="292">
        <v>44162</v>
      </c>
      <c r="E144" s="305">
        <v>44160</v>
      </c>
      <c r="F144" s="138">
        <f t="shared" si="8"/>
        <v>-2</v>
      </c>
      <c r="G144" s="244">
        <v>0</v>
      </c>
      <c r="H144" s="244">
        <f t="shared" si="9"/>
        <v>0</v>
      </c>
    </row>
    <row r="145" spans="1:8">
      <c r="A145" s="309">
        <v>158</v>
      </c>
      <c r="B145" s="315" t="s">
        <v>548</v>
      </c>
      <c r="C145" s="315" t="s">
        <v>548</v>
      </c>
      <c r="D145" s="292">
        <v>44163</v>
      </c>
      <c r="E145" s="305">
        <v>44168</v>
      </c>
      <c r="F145" s="138">
        <f t="shared" si="8"/>
        <v>5</v>
      </c>
      <c r="G145" s="244">
        <v>34.54</v>
      </c>
      <c r="H145" s="244">
        <f t="shared" si="9"/>
        <v>172.7</v>
      </c>
    </row>
    <row r="146" spans="1:8">
      <c r="A146" s="309">
        <v>159</v>
      </c>
      <c r="B146" s="315" t="s">
        <v>548</v>
      </c>
      <c r="C146" s="315" t="s">
        <v>548</v>
      </c>
      <c r="D146" s="292">
        <v>44177</v>
      </c>
      <c r="E146" s="305">
        <v>44182</v>
      </c>
      <c r="F146" s="138">
        <f t="shared" si="8"/>
        <v>5</v>
      </c>
      <c r="G146" s="244">
        <v>23.02</v>
      </c>
      <c r="H146" s="244">
        <f t="shared" si="9"/>
        <v>115.1</v>
      </c>
    </row>
    <row r="147" spans="1:8">
      <c r="A147" s="309">
        <v>160</v>
      </c>
      <c r="B147" s="315" t="s">
        <v>548</v>
      </c>
      <c r="C147" s="315" t="s">
        <v>548</v>
      </c>
      <c r="D147" s="292">
        <v>44191</v>
      </c>
      <c r="E147" s="305">
        <v>44195</v>
      </c>
      <c r="F147" s="138">
        <f t="shared" si="8"/>
        <v>4</v>
      </c>
      <c r="G147" s="244">
        <v>18.62</v>
      </c>
      <c r="H147" s="244">
        <f t="shared" si="9"/>
        <v>74.48</v>
      </c>
    </row>
    <row r="148" spans="1:8">
      <c r="A148" s="309">
        <v>161</v>
      </c>
      <c r="B148" s="315" t="s">
        <v>549</v>
      </c>
      <c r="C148" s="315" t="s">
        <v>549</v>
      </c>
      <c r="D148" s="292">
        <v>43845</v>
      </c>
      <c r="E148" s="305">
        <v>43844</v>
      </c>
      <c r="F148" s="138">
        <f t="shared" si="8"/>
        <v>-1</v>
      </c>
      <c r="G148" s="244">
        <v>150.41999999999999</v>
      </c>
      <c r="H148" s="244">
        <f t="shared" si="9"/>
        <v>-150.41999999999999</v>
      </c>
    </row>
    <row r="149" spans="1:8">
      <c r="A149" s="309">
        <v>162</v>
      </c>
      <c r="B149" s="315" t="s">
        <v>549</v>
      </c>
      <c r="C149" s="315" t="s">
        <v>549</v>
      </c>
      <c r="D149" s="292">
        <v>43861</v>
      </c>
      <c r="E149" s="305">
        <v>43860</v>
      </c>
      <c r="F149" s="138">
        <f t="shared" si="8"/>
        <v>-1</v>
      </c>
      <c r="G149" s="244">
        <v>11.58</v>
      </c>
      <c r="H149" s="244">
        <f t="shared" si="9"/>
        <v>-11.58</v>
      </c>
    </row>
    <row r="150" spans="1:8">
      <c r="A150" s="309"/>
      <c r="B150" s="315"/>
    </row>
    <row r="151" spans="1:8" ht="15.75">
      <c r="A151" s="309"/>
      <c r="B151" s="315"/>
      <c r="E151" s="139" t="s">
        <v>19</v>
      </c>
      <c r="F151" s="311">
        <f>IF(G151=0,0,H151/G151)</f>
        <v>4.8582009798809267</v>
      </c>
      <c r="G151" s="312">
        <f>SUM(G119:G149)</f>
        <v>8917.4100000000035</v>
      </c>
      <c r="H151" s="312">
        <f>SUM(H119:H149)</f>
        <v>43322.569999999992</v>
      </c>
    </row>
    <row r="153" spans="1:8" ht="16.5" thickBot="1">
      <c r="E153" s="135" t="s">
        <v>550</v>
      </c>
      <c r="F153" s="140">
        <f>IF(G153=0,0,H153/G153)</f>
        <v>9.3116143369254267</v>
      </c>
      <c r="G153" s="316">
        <f>G28+G84+G117+G151</f>
        <v>373565.45000000019</v>
      </c>
      <c r="H153" s="316">
        <f>H28+H84+H117+H151</f>
        <v>3478497.4000000004</v>
      </c>
    </row>
    <row r="154" spans="1:8" ht="15.75" thickTop="1"/>
  </sheetData>
  <mergeCells count="4">
    <mergeCell ref="A5:H5"/>
    <mergeCell ref="A4:H4"/>
    <mergeCell ref="A3:H3"/>
    <mergeCell ref="A2:H2"/>
  </mergeCells>
  <printOptions horizontalCentered="1"/>
  <pageMargins left="0.7" right="0.7" top="0.75" bottom="0.75" header="0.3" footer="0.3"/>
  <pageSetup scale="68" fitToHeight="0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39997558519241921"/>
    <pageSetUpPr fitToPage="1"/>
  </sheetPr>
  <dimension ref="A1:N23"/>
  <sheetViews>
    <sheetView showGridLines="0" zoomScale="85" zoomScaleNormal="85" workbookViewId="0">
      <pane ySplit="5" topLeftCell="A6" activePane="bottomLeft" state="frozen"/>
      <selection pane="bottomLeft" activeCell="I11" sqref="I11"/>
    </sheetView>
  </sheetViews>
  <sheetFormatPr defaultColWidth="10.109375" defaultRowHeight="15"/>
  <cols>
    <col min="1" max="2" width="10.109375" style="16"/>
    <col min="3" max="4" width="12.77734375" style="16" customWidth="1"/>
    <col min="5" max="5" width="12.77734375" style="68" customWidth="1"/>
    <col min="6" max="6" width="10.109375" style="68"/>
    <col min="7" max="7" width="12.77734375" style="16" customWidth="1"/>
    <col min="8" max="16384" width="10.109375" style="16"/>
  </cols>
  <sheetData>
    <row r="1" spans="1:14" s="107" customFormat="1" ht="15.75">
      <c r="E1" s="266"/>
      <c r="F1" s="266"/>
      <c r="G1" s="246"/>
    </row>
    <row r="2" spans="1:14" ht="15.75">
      <c r="A2" s="434" t="str">
        <f>'General Inputs'!$B$2</f>
        <v>Delta Natural Gas Company</v>
      </c>
      <c r="B2" s="434"/>
      <c r="C2" s="434"/>
      <c r="D2" s="434"/>
      <c r="E2" s="434"/>
      <c r="F2" s="434"/>
      <c r="G2" s="434"/>
    </row>
    <row r="3" spans="1:14" ht="15.75">
      <c r="A3" s="434" t="str">
        <f>'General Inputs'!$D$34&amp;" "&amp;'General Inputs'!$E$34</f>
        <v>Case No. 2021-00185</v>
      </c>
      <c r="B3" s="434"/>
      <c r="C3" s="434"/>
      <c r="D3" s="434"/>
      <c r="E3" s="434"/>
      <c r="F3" s="434"/>
      <c r="G3" s="434"/>
    </row>
    <row r="4" spans="1:14" ht="15.75">
      <c r="A4" s="434" t="str">
        <f>"For the Year Ended "&amp;TEXT('General Inputs'!E28,"Mmmm dd, yyyy")</f>
        <v>For the Year Ended December 31, 2020</v>
      </c>
      <c r="B4" s="434"/>
      <c r="C4" s="434"/>
      <c r="D4" s="434"/>
      <c r="E4" s="434"/>
      <c r="F4" s="434"/>
      <c r="G4" s="434"/>
    </row>
    <row r="5" spans="1:14" ht="16.5" thickBot="1">
      <c r="A5" s="435" t="s">
        <v>189</v>
      </c>
      <c r="B5" s="435"/>
      <c r="C5" s="435"/>
      <c r="D5" s="435"/>
      <c r="E5" s="435"/>
      <c r="F5" s="435"/>
      <c r="G5" s="435"/>
    </row>
    <row r="8" spans="1:14" ht="17.25">
      <c r="A8" s="20"/>
      <c r="B8" s="20"/>
      <c r="C8" s="56"/>
      <c r="D8" s="62"/>
      <c r="E8" s="61"/>
      <c r="F8" s="20"/>
      <c r="G8" s="20"/>
      <c r="H8" s="78"/>
      <c r="I8" s="80"/>
      <c r="J8" s="81"/>
      <c r="K8" s="80"/>
      <c r="L8" s="80"/>
      <c r="M8" s="82"/>
      <c r="N8" s="82"/>
    </row>
    <row r="9" spans="1:14" ht="15.75">
      <c r="A9" s="77" t="s">
        <v>29</v>
      </c>
      <c r="B9" s="80" t="s">
        <v>15</v>
      </c>
      <c r="C9" s="80" t="s">
        <v>79</v>
      </c>
      <c r="D9" s="81" t="s">
        <v>53</v>
      </c>
      <c r="E9" s="80" t="s">
        <v>40</v>
      </c>
      <c r="F9" s="80" t="s">
        <v>207</v>
      </c>
      <c r="G9" s="82" t="s">
        <v>28</v>
      </c>
    </row>
    <row r="10" spans="1:14" ht="20.25">
      <c r="A10" s="83" t="s">
        <v>24</v>
      </c>
      <c r="B10" s="83" t="s">
        <v>207</v>
      </c>
      <c r="C10" s="83" t="s">
        <v>151</v>
      </c>
      <c r="D10" s="84" t="s">
        <v>151</v>
      </c>
      <c r="E10" s="83" t="s">
        <v>31</v>
      </c>
      <c r="F10" s="83" t="s">
        <v>40</v>
      </c>
      <c r="G10" s="79" t="s">
        <v>32</v>
      </c>
    </row>
    <row r="11" spans="1:14" ht="15.75">
      <c r="A11" s="20"/>
      <c r="B11" s="44" t="s">
        <v>34</v>
      </c>
      <c r="C11" s="142" t="s">
        <v>35</v>
      </c>
      <c r="D11" s="142" t="s">
        <v>36</v>
      </c>
      <c r="E11" s="142" t="s">
        <v>37</v>
      </c>
      <c r="F11" s="44" t="s">
        <v>190</v>
      </c>
      <c r="G11" s="44" t="s">
        <v>208</v>
      </c>
      <c r="H11" s="107"/>
      <c r="I11" s="107"/>
      <c r="J11" s="107"/>
      <c r="K11" s="107"/>
    </row>
    <row r="12" spans="1:14" ht="15.75">
      <c r="A12" s="20"/>
      <c r="B12" s="20"/>
      <c r="C12" s="56"/>
      <c r="D12" s="62"/>
      <c r="E12" s="62"/>
      <c r="F12" s="56"/>
      <c r="G12" s="56"/>
    </row>
    <row r="13" spans="1:14">
      <c r="A13" s="21"/>
      <c r="B13" s="149" t="s">
        <v>357</v>
      </c>
      <c r="D13" s="63"/>
      <c r="E13" s="63"/>
      <c r="F13" s="21"/>
      <c r="G13" s="21"/>
    </row>
    <row r="14" spans="1:14">
      <c r="A14" s="13">
        <v>1</v>
      </c>
      <c r="B14" s="177">
        <v>0.25</v>
      </c>
      <c r="C14" s="304">
        <v>44196</v>
      </c>
      <c r="D14" s="234">
        <f>C14-(($C$14-EOMONTH(C14,-12))/2)</f>
        <v>44013</v>
      </c>
      <c r="E14" s="271">
        <v>43938</v>
      </c>
      <c r="F14" s="157">
        <f>IF(E14="","",E14-D14)</f>
        <v>-75</v>
      </c>
      <c r="G14" s="178">
        <f>IF(F14="","",ROUND(B14*F14,2))</f>
        <v>-18.75</v>
      </c>
    </row>
    <row r="15" spans="1:14">
      <c r="A15" s="64">
        <v>2</v>
      </c>
      <c r="B15" s="177">
        <v>0.25</v>
      </c>
      <c r="C15" s="248">
        <f>$C$14</f>
        <v>44196</v>
      </c>
      <c r="D15" s="234">
        <f t="shared" ref="D15:D17" si="0">C15-(($C$14-EOMONTH(C15,-12))/2)</f>
        <v>44013</v>
      </c>
      <c r="E15" s="271">
        <v>43997</v>
      </c>
      <c r="F15" s="157">
        <f>IF(E15="","",E15-D15)</f>
        <v>-16</v>
      </c>
      <c r="G15" s="178">
        <f>IF(F15="","",ROUND(B15*F15,2))</f>
        <v>-4</v>
      </c>
    </row>
    <row r="16" spans="1:14">
      <c r="A16" s="64">
        <v>3</v>
      </c>
      <c r="B16" s="177">
        <v>0.25</v>
      </c>
      <c r="C16" s="248">
        <f t="shared" ref="C16:C17" si="1">$C$14</f>
        <v>44196</v>
      </c>
      <c r="D16" s="234">
        <f t="shared" si="0"/>
        <v>44013</v>
      </c>
      <c r="E16" s="271">
        <v>44089</v>
      </c>
      <c r="F16" s="157">
        <f>IF(E16="","",E16-D16)</f>
        <v>76</v>
      </c>
      <c r="G16" s="178">
        <f>IF(F16="","",ROUND(B16*F16,2))</f>
        <v>19</v>
      </c>
    </row>
    <row r="17" spans="1:7">
      <c r="A17" s="64">
        <v>4</v>
      </c>
      <c r="B17" s="177">
        <v>0.25</v>
      </c>
      <c r="C17" s="248">
        <f t="shared" si="1"/>
        <v>44196</v>
      </c>
      <c r="D17" s="234">
        <f t="shared" si="0"/>
        <v>44013</v>
      </c>
      <c r="E17" s="271">
        <v>44180</v>
      </c>
      <c r="F17" s="157">
        <f>IF(E17="","",E17-D17)</f>
        <v>167</v>
      </c>
      <c r="G17" s="178">
        <f>IF(F17="","",ROUND(B17*F17,2))</f>
        <v>41.75</v>
      </c>
    </row>
    <row r="18" spans="1:7">
      <c r="A18" s="21"/>
      <c r="B18" s="21"/>
      <c r="C18" s="65"/>
      <c r="D18" s="21"/>
      <c r="E18" s="63"/>
      <c r="F18" s="63"/>
      <c r="G18" s="66"/>
    </row>
    <row r="19" spans="1:7" ht="16.5" thickBot="1">
      <c r="A19" s="37">
        <v>5</v>
      </c>
      <c r="B19" s="158" t="s">
        <v>358</v>
      </c>
      <c r="D19" s="67"/>
      <c r="G19" s="179">
        <f>SUM(G14:G17)</f>
        <v>38</v>
      </c>
    </row>
    <row r="20" spans="1:7" ht="15.75" thickTop="1">
      <c r="A20" s="27"/>
      <c r="B20" s="27"/>
      <c r="C20" s="27"/>
      <c r="D20" s="27"/>
      <c r="E20" s="35"/>
      <c r="F20" s="35"/>
      <c r="G20" s="27"/>
    </row>
    <row r="21" spans="1:7">
      <c r="A21" s="27"/>
      <c r="B21" s="27"/>
      <c r="C21" s="27"/>
      <c r="D21" s="35"/>
      <c r="E21" s="35"/>
      <c r="F21" s="27"/>
      <c r="G21" s="27"/>
    </row>
    <row r="22" spans="1:7">
      <c r="A22" s="16" t="s">
        <v>247</v>
      </c>
    </row>
    <row r="23" spans="1:7">
      <c r="A23" s="16" t="s">
        <v>538</v>
      </c>
    </row>
  </sheetData>
  <mergeCells count="4">
    <mergeCell ref="A2:G2"/>
    <mergeCell ref="A3:G3"/>
    <mergeCell ref="A4:G4"/>
    <mergeCell ref="A5:G5"/>
  </mergeCells>
  <printOptions horizontalCentered="1"/>
  <pageMargins left="0.7" right="0.7" top="0.75" bottom="0.75" header="0.3" footer="0.3"/>
  <pageSetup fitToHeight="0" orientation="landscape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74162-9B20-4782-9A16-E2886DFF1E4A}">
  <sheetPr>
    <tabColor theme="4" tint="0.39997558519241921"/>
    <pageSetUpPr fitToPage="1"/>
  </sheetPr>
  <dimension ref="A1:L59"/>
  <sheetViews>
    <sheetView showGridLines="0" zoomScale="85" zoomScaleNormal="85" workbookViewId="0">
      <pane ySplit="5" topLeftCell="A21" activePane="bottomLeft" state="frozen"/>
      <selection activeCell="B112" sqref="B112"/>
      <selection pane="bottomLeft" activeCell="H28" sqref="A28:H28"/>
    </sheetView>
  </sheetViews>
  <sheetFormatPr defaultColWidth="8.88671875" defaultRowHeight="15"/>
  <cols>
    <col min="1" max="1" width="9" style="338" bestFit="1" customWidth="1"/>
    <col min="2" max="2" width="57.77734375" style="338" customWidth="1"/>
    <col min="3" max="5" width="12.77734375" style="338" customWidth="1"/>
    <col min="6" max="6" width="10.5546875" style="338" bestFit="1" customWidth="1"/>
    <col min="7" max="7" width="14.77734375" style="338" customWidth="1"/>
    <col min="8" max="8" width="15.77734375" style="338" customWidth="1"/>
    <col min="9" max="16384" width="8.88671875" style="338"/>
  </cols>
  <sheetData>
    <row r="1" spans="1:8" ht="15.75">
      <c r="H1" s="336"/>
    </row>
    <row r="2" spans="1:8" ht="15.75">
      <c r="A2" s="437" t="str">
        <f>'General Inputs'!$B$2</f>
        <v>Delta Natural Gas Company</v>
      </c>
      <c r="B2" s="437"/>
      <c r="C2" s="437"/>
      <c r="D2" s="437"/>
      <c r="E2" s="437"/>
      <c r="F2" s="437"/>
      <c r="G2" s="437"/>
      <c r="H2" s="437"/>
    </row>
    <row r="3" spans="1:8" ht="15.75">
      <c r="A3" s="437" t="str">
        <f>'General Inputs'!$D$34&amp;" "&amp;'General Inputs'!$E$34</f>
        <v>Case No. 2021-00185</v>
      </c>
      <c r="B3" s="437"/>
      <c r="C3" s="437"/>
      <c r="D3" s="437"/>
      <c r="E3" s="437"/>
      <c r="F3" s="437"/>
      <c r="G3" s="437"/>
      <c r="H3" s="437"/>
    </row>
    <row r="4" spans="1:8" ht="15.75">
      <c r="A4" s="437" t="str">
        <f>"For the Year Ended "&amp;TEXT('General Inputs'!E28,"Mmmm dd, yyyy")</f>
        <v>For the Year Ended December 31, 2020</v>
      </c>
      <c r="B4" s="437"/>
      <c r="C4" s="437"/>
      <c r="D4" s="437"/>
      <c r="E4" s="437"/>
      <c r="F4" s="437"/>
      <c r="G4" s="437"/>
      <c r="H4" s="437"/>
    </row>
    <row r="5" spans="1:8" ht="16.5" thickBot="1">
      <c r="A5" s="438" t="s">
        <v>84</v>
      </c>
      <c r="B5" s="438"/>
      <c r="C5" s="438"/>
      <c r="D5" s="438"/>
      <c r="E5" s="438"/>
      <c r="F5" s="438"/>
      <c r="G5" s="438"/>
      <c r="H5" s="438"/>
    </row>
    <row r="8" spans="1:8" ht="17.25">
      <c r="A8" s="53" t="s">
        <v>29</v>
      </c>
      <c r="B8" s="356"/>
      <c r="C8" s="357" t="s">
        <v>79</v>
      </c>
      <c r="D8" s="81" t="s">
        <v>67</v>
      </c>
      <c r="E8" s="357" t="s">
        <v>39</v>
      </c>
      <c r="F8" s="357" t="s">
        <v>19</v>
      </c>
      <c r="G8" s="82" t="s">
        <v>15</v>
      </c>
      <c r="H8" s="82" t="s">
        <v>28</v>
      </c>
    </row>
    <row r="9" spans="1:8" ht="20.25">
      <c r="A9" s="190" t="s">
        <v>24</v>
      </c>
      <c r="B9" s="190" t="s">
        <v>68</v>
      </c>
      <c r="C9" s="358" t="s">
        <v>151</v>
      </c>
      <c r="D9" s="84" t="s">
        <v>69</v>
      </c>
      <c r="E9" s="358" t="s">
        <v>331</v>
      </c>
      <c r="F9" s="358" t="s">
        <v>30</v>
      </c>
      <c r="G9" s="79" t="s">
        <v>31</v>
      </c>
      <c r="H9" s="79" t="s">
        <v>32</v>
      </c>
    </row>
    <row r="10" spans="1:8" ht="15.75">
      <c r="A10" s="54"/>
      <c r="B10" s="359" t="s">
        <v>34</v>
      </c>
      <c r="C10" s="359" t="s">
        <v>35</v>
      </c>
      <c r="D10" s="360" t="s">
        <v>36</v>
      </c>
      <c r="E10" s="359" t="s">
        <v>37</v>
      </c>
      <c r="F10" s="359" t="s">
        <v>190</v>
      </c>
      <c r="G10" s="85" t="s">
        <v>55</v>
      </c>
      <c r="H10" s="85" t="s">
        <v>104</v>
      </c>
    </row>
    <row r="11" spans="1:8" ht="15.75">
      <c r="A11" s="23"/>
      <c r="B11" s="361"/>
      <c r="C11" s="362"/>
      <c r="D11" s="86"/>
      <c r="E11" s="362"/>
      <c r="F11" s="27"/>
      <c r="G11" s="52"/>
      <c r="H11" s="27"/>
    </row>
    <row r="12" spans="1:8">
      <c r="A12" s="23">
        <v>1</v>
      </c>
      <c r="B12" s="394" t="s">
        <v>330</v>
      </c>
      <c r="C12" s="304">
        <v>44196</v>
      </c>
      <c r="D12" s="363">
        <f t="shared" ref="D12:D54" si="0">C12-(($C12-EOMONTH($C12,-12))/2)</f>
        <v>44013</v>
      </c>
      <c r="E12" s="271">
        <v>44251</v>
      </c>
      <c r="F12" s="380">
        <f t="shared" ref="F12:F54" si="1">E12-D12</f>
        <v>238</v>
      </c>
      <c r="G12" s="381">
        <v>610131.9</v>
      </c>
      <c r="H12" s="365">
        <f t="shared" ref="H12:H54" si="2">F12*G12</f>
        <v>145211392.20000002</v>
      </c>
    </row>
    <row r="13" spans="1:8">
      <c r="A13" s="23">
        <f>A12+1</f>
        <v>2</v>
      </c>
      <c r="B13" s="394" t="s">
        <v>560</v>
      </c>
      <c r="C13" s="304">
        <v>44196</v>
      </c>
      <c r="D13" s="363">
        <f t="shared" si="0"/>
        <v>44013</v>
      </c>
      <c r="E13" s="271">
        <v>44314</v>
      </c>
      <c r="F13" s="380">
        <f t="shared" si="1"/>
        <v>301</v>
      </c>
      <c r="G13" s="381">
        <v>383.54</v>
      </c>
      <c r="H13" s="365">
        <f t="shared" si="2"/>
        <v>115445.54000000001</v>
      </c>
    </row>
    <row r="14" spans="1:8">
      <c r="A14" s="23">
        <f>A13+1</f>
        <v>3</v>
      </c>
      <c r="B14" s="394" t="s">
        <v>561</v>
      </c>
      <c r="C14" s="304">
        <v>44196</v>
      </c>
      <c r="D14" s="363">
        <f t="shared" si="0"/>
        <v>44013</v>
      </c>
      <c r="E14" s="271">
        <v>44309</v>
      </c>
      <c r="F14" s="380">
        <f t="shared" si="1"/>
        <v>296</v>
      </c>
      <c r="G14" s="381">
        <v>4610.8599999999997</v>
      </c>
      <c r="H14" s="365">
        <f t="shared" si="2"/>
        <v>1364814.5599999998</v>
      </c>
    </row>
    <row r="15" spans="1:8">
      <c r="A15" s="23">
        <f t="shared" ref="A15:A54" si="3">A14+1</f>
        <v>4</v>
      </c>
      <c r="B15" s="394" t="s">
        <v>562</v>
      </c>
      <c r="C15" s="304">
        <v>44196</v>
      </c>
      <c r="D15" s="363">
        <f t="shared" si="0"/>
        <v>44013</v>
      </c>
      <c r="E15" s="271">
        <v>44322</v>
      </c>
      <c r="F15" s="380">
        <f t="shared" si="1"/>
        <v>309</v>
      </c>
      <c r="G15" s="381">
        <v>823.27</v>
      </c>
      <c r="H15" s="365">
        <f t="shared" si="2"/>
        <v>254390.43</v>
      </c>
    </row>
    <row r="16" spans="1:8">
      <c r="A16" s="23">
        <f t="shared" si="3"/>
        <v>5</v>
      </c>
      <c r="B16" s="394" t="s">
        <v>563</v>
      </c>
      <c r="C16" s="304">
        <v>44196</v>
      </c>
      <c r="D16" s="363">
        <f t="shared" si="0"/>
        <v>44013</v>
      </c>
      <c r="E16" s="271">
        <v>44313</v>
      </c>
      <c r="F16" s="380">
        <f t="shared" si="1"/>
        <v>300</v>
      </c>
      <c r="G16" s="381">
        <v>7273.42</v>
      </c>
      <c r="H16" s="365">
        <f t="shared" si="2"/>
        <v>2182026</v>
      </c>
    </row>
    <row r="17" spans="1:8">
      <c r="A17" s="23">
        <f t="shared" si="3"/>
        <v>6</v>
      </c>
      <c r="B17" s="394" t="s">
        <v>563</v>
      </c>
      <c r="C17" s="304">
        <v>44196</v>
      </c>
      <c r="D17" s="363">
        <f t="shared" si="0"/>
        <v>44013</v>
      </c>
      <c r="E17" s="271">
        <v>44313</v>
      </c>
      <c r="F17" s="380">
        <f t="shared" si="1"/>
        <v>300</v>
      </c>
      <c r="G17" s="381">
        <v>6957.7</v>
      </c>
      <c r="H17" s="365">
        <f t="shared" si="2"/>
        <v>2087310</v>
      </c>
    </row>
    <row r="18" spans="1:8">
      <c r="A18" s="23">
        <f t="shared" si="3"/>
        <v>7</v>
      </c>
      <c r="B18" s="394" t="s">
        <v>564</v>
      </c>
      <c r="C18" s="304">
        <v>44196</v>
      </c>
      <c r="D18" s="363">
        <f t="shared" si="0"/>
        <v>44013</v>
      </c>
      <c r="E18" s="271">
        <v>44314</v>
      </c>
      <c r="F18" s="380">
        <f t="shared" si="1"/>
        <v>301</v>
      </c>
      <c r="G18" s="381">
        <v>4196.3599999999997</v>
      </c>
      <c r="H18" s="365">
        <f t="shared" si="2"/>
        <v>1263104.3599999999</v>
      </c>
    </row>
    <row r="19" spans="1:8">
      <c r="A19" s="23">
        <f t="shared" si="3"/>
        <v>8</v>
      </c>
      <c r="B19" s="394" t="s">
        <v>565</v>
      </c>
      <c r="C19" s="304">
        <v>44196</v>
      </c>
      <c r="D19" s="363">
        <f t="shared" si="0"/>
        <v>44013</v>
      </c>
      <c r="E19" s="271">
        <v>44321</v>
      </c>
      <c r="F19" s="380">
        <f t="shared" si="1"/>
        <v>308</v>
      </c>
      <c r="G19" s="381">
        <v>1079.74</v>
      </c>
      <c r="H19" s="365">
        <f t="shared" si="2"/>
        <v>332559.92</v>
      </c>
    </row>
    <row r="20" spans="1:8">
      <c r="A20" s="23">
        <f t="shared" si="3"/>
        <v>9</v>
      </c>
      <c r="B20" s="394" t="s">
        <v>565</v>
      </c>
      <c r="C20" s="304">
        <v>44196</v>
      </c>
      <c r="D20" s="363">
        <f t="shared" si="0"/>
        <v>44013</v>
      </c>
      <c r="E20" s="271">
        <v>44321</v>
      </c>
      <c r="F20" s="380">
        <f t="shared" si="1"/>
        <v>308</v>
      </c>
      <c r="G20" s="381">
        <v>948.25</v>
      </c>
      <c r="H20" s="365">
        <f t="shared" si="2"/>
        <v>292061</v>
      </c>
    </row>
    <row r="21" spans="1:8">
      <c r="A21" s="23">
        <f t="shared" si="3"/>
        <v>10</v>
      </c>
      <c r="B21" s="394" t="s">
        <v>566</v>
      </c>
      <c r="C21" s="304">
        <v>44196</v>
      </c>
      <c r="D21" s="363">
        <f t="shared" si="0"/>
        <v>44013</v>
      </c>
      <c r="E21" s="271">
        <v>44321</v>
      </c>
      <c r="F21" s="380">
        <f t="shared" si="1"/>
        <v>308</v>
      </c>
      <c r="G21" s="381">
        <v>64485.69</v>
      </c>
      <c r="H21" s="365">
        <f t="shared" si="2"/>
        <v>19861592.52</v>
      </c>
    </row>
    <row r="22" spans="1:8">
      <c r="A22" s="23">
        <f t="shared" si="3"/>
        <v>11</v>
      </c>
      <c r="B22" s="394" t="s">
        <v>567</v>
      </c>
      <c r="C22" s="304">
        <v>44196</v>
      </c>
      <c r="D22" s="363">
        <f t="shared" si="0"/>
        <v>44013</v>
      </c>
      <c r="E22" s="271">
        <v>44329</v>
      </c>
      <c r="F22" s="380">
        <f t="shared" si="1"/>
        <v>316</v>
      </c>
      <c r="G22" s="381">
        <v>429.23</v>
      </c>
      <c r="H22" s="365">
        <f t="shared" si="2"/>
        <v>135636.68</v>
      </c>
    </row>
    <row r="23" spans="1:8">
      <c r="A23" s="23">
        <f>A22+1</f>
        <v>12</v>
      </c>
      <c r="B23" s="394" t="s">
        <v>568</v>
      </c>
      <c r="C23" s="304">
        <v>44196</v>
      </c>
      <c r="D23" s="363">
        <f t="shared" si="0"/>
        <v>44013</v>
      </c>
      <c r="E23" s="271">
        <v>44335</v>
      </c>
      <c r="F23" s="380">
        <f t="shared" si="1"/>
        <v>322</v>
      </c>
      <c r="G23" s="381">
        <v>6351.29</v>
      </c>
      <c r="H23" s="365">
        <f t="shared" si="2"/>
        <v>2045115.38</v>
      </c>
    </row>
    <row r="24" spans="1:8">
      <c r="A24" s="23">
        <f t="shared" si="3"/>
        <v>13</v>
      </c>
      <c r="B24" s="394" t="s">
        <v>569</v>
      </c>
      <c r="C24" s="304">
        <v>44196</v>
      </c>
      <c r="D24" s="363">
        <f t="shared" si="0"/>
        <v>44013</v>
      </c>
      <c r="E24" s="271">
        <v>44362</v>
      </c>
      <c r="F24" s="380">
        <f t="shared" si="1"/>
        <v>349</v>
      </c>
      <c r="G24" s="381">
        <v>261.60000000000002</v>
      </c>
      <c r="H24" s="365">
        <f t="shared" si="2"/>
        <v>91298.400000000009</v>
      </c>
    </row>
    <row r="25" spans="1:8">
      <c r="A25" s="23">
        <f t="shared" si="3"/>
        <v>14</v>
      </c>
      <c r="B25" s="394" t="s">
        <v>570</v>
      </c>
      <c r="C25" s="304">
        <v>44196</v>
      </c>
      <c r="D25" s="363">
        <f t="shared" si="0"/>
        <v>44013</v>
      </c>
      <c r="E25" s="271">
        <v>44369</v>
      </c>
      <c r="F25" s="380">
        <f t="shared" si="1"/>
        <v>356</v>
      </c>
      <c r="G25" s="381">
        <v>6908.34</v>
      </c>
      <c r="H25" s="365">
        <f t="shared" si="2"/>
        <v>2459369.04</v>
      </c>
    </row>
    <row r="26" spans="1:8">
      <c r="A26" s="23">
        <f t="shared" si="3"/>
        <v>15</v>
      </c>
      <c r="B26" s="394" t="s">
        <v>571</v>
      </c>
      <c r="C26" s="304">
        <v>44196</v>
      </c>
      <c r="D26" s="363">
        <f t="shared" si="0"/>
        <v>44013</v>
      </c>
      <c r="E26" s="271">
        <v>44389</v>
      </c>
      <c r="F26" s="380">
        <f t="shared" si="1"/>
        <v>376</v>
      </c>
      <c r="G26" s="381">
        <v>34030.379999999997</v>
      </c>
      <c r="H26" s="365">
        <f t="shared" si="2"/>
        <v>12795422.879999999</v>
      </c>
    </row>
    <row r="27" spans="1:8">
      <c r="A27" s="23">
        <f t="shared" si="3"/>
        <v>16</v>
      </c>
      <c r="B27" s="394" t="s">
        <v>499</v>
      </c>
      <c r="C27" s="304">
        <v>44196</v>
      </c>
      <c r="D27" s="363">
        <f t="shared" si="0"/>
        <v>44013</v>
      </c>
      <c r="E27" s="271">
        <v>44404</v>
      </c>
      <c r="F27" s="380">
        <f t="shared" si="1"/>
        <v>391</v>
      </c>
      <c r="G27" s="381">
        <v>12689.3</v>
      </c>
      <c r="H27" s="365">
        <f t="shared" si="2"/>
        <v>4961516.3</v>
      </c>
    </row>
    <row r="28" spans="1:8">
      <c r="A28" s="23">
        <f t="shared" si="3"/>
        <v>17</v>
      </c>
      <c r="B28" s="394" t="s">
        <v>499</v>
      </c>
      <c r="C28" s="304">
        <v>44196</v>
      </c>
      <c r="D28" s="363">
        <f t="shared" si="0"/>
        <v>44013</v>
      </c>
      <c r="E28" s="271">
        <v>44421</v>
      </c>
      <c r="F28" s="380">
        <f t="shared" si="1"/>
        <v>408</v>
      </c>
      <c r="G28" s="381">
        <v>15777.29</v>
      </c>
      <c r="H28" s="365">
        <f t="shared" si="2"/>
        <v>6437134.3200000003</v>
      </c>
    </row>
    <row r="29" spans="1:8">
      <c r="A29" s="23">
        <f t="shared" si="3"/>
        <v>18</v>
      </c>
      <c r="B29" s="394" t="s">
        <v>566</v>
      </c>
      <c r="C29" s="304">
        <v>44196</v>
      </c>
      <c r="D29" s="363">
        <f t="shared" si="0"/>
        <v>44013</v>
      </c>
      <c r="E29" s="271">
        <v>44405</v>
      </c>
      <c r="F29" s="380">
        <f t="shared" si="1"/>
        <v>392</v>
      </c>
      <c r="G29" s="381">
        <v>10670.16</v>
      </c>
      <c r="H29" s="365">
        <f t="shared" si="2"/>
        <v>4182702.7199999997</v>
      </c>
    </row>
    <row r="30" spans="1:8">
      <c r="A30" s="23">
        <f t="shared" si="3"/>
        <v>19</v>
      </c>
      <c r="B30" s="394" t="s">
        <v>572</v>
      </c>
      <c r="C30" s="304">
        <v>44196</v>
      </c>
      <c r="D30" s="363">
        <f t="shared" si="0"/>
        <v>44013</v>
      </c>
      <c r="E30" s="271">
        <v>44264</v>
      </c>
      <c r="F30" s="380">
        <f t="shared" si="1"/>
        <v>251</v>
      </c>
      <c r="G30" s="381">
        <v>2488.1799999999998</v>
      </c>
      <c r="H30" s="365">
        <f t="shared" si="2"/>
        <v>624533.17999999993</v>
      </c>
    </row>
    <row r="31" spans="1:8">
      <c r="A31" s="23">
        <f t="shared" si="3"/>
        <v>20</v>
      </c>
      <c r="B31" s="394" t="s">
        <v>573</v>
      </c>
      <c r="C31" s="304">
        <v>44196</v>
      </c>
      <c r="D31" s="363">
        <f t="shared" si="0"/>
        <v>44013</v>
      </c>
      <c r="E31" s="271">
        <v>44314</v>
      </c>
      <c r="F31" s="380">
        <f t="shared" si="1"/>
        <v>301</v>
      </c>
      <c r="G31" s="381">
        <v>4972.3999999999996</v>
      </c>
      <c r="H31" s="365">
        <f t="shared" si="2"/>
        <v>1496692.4</v>
      </c>
    </row>
    <row r="32" spans="1:8">
      <c r="A32" s="23">
        <f t="shared" si="3"/>
        <v>21</v>
      </c>
      <c r="B32" s="394" t="s">
        <v>574</v>
      </c>
      <c r="C32" s="304">
        <v>44196</v>
      </c>
      <c r="D32" s="363">
        <f t="shared" si="0"/>
        <v>44013</v>
      </c>
      <c r="E32" s="271">
        <v>44306</v>
      </c>
      <c r="F32" s="380">
        <f t="shared" si="1"/>
        <v>293</v>
      </c>
      <c r="G32" s="381">
        <v>186610.39</v>
      </c>
      <c r="H32" s="365">
        <f t="shared" si="2"/>
        <v>54676844.270000003</v>
      </c>
    </row>
    <row r="33" spans="1:8">
      <c r="A33" s="23">
        <f t="shared" si="3"/>
        <v>22</v>
      </c>
      <c r="B33" s="394" t="s">
        <v>575</v>
      </c>
      <c r="C33" s="304">
        <v>44196</v>
      </c>
      <c r="D33" s="363">
        <f t="shared" si="0"/>
        <v>44013</v>
      </c>
      <c r="E33" s="271">
        <v>44314</v>
      </c>
      <c r="F33" s="380">
        <f t="shared" si="1"/>
        <v>301</v>
      </c>
      <c r="G33" s="381">
        <v>22313.77</v>
      </c>
      <c r="H33" s="365">
        <f t="shared" si="2"/>
        <v>6716444.7700000005</v>
      </c>
    </row>
    <row r="34" spans="1:8">
      <c r="A34" s="23">
        <f t="shared" si="3"/>
        <v>23</v>
      </c>
      <c r="B34" s="394" t="s">
        <v>576</v>
      </c>
      <c r="C34" s="304">
        <v>44196</v>
      </c>
      <c r="D34" s="363">
        <f t="shared" si="0"/>
        <v>44013</v>
      </c>
      <c r="E34" s="271">
        <v>44306</v>
      </c>
      <c r="F34" s="380">
        <f t="shared" si="1"/>
        <v>293</v>
      </c>
      <c r="G34" s="381">
        <v>95920.48</v>
      </c>
      <c r="H34" s="365">
        <f t="shared" si="2"/>
        <v>28104700.640000001</v>
      </c>
    </row>
    <row r="35" spans="1:8">
      <c r="A35" s="23">
        <f t="shared" si="3"/>
        <v>24</v>
      </c>
      <c r="B35" s="394" t="s">
        <v>577</v>
      </c>
      <c r="C35" s="304">
        <v>44196</v>
      </c>
      <c r="D35" s="363">
        <f t="shared" si="0"/>
        <v>44013</v>
      </c>
      <c r="E35" s="271">
        <v>44312</v>
      </c>
      <c r="F35" s="380">
        <f t="shared" si="1"/>
        <v>299</v>
      </c>
      <c r="G35" s="381">
        <v>4681.9799999999996</v>
      </c>
      <c r="H35" s="365">
        <f t="shared" si="2"/>
        <v>1399912.0199999998</v>
      </c>
    </row>
    <row r="36" spans="1:8">
      <c r="A36" s="23">
        <f t="shared" si="3"/>
        <v>25</v>
      </c>
      <c r="B36" s="394" t="s">
        <v>578</v>
      </c>
      <c r="C36" s="304">
        <v>44196</v>
      </c>
      <c r="D36" s="363">
        <f t="shared" si="0"/>
        <v>44013</v>
      </c>
      <c r="E36" s="271">
        <v>44312</v>
      </c>
      <c r="F36" s="380">
        <f t="shared" si="1"/>
        <v>299</v>
      </c>
      <c r="G36" s="381">
        <v>552004.62</v>
      </c>
      <c r="H36" s="365">
        <f t="shared" si="2"/>
        <v>165049381.38</v>
      </c>
    </row>
    <row r="37" spans="1:8">
      <c r="A37" s="23">
        <f t="shared" si="3"/>
        <v>26</v>
      </c>
      <c r="B37" s="394" t="s">
        <v>579</v>
      </c>
      <c r="C37" s="304">
        <v>44196</v>
      </c>
      <c r="D37" s="363">
        <f t="shared" si="0"/>
        <v>44013</v>
      </c>
      <c r="E37" s="271">
        <v>44313</v>
      </c>
      <c r="F37" s="380">
        <f t="shared" si="1"/>
        <v>300</v>
      </c>
      <c r="G37" s="381">
        <v>44690.76</v>
      </c>
      <c r="H37" s="365">
        <f t="shared" si="2"/>
        <v>13407228</v>
      </c>
    </row>
    <row r="38" spans="1:8">
      <c r="A38" s="23">
        <f t="shared" si="3"/>
        <v>27</v>
      </c>
      <c r="B38" s="394" t="s">
        <v>580</v>
      </c>
      <c r="C38" s="304">
        <v>44196</v>
      </c>
      <c r="D38" s="363">
        <f t="shared" si="0"/>
        <v>44013</v>
      </c>
      <c r="E38" s="271">
        <v>44314</v>
      </c>
      <c r="F38" s="380">
        <f t="shared" si="1"/>
        <v>301</v>
      </c>
      <c r="G38" s="381">
        <v>21057.87</v>
      </c>
      <c r="H38" s="365">
        <f t="shared" si="2"/>
        <v>6338418.8700000001</v>
      </c>
    </row>
    <row r="39" spans="1:8">
      <c r="A39" s="23">
        <f t="shared" si="3"/>
        <v>28</v>
      </c>
      <c r="B39" s="394" t="s">
        <v>581</v>
      </c>
      <c r="C39" s="304">
        <v>44196</v>
      </c>
      <c r="D39" s="363">
        <f t="shared" si="0"/>
        <v>44013</v>
      </c>
      <c r="E39" s="271">
        <v>44314</v>
      </c>
      <c r="F39" s="380">
        <f t="shared" si="1"/>
        <v>301</v>
      </c>
      <c r="G39" s="381">
        <v>105565.16</v>
      </c>
      <c r="H39" s="365">
        <f t="shared" si="2"/>
        <v>31775113.16</v>
      </c>
    </row>
    <row r="40" spans="1:8">
      <c r="A40" s="23">
        <f t="shared" si="3"/>
        <v>29</v>
      </c>
      <c r="B40" s="394" t="s">
        <v>582</v>
      </c>
      <c r="C40" s="304">
        <v>44196</v>
      </c>
      <c r="D40" s="363">
        <f t="shared" si="0"/>
        <v>44013</v>
      </c>
      <c r="E40" s="271">
        <v>44326</v>
      </c>
      <c r="F40" s="380">
        <f t="shared" si="1"/>
        <v>313</v>
      </c>
      <c r="G40" s="381">
        <v>44.76</v>
      </c>
      <c r="H40" s="365">
        <f t="shared" si="2"/>
        <v>14009.88</v>
      </c>
    </row>
    <row r="41" spans="1:8">
      <c r="A41" s="23">
        <f t="shared" si="3"/>
        <v>30</v>
      </c>
      <c r="B41" s="394" t="s">
        <v>583</v>
      </c>
      <c r="C41" s="304">
        <v>44196</v>
      </c>
      <c r="D41" s="363">
        <f t="shared" si="0"/>
        <v>44013</v>
      </c>
      <c r="E41" s="271">
        <v>44323</v>
      </c>
      <c r="F41" s="380">
        <f t="shared" si="1"/>
        <v>310</v>
      </c>
      <c r="G41" s="381">
        <v>594.80999999999995</v>
      </c>
      <c r="H41" s="365">
        <f t="shared" si="2"/>
        <v>184391.09999999998</v>
      </c>
    </row>
    <row r="42" spans="1:8">
      <c r="A42" s="23">
        <f t="shared" si="3"/>
        <v>31</v>
      </c>
      <c r="B42" s="394" t="s">
        <v>584</v>
      </c>
      <c r="C42" s="304">
        <v>44196</v>
      </c>
      <c r="D42" s="363">
        <f t="shared" si="0"/>
        <v>44013</v>
      </c>
      <c r="E42" s="271">
        <v>44313</v>
      </c>
      <c r="F42" s="380">
        <f t="shared" si="1"/>
        <v>300</v>
      </c>
      <c r="G42" s="381">
        <v>37963.519999999997</v>
      </c>
      <c r="H42" s="365">
        <f t="shared" si="2"/>
        <v>11389055.999999998</v>
      </c>
    </row>
    <row r="43" spans="1:8">
      <c r="A43" s="23">
        <f t="shared" si="3"/>
        <v>32</v>
      </c>
      <c r="B43" s="394" t="s">
        <v>585</v>
      </c>
      <c r="C43" s="304">
        <v>44196</v>
      </c>
      <c r="D43" s="363">
        <f t="shared" si="0"/>
        <v>44013</v>
      </c>
      <c r="E43" s="271">
        <v>44323</v>
      </c>
      <c r="F43" s="380">
        <f t="shared" si="1"/>
        <v>310</v>
      </c>
      <c r="G43" s="381">
        <v>28644.18</v>
      </c>
      <c r="H43" s="365">
        <f t="shared" si="2"/>
        <v>8879695.8000000007</v>
      </c>
    </row>
    <row r="44" spans="1:8">
      <c r="A44" s="23">
        <f t="shared" si="3"/>
        <v>33</v>
      </c>
      <c r="B44" s="394" t="s">
        <v>586</v>
      </c>
      <c r="C44" s="304">
        <v>44196</v>
      </c>
      <c r="D44" s="363">
        <f t="shared" si="0"/>
        <v>44013</v>
      </c>
      <c r="E44" s="271">
        <v>44319</v>
      </c>
      <c r="F44" s="380">
        <f t="shared" si="1"/>
        <v>306</v>
      </c>
      <c r="G44" s="381">
        <v>224303.79</v>
      </c>
      <c r="H44" s="365">
        <f t="shared" si="2"/>
        <v>68636959.74000001</v>
      </c>
    </row>
    <row r="45" spans="1:8">
      <c r="A45" s="23">
        <f t="shared" si="3"/>
        <v>34</v>
      </c>
      <c r="B45" s="394" t="s">
        <v>587</v>
      </c>
      <c r="C45" s="304">
        <v>44196</v>
      </c>
      <c r="D45" s="363">
        <f t="shared" si="0"/>
        <v>44013</v>
      </c>
      <c r="E45" s="271">
        <v>44319</v>
      </c>
      <c r="F45" s="380">
        <f t="shared" si="1"/>
        <v>306</v>
      </c>
      <c r="G45" s="381">
        <v>23949.73</v>
      </c>
      <c r="H45" s="365">
        <f t="shared" si="2"/>
        <v>7328617.3799999999</v>
      </c>
    </row>
    <row r="46" spans="1:8">
      <c r="A46" s="23">
        <f t="shared" si="3"/>
        <v>35</v>
      </c>
      <c r="B46" s="394" t="s">
        <v>588</v>
      </c>
      <c r="C46" s="304">
        <v>44196</v>
      </c>
      <c r="D46" s="363">
        <f t="shared" si="0"/>
        <v>44013</v>
      </c>
      <c r="E46" s="271">
        <v>44326</v>
      </c>
      <c r="F46" s="380">
        <f t="shared" si="1"/>
        <v>313</v>
      </c>
      <c r="G46" s="381">
        <v>15443.05</v>
      </c>
      <c r="H46" s="365">
        <f t="shared" si="2"/>
        <v>4833674.6499999994</v>
      </c>
    </row>
    <row r="47" spans="1:8">
      <c r="A47" s="23">
        <f t="shared" si="3"/>
        <v>36</v>
      </c>
      <c r="B47" s="394" t="s">
        <v>572</v>
      </c>
      <c r="C47" s="304">
        <v>44196</v>
      </c>
      <c r="D47" s="363">
        <f t="shared" si="0"/>
        <v>44013</v>
      </c>
      <c r="E47" s="271">
        <v>44342</v>
      </c>
      <c r="F47" s="380">
        <f t="shared" si="1"/>
        <v>329</v>
      </c>
      <c r="G47" s="381">
        <v>143761.88</v>
      </c>
      <c r="H47" s="365">
        <f t="shared" si="2"/>
        <v>47297658.520000003</v>
      </c>
    </row>
    <row r="48" spans="1:8">
      <c r="A48" s="23">
        <f t="shared" si="3"/>
        <v>37</v>
      </c>
      <c r="B48" s="394" t="s">
        <v>589</v>
      </c>
      <c r="C48" s="304">
        <v>44196</v>
      </c>
      <c r="D48" s="363">
        <f t="shared" si="0"/>
        <v>44013</v>
      </c>
      <c r="E48" s="271">
        <v>44342</v>
      </c>
      <c r="F48" s="380">
        <f t="shared" si="1"/>
        <v>329</v>
      </c>
      <c r="G48" s="381">
        <v>232779.41</v>
      </c>
      <c r="H48" s="365">
        <f t="shared" si="2"/>
        <v>76584425.890000001</v>
      </c>
    </row>
    <row r="49" spans="1:12">
      <c r="A49" s="23">
        <f t="shared" si="3"/>
        <v>38</v>
      </c>
      <c r="B49" s="394" t="s">
        <v>590</v>
      </c>
      <c r="C49" s="304">
        <v>44196</v>
      </c>
      <c r="D49" s="363">
        <f t="shared" si="0"/>
        <v>44013</v>
      </c>
      <c r="E49" s="271">
        <v>44385</v>
      </c>
      <c r="F49" s="380">
        <f t="shared" si="1"/>
        <v>372</v>
      </c>
      <c r="G49" s="381">
        <v>229270.7</v>
      </c>
      <c r="H49" s="365">
        <f t="shared" si="2"/>
        <v>85288700.400000006</v>
      </c>
    </row>
    <row r="50" spans="1:12">
      <c r="A50" s="23">
        <f t="shared" si="3"/>
        <v>39</v>
      </c>
      <c r="B50" s="394" t="s">
        <v>591</v>
      </c>
      <c r="C50" s="304">
        <v>44196</v>
      </c>
      <c r="D50" s="363">
        <f t="shared" si="0"/>
        <v>44013</v>
      </c>
      <c r="E50" s="271">
        <v>44376</v>
      </c>
      <c r="F50" s="380">
        <f t="shared" si="1"/>
        <v>363</v>
      </c>
      <c r="G50" s="381">
        <v>45654.98</v>
      </c>
      <c r="H50" s="365">
        <f t="shared" si="2"/>
        <v>16572757.740000002</v>
      </c>
    </row>
    <row r="51" spans="1:12">
      <c r="A51" s="23">
        <f t="shared" si="3"/>
        <v>40</v>
      </c>
      <c r="B51" s="394" t="s">
        <v>585</v>
      </c>
      <c r="C51" s="304">
        <v>44196</v>
      </c>
      <c r="D51" s="363">
        <f t="shared" si="0"/>
        <v>44013</v>
      </c>
      <c r="E51" s="271">
        <v>44417</v>
      </c>
      <c r="F51" s="380">
        <f t="shared" si="1"/>
        <v>404</v>
      </c>
      <c r="G51" s="381">
        <v>30983.61</v>
      </c>
      <c r="H51" s="365">
        <f t="shared" si="2"/>
        <v>12517378.439999999</v>
      </c>
    </row>
    <row r="52" spans="1:12">
      <c r="A52" s="23">
        <f t="shared" si="3"/>
        <v>41</v>
      </c>
      <c r="B52" s="394" t="s">
        <v>592</v>
      </c>
      <c r="C52" s="304">
        <v>44196</v>
      </c>
      <c r="D52" s="363">
        <f t="shared" si="0"/>
        <v>44013</v>
      </c>
      <c r="E52" s="271">
        <v>44312</v>
      </c>
      <c r="F52" s="380">
        <f t="shared" si="1"/>
        <v>299</v>
      </c>
      <c r="G52" s="381">
        <v>18114.91</v>
      </c>
      <c r="H52" s="365">
        <f t="shared" si="2"/>
        <v>5416358.0899999999</v>
      </c>
    </row>
    <row r="53" spans="1:12">
      <c r="A53" s="23">
        <f t="shared" si="3"/>
        <v>42</v>
      </c>
      <c r="B53" s="394" t="s">
        <v>593</v>
      </c>
      <c r="C53" s="304">
        <v>44196</v>
      </c>
      <c r="D53" s="363">
        <f t="shared" si="0"/>
        <v>44013</v>
      </c>
      <c r="E53" s="271">
        <v>44385</v>
      </c>
      <c r="F53" s="380">
        <f t="shared" si="1"/>
        <v>372</v>
      </c>
      <c r="G53" s="381">
        <v>3321.24</v>
      </c>
      <c r="H53" s="365">
        <f t="shared" si="2"/>
        <v>1235501.28</v>
      </c>
    </row>
    <row r="54" spans="1:12">
      <c r="A54" s="23">
        <f t="shared" si="3"/>
        <v>43</v>
      </c>
      <c r="B54" s="394" t="s">
        <v>593</v>
      </c>
      <c r="C54" s="304">
        <v>44196</v>
      </c>
      <c r="D54" s="363">
        <f t="shared" si="0"/>
        <v>44013</v>
      </c>
      <c r="E54" s="271">
        <v>44385</v>
      </c>
      <c r="F54" s="380">
        <f t="shared" si="1"/>
        <v>372</v>
      </c>
      <c r="G54" s="381">
        <v>7987.14</v>
      </c>
      <c r="H54" s="365">
        <f t="shared" si="2"/>
        <v>2971216.08</v>
      </c>
    </row>
    <row r="55" spans="1:12" ht="17.25">
      <c r="A55" s="23"/>
      <c r="B55" s="31"/>
      <c r="C55" s="366"/>
      <c r="D55" s="366"/>
      <c r="E55" s="366"/>
      <c r="F55" s="367"/>
      <c r="G55" s="368"/>
      <c r="H55" s="26"/>
    </row>
    <row r="56" spans="1:12" ht="16.5" thickBot="1">
      <c r="A56" s="23">
        <f>A54+1</f>
        <v>44</v>
      </c>
      <c r="B56" s="369" t="s">
        <v>329</v>
      </c>
      <c r="C56" s="366"/>
      <c r="D56" s="366"/>
      <c r="E56" s="366"/>
      <c r="F56" s="370">
        <f>IF(G56=0,0,H56/G56)</f>
        <v>301.20965193013575</v>
      </c>
      <c r="G56" s="371">
        <f>SUM(G12:G54)</f>
        <v>2871131.6400000006</v>
      </c>
      <c r="H56" s="371">
        <f>SUM(H12:H54)</f>
        <v>864812561.93000007</v>
      </c>
    </row>
    <row r="57" spans="1:12" ht="15.75" thickTop="1">
      <c r="A57" s="27"/>
      <c r="B57" s="27"/>
      <c r="C57" s="31"/>
      <c r="D57" s="31"/>
      <c r="E57" s="31"/>
      <c r="F57" s="27"/>
      <c r="G57" s="31"/>
      <c r="H57" s="27"/>
    </row>
    <row r="58" spans="1:12">
      <c r="A58" s="338" t="s">
        <v>594</v>
      </c>
      <c r="E58" s="335"/>
      <c r="L58" s="335"/>
    </row>
    <row r="59" spans="1:12">
      <c r="E59" s="335"/>
      <c r="L59" s="335"/>
    </row>
  </sheetData>
  <mergeCells count="4">
    <mergeCell ref="A2:H2"/>
    <mergeCell ref="A3:H3"/>
    <mergeCell ref="A4:H4"/>
    <mergeCell ref="A5:H5"/>
  </mergeCells>
  <printOptions horizontalCentered="1"/>
  <pageMargins left="0.7" right="0.7" top="0.75" bottom="0.75" header="0.3" footer="0.3"/>
  <pageSetup scale="70" fitToHeight="0" orientation="landscape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3A577-85EE-4C67-BBF2-815DD6AB00AD}">
  <sheetPr>
    <tabColor theme="4" tint="0.39997558519241921"/>
    <pageSetUpPr fitToPage="1"/>
  </sheetPr>
  <dimension ref="A1:N50"/>
  <sheetViews>
    <sheetView showGridLines="0" zoomScale="85" zoomScaleNormal="85" workbookViewId="0">
      <pane ySplit="5" topLeftCell="A12" activePane="bottomLeft" state="frozen"/>
      <selection activeCell="A6" sqref="A6"/>
      <selection pane="bottomLeft" activeCell="C46" sqref="C46"/>
    </sheetView>
  </sheetViews>
  <sheetFormatPr defaultColWidth="8.88671875" defaultRowHeight="15"/>
  <cols>
    <col min="1" max="1" width="9" style="338" bestFit="1" customWidth="1"/>
    <col min="2" max="2" width="30.77734375" style="338" customWidth="1"/>
    <col min="3" max="4" width="15.77734375" style="338" customWidth="1"/>
    <col min="5" max="6" width="12.77734375" style="338" customWidth="1"/>
    <col min="7" max="8" width="10.5546875" style="338" bestFit="1" customWidth="1"/>
    <col min="9" max="10" width="14.77734375" style="338" customWidth="1"/>
    <col min="11" max="16384" width="8.88671875" style="338"/>
  </cols>
  <sheetData>
    <row r="1" spans="1:12" ht="15.75">
      <c r="A1" s="338" t="s">
        <v>595</v>
      </c>
      <c r="I1" s="372"/>
    </row>
    <row r="2" spans="1:12" ht="15.75">
      <c r="A2" s="437" t="str">
        <f>'General Inputs'!$B$2</f>
        <v>Delta Natural Gas Company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2" ht="15.75">
      <c r="A3" s="437" t="str">
        <f>'General Inputs'!$D$34&amp;" "&amp;'General Inputs'!$E$34</f>
        <v>Case No. 2021-00185</v>
      </c>
      <c r="B3" s="437"/>
      <c r="C3" s="437"/>
      <c r="D3" s="437"/>
      <c r="E3" s="437"/>
      <c r="F3" s="437"/>
      <c r="G3" s="437"/>
      <c r="H3" s="437"/>
      <c r="I3" s="437"/>
      <c r="J3" s="437"/>
    </row>
    <row r="4" spans="1:12" ht="15.75">
      <c r="A4" s="437" t="str">
        <f>"For the Year Ended "&amp;TEXT('General Inputs'!E28,"Mmmm dd, yyyy")</f>
        <v>For the Year Ended December 31, 2020</v>
      </c>
      <c r="B4" s="437"/>
      <c r="C4" s="437"/>
      <c r="D4" s="437"/>
      <c r="E4" s="437"/>
      <c r="F4" s="437"/>
      <c r="G4" s="437"/>
      <c r="H4" s="437"/>
      <c r="I4" s="437"/>
      <c r="J4" s="437"/>
    </row>
    <row r="5" spans="1:12" ht="16.5" thickBot="1">
      <c r="A5" s="438" t="s">
        <v>332</v>
      </c>
      <c r="B5" s="438"/>
      <c r="C5" s="438"/>
      <c r="D5" s="438"/>
      <c r="E5" s="438"/>
      <c r="F5" s="438"/>
      <c r="G5" s="438"/>
      <c r="H5" s="438"/>
      <c r="I5" s="438"/>
      <c r="J5" s="438"/>
    </row>
    <row r="8" spans="1:12" ht="17.25">
      <c r="A8" s="53" t="s">
        <v>29</v>
      </c>
      <c r="B8" s="356"/>
      <c r="C8" s="357" t="s">
        <v>351</v>
      </c>
      <c r="D8" s="357" t="s">
        <v>79</v>
      </c>
      <c r="E8" s="81" t="s">
        <v>172</v>
      </c>
      <c r="F8" s="357" t="s">
        <v>39</v>
      </c>
      <c r="G8" s="357" t="s">
        <v>39</v>
      </c>
      <c r="H8" s="357" t="s">
        <v>19</v>
      </c>
      <c r="I8" s="82" t="s">
        <v>15</v>
      </c>
      <c r="J8" s="82" t="s">
        <v>28</v>
      </c>
      <c r="L8" s="373"/>
    </row>
    <row r="9" spans="1:12" ht="20.25">
      <c r="A9" s="190" t="s">
        <v>24</v>
      </c>
      <c r="B9" s="190" t="s">
        <v>68</v>
      </c>
      <c r="C9" s="374" t="s">
        <v>54</v>
      </c>
      <c r="D9" s="374" t="s">
        <v>54</v>
      </c>
      <c r="E9" s="84" t="s">
        <v>150</v>
      </c>
      <c r="F9" s="358" t="s">
        <v>331</v>
      </c>
      <c r="G9" s="358" t="s">
        <v>30</v>
      </c>
      <c r="H9" s="358" t="s">
        <v>30</v>
      </c>
      <c r="I9" s="79" t="s">
        <v>31</v>
      </c>
      <c r="J9" s="79" t="s">
        <v>32</v>
      </c>
      <c r="L9" s="375"/>
    </row>
    <row r="10" spans="1:12" ht="15.75">
      <c r="A10" s="54"/>
      <c r="B10" s="359" t="s">
        <v>34</v>
      </c>
      <c r="C10" s="359" t="s">
        <v>35</v>
      </c>
      <c r="D10" s="360" t="s">
        <v>36</v>
      </c>
      <c r="E10" s="359" t="s">
        <v>341</v>
      </c>
      <c r="F10" s="359" t="s">
        <v>43</v>
      </c>
      <c r="G10" s="359" t="s">
        <v>179</v>
      </c>
      <c r="H10" s="359" t="s">
        <v>342</v>
      </c>
      <c r="I10" s="85" t="s">
        <v>63</v>
      </c>
      <c r="J10" s="85" t="s">
        <v>182</v>
      </c>
      <c r="L10" s="71"/>
    </row>
    <row r="11" spans="1:12">
      <c r="L11" s="31"/>
    </row>
    <row r="12" spans="1:12">
      <c r="A12" s="23"/>
      <c r="B12" s="376" t="s">
        <v>335</v>
      </c>
      <c r="C12" s="362"/>
      <c r="D12" s="362"/>
      <c r="E12" s="86"/>
      <c r="G12" s="27"/>
      <c r="H12" s="27"/>
      <c r="I12" s="52"/>
      <c r="J12" s="27"/>
      <c r="L12" s="364"/>
    </row>
    <row r="13" spans="1:12">
      <c r="A13" s="23">
        <v>1</v>
      </c>
      <c r="B13" s="394" t="s">
        <v>339</v>
      </c>
      <c r="C13" s="271">
        <v>44013</v>
      </c>
      <c r="D13" s="271">
        <v>44377</v>
      </c>
      <c r="E13" s="377">
        <f>(D13-C13)/2</f>
        <v>182</v>
      </c>
      <c r="F13" s="271">
        <v>44071</v>
      </c>
      <c r="G13" s="380">
        <f>F13-D13</f>
        <v>-306</v>
      </c>
      <c r="H13" s="380">
        <f>E13+G13</f>
        <v>-124</v>
      </c>
      <c r="I13" s="381">
        <v>550</v>
      </c>
      <c r="J13" s="382">
        <f t="shared" ref="J13:J35" si="0">H13*I13</f>
        <v>-68200</v>
      </c>
    </row>
    <row r="14" spans="1:12">
      <c r="A14" s="23"/>
      <c r="B14" s="394"/>
      <c r="C14" s="271"/>
      <c r="D14" s="271"/>
      <c r="E14" s="377"/>
      <c r="F14" s="271"/>
      <c r="G14" s="380"/>
      <c r="H14" s="380"/>
      <c r="I14" s="381"/>
      <c r="J14" s="382"/>
    </row>
    <row r="15" spans="1:12">
      <c r="A15" s="23"/>
      <c r="B15" s="123"/>
      <c r="C15" s="123"/>
      <c r="D15" s="123"/>
      <c r="E15" s="13"/>
      <c r="F15" s="123"/>
      <c r="G15" s="123"/>
      <c r="H15" s="123"/>
      <c r="I15" s="123"/>
      <c r="J15" s="395"/>
    </row>
    <row r="16" spans="1:12">
      <c r="A16" s="23"/>
      <c r="B16" s="149" t="s">
        <v>596</v>
      </c>
      <c r="C16" s="123"/>
      <c r="D16" s="123"/>
      <c r="E16" s="13"/>
      <c r="F16" s="123"/>
      <c r="G16" s="123"/>
      <c r="H16" s="123"/>
      <c r="I16" s="123"/>
      <c r="J16" s="395"/>
    </row>
    <row r="17" spans="1:12">
      <c r="A17" s="23">
        <v>2</v>
      </c>
      <c r="B17" s="394"/>
      <c r="C17" s="271"/>
      <c r="D17" s="271"/>
      <c r="E17" s="377">
        <f t="shared" ref="E17" si="1">(D17-C17)/2</f>
        <v>0</v>
      </c>
      <c r="F17" s="271"/>
      <c r="G17" s="380">
        <f t="shared" ref="G17" si="2">F17-D17</f>
        <v>0</v>
      </c>
      <c r="H17" s="380">
        <f t="shared" ref="H17" si="3">E17+G17</f>
        <v>0</v>
      </c>
      <c r="I17" s="381"/>
      <c r="J17" s="382">
        <f t="shared" si="0"/>
        <v>0</v>
      </c>
    </row>
    <row r="18" spans="1:12">
      <c r="A18" s="23"/>
      <c r="B18" s="394"/>
      <c r="C18" s="271"/>
      <c r="D18" s="271"/>
      <c r="E18" s="377"/>
      <c r="F18" s="271"/>
      <c r="G18" s="380"/>
      <c r="H18" s="380"/>
      <c r="I18" s="381"/>
      <c r="J18" s="382"/>
    </row>
    <row r="19" spans="1:12">
      <c r="A19" s="23"/>
      <c r="B19" s="123"/>
      <c r="C19" s="123"/>
      <c r="D19" s="123"/>
      <c r="E19" s="13"/>
      <c r="F19" s="123"/>
      <c r="G19" s="123"/>
      <c r="H19" s="123"/>
      <c r="I19" s="123"/>
      <c r="J19" s="395"/>
      <c r="K19" s="23"/>
    </row>
    <row r="20" spans="1:12">
      <c r="A20" s="23"/>
      <c r="B20" s="149" t="s">
        <v>336</v>
      </c>
      <c r="C20" s="123"/>
      <c r="D20" s="123"/>
      <c r="E20" s="13"/>
      <c r="F20" s="123"/>
      <c r="G20" s="123"/>
      <c r="H20" s="123"/>
      <c r="I20" s="123"/>
      <c r="J20" s="395"/>
      <c r="K20" s="23"/>
    </row>
    <row r="21" spans="1:12">
      <c r="A21" s="23">
        <v>3</v>
      </c>
      <c r="B21" s="394" t="s">
        <v>340</v>
      </c>
      <c r="C21" s="271">
        <v>43831</v>
      </c>
      <c r="D21" s="271">
        <v>43921</v>
      </c>
      <c r="E21" s="377">
        <f t="shared" ref="E21:E28" si="4">(D21-C21)/2</f>
        <v>45</v>
      </c>
      <c r="F21" s="271">
        <v>43942</v>
      </c>
      <c r="G21" s="380">
        <f t="shared" ref="G21:G28" si="5">F21-D21</f>
        <v>21</v>
      </c>
      <c r="H21" s="380">
        <f t="shared" ref="H21:H28" si="6">E21+G21</f>
        <v>66</v>
      </c>
      <c r="I21" s="381">
        <v>134</v>
      </c>
      <c r="J21" s="382">
        <f t="shared" si="0"/>
        <v>8844</v>
      </c>
    </row>
    <row r="22" spans="1:12">
      <c r="A22" s="23">
        <f t="shared" ref="A22:A35" si="7">A21+1</f>
        <v>4</v>
      </c>
      <c r="B22" s="394"/>
      <c r="C22" s="271">
        <v>43831</v>
      </c>
      <c r="D22" s="271">
        <v>43921</v>
      </c>
      <c r="E22" s="377">
        <f t="shared" si="4"/>
        <v>45</v>
      </c>
      <c r="F22" s="271">
        <v>43942</v>
      </c>
      <c r="G22" s="380">
        <f t="shared" si="5"/>
        <v>21</v>
      </c>
      <c r="H22" s="380">
        <f t="shared" si="6"/>
        <v>66</v>
      </c>
      <c r="I22" s="381">
        <v>28</v>
      </c>
      <c r="J22" s="382">
        <f t="shared" si="0"/>
        <v>1848</v>
      </c>
    </row>
    <row r="23" spans="1:12">
      <c r="A23" s="23">
        <f t="shared" si="7"/>
        <v>5</v>
      </c>
      <c r="B23" s="394"/>
      <c r="C23" s="271">
        <v>43922</v>
      </c>
      <c r="D23" s="271">
        <v>44012</v>
      </c>
      <c r="E23" s="377">
        <f t="shared" si="4"/>
        <v>45</v>
      </c>
      <c r="F23" s="271">
        <v>44082</v>
      </c>
      <c r="G23" s="380">
        <f t="shared" si="5"/>
        <v>70</v>
      </c>
      <c r="H23" s="380">
        <f t="shared" si="6"/>
        <v>115</v>
      </c>
      <c r="I23" s="381">
        <v>208</v>
      </c>
      <c r="J23" s="382">
        <f t="shared" si="0"/>
        <v>23920</v>
      </c>
    </row>
    <row r="24" spans="1:12">
      <c r="A24" s="23">
        <f t="shared" si="7"/>
        <v>6</v>
      </c>
      <c r="B24" s="394"/>
      <c r="C24" s="271">
        <v>43922</v>
      </c>
      <c r="D24" s="271">
        <v>44012</v>
      </c>
      <c r="E24" s="377">
        <f t="shared" si="4"/>
        <v>45</v>
      </c>
      <c r="F24" s="271">
        <v>44082</v>
      </c>
      <c r="G24" s="380">
        <f t="shared" si="5"/>
        <v>70</v>
      </c>
      <c r="H24" s="380">
        <f t="shared" si="6"/>
        <v>115</v>
      </c>
      <c r="I24" s="381">
        <v>42</v>
      </c>
      <c r="J24" s="382">
        <f t="shared" si="0"/>
        <v>4830</v>
      </c>
    </row>
    <row r="25" spans="1:12">
      <c r="A25" s="23">
        <f t="shared" si="7"/>
        <v>7</v>
      </c>
      <c r="B25" s="394"/>
      <c r="C25" s="271">
        <v>44013</v>
      </c>
      <c r="D25" s="271">
        <v>44104</v>
      </c>
      <c r="E25" s="377">
        <f t="shared" si="4"/>
        <v>45.5</v>
      </c>
      <c r="F25" s="271">
        <v>44168</v>
      </c>
      <c r="G25" s="380">
        <f t="shared" si="5"/>
        <v>64</v>
      </c>
      <c r="H25" s="380">
        <f t="shared" si="6"/>
        <v>109.5</v>
      </c>
      <c r="I25" s="381">
        <v>249</v>
      </c>
      <c r="J25" s="382">
        <f t="shared" si="0"/>
        <v>27265.5</v>
      </c>
    </row>
    <row r="26" spans="1:12">
      <c r="A26" s="23">
        <f t="shared" si="7"/>
        <v>8</v>
      </c>
      <c r="B26" s="394"/>
      <c r="C26" s="271">
        <v>44013</v>
      </c>
      <c r="D26" s="271">
        <v>44104</v>
      </c>
      <c r="E26" s="377">
        <f t="shared" si="4"/>
        <v>45.5</v>
      </c>
      <c r="F26" s="271">
        <v>44168</v>
      </c>
      <c r="G26" s="380">
        <f t="shared" si="5"/>
        <v>64</v>
      </c>
      <c r="H26" s="380">
        <f t="shared" si="6"/>
        <v>109.5</v>
      </c>
      <c r="I26" s="381">
        <v>64</v>
      </c>
      <c r="J26" s="382">
        <f t="shared" si="0"/>
        <v>7008</v>
      </c>
    </row>
    <row r="27" spans="1:12">
      <c r="A27" s="23">
        <f t="shared" si="7"/>
        <v>9</v>
      </c>
      <c r="B27" s="394"/>
      <c r="C27" s="271">
        <v>44105</v>
      </c>
      <c r="D27" s="271">
        <v>44196</v>
      </c>
      <c r="E27" s="377">
        <f t="shared" si="4"/>
        <v>45.5</v>
      </c>
      <c r="F27" s="271">
        <v>44215</v>
      </c>
      <c r="G27" s="380">
        <f t="shared" si="5"/>
        <v>19</v>
      </c>
      <c r="H27" s="380">
        <f t="shared" si="6"/>
        <v>64.5</v>
      </c>
      <c r="I27" s="381">
        <v>250</v>
      </c>
      <c r="J27" s="382">
        <f t="shared" si="0"/>
        <v>16125</v>
      </c>
    </row>
    <row r="28" spans="1:12">
      <c r="A28" s="23">
        <f t="shared" si="7"/>
        <v>10</v>
      </c>
      <c r="B28" s="394"/>
      <c r="C28" s="271">
        <v>44105</v>
      </c>
      <c r="D28" s="271">
        <v>44196</v>
      </c>
      <c r="E28" s="377">
        <f t="shared" si="4"/>
        <v>45.5</v>
      </c>
      <c r="F28" s="271">
        <v>44215</v>
      </c>
      <c r="G28" s="380">
        <f t="shared" si="5"/>
        <v>19</v>
      </c>
      <c r="H28" s="380">
        <f t="shared" si="6"/>
        <v>64.5</v>
      </c>
      <c r="I28" s="381">
        <v>83</v>
      </c>
      <c r="J28" s="382">
        <f t="shared" si="0"/>
        <v>5353.5</v>
      </c>
    </row>
    <row r="29" spans="1:12">
      <c r="A29" s="23"/>
      <c r="B29" s="123"/>
      <c r="C29" s="123"/>
      <c r="D29" s="123"/>
      <c r="E29" s="13"/>
      <c r="F29" s="123"/>
      <c r="G29" s="123"/>
      <c r="H29" s="123"/>
      <c r="I29" s="123"/>
      <c r="J29" s="395"/>
      <c r="K29" s="23"/>
      <c r="L29" s="23"/>
    </row>
    <row r="30" spans="1:12">
      <c r="A30" s="23"/>
      <c r="B30" s="149" t="s">
        <v>337</v>
      </c>
      <c r="C30" s="123"/>
      <c r="D30" s="123"/>
      <c r="E30" s="13"/>
      <c r="F30" s="123"/>
      <c r="G30" s="123"/>
      <c r="H30" s="123"/>
      <c r="I30" s="123"/>
      <c r="J30" s="395"/>
      <c r="K30" s="23"/>
      <c r="L30" s="23"/>
    </row>
    <row r="31" spans="1:12">
      <c r="A31" s="23">
        <f>A28+1</f>
        <v>11</v>
      </c>
      <c r="B31" s="394" t="s">
        <v>340</v>
      </c>
      <c r="C31" s="271">
        <v>43831</v>
      </c>
      <c r="D31" s="271">
        <v>44196</v>
      </c>
      <c r="E31" s="377">
        <f t="shared" ref="E31:E35" si="8">(D31-C31)/2</f>
        <v>182.5</v>
      </c>
      <c r="F31" s="271">
        <v>43858</v>
      </c>
      <c r="G31" s="380">
        <f t="shared" ref="G31:G35" si="9">F31-D31</f>
        <v>-338</v>
      </c>
      <c r="H31" s="380">
        <f t="shared" ref="H31:H35" si="10">E31+G31</f>
        <v>-155.5</v>
      </c>
      <c r="I31" s="381">
        <v>100</v>
      </c>
      <c r="J31" s="382">
        <f t="shared" si="0"/>
        <v>-15550</v>
      </c>
    </row>
    <row r="32" spans="1:12">
      <c r="A32" s="23">
        <f t="shared" si="7"/>
        <v>12</v>
      </c>
      <c r="B32" s="394" t="s">
        <v>597</v>
      </c>
      <c r="C32" s="271">
        <v>43952</v>
      </c>
      <c r="D32" s="271">
        <v>44316</v>
      </c>
      <c r="E32" s="377">
        <f t="shared" si="8"/>
        <v>182</v>
      </c>
      <c r="F32" s="271">
        <v>43935</v>
      </c>
      <c r="G32" s="380">
        <f t="shared" si="9"/>
        <v>-381</v>
      </c>
      <c r="H32" s="380">
        <f t="shared" si="10"/>
        <v>-199</v>
      </c>
      <c r="I32" s="381">
        <v>588</v>
      </c>
      <c r="J32" s="382">
        <f t="shared" si="0"/>
        <v>-117012</v>
      </c>
    </row>
    <row r="33" spans="1:14">
      <c r="A33" s="23">
        <f t="shared" si="7"/>
        <v>13</v>
      </c>
      <c r="B33" s="394" t="s">
        <v>598</v>
      </c>
      <c r="C33" s="271">
        <v>44013</v>
      </c>
      <c r="D33" s="271">
        <v>44377</v>
      </c>
      <c r="E33" s="377">
        <f t="shared" si="8"/>
        <v>182</v>
      </c>
      <c r="F33" s="271">
        <v>44021</v>
      </c>
      <c r="G33" s="380">
        <f t="shared" si="9"/>
        <v>-356</v>
      </c>
      <c r="H33" s="380">
        <f t="shared" si="10"/>
        <v>-174</v>
      </c>
      <c r="I33" s="381">
        <v>500</v>
      </c>
      <c r="J33" s="382">
        <f t="shared" si="0"/>
        <v>-87000</v>
      </c>
    </row>
    <row r="34" spans="1:14">
      <c r="A34" s="23">
        <f t="shared" si="7"/>
        <v>14</v>
      </c>
      <c r="B34" s="394" t="s">
        <v>599</v>
      </c>
      <c r="C34" s="271">
        <v>44013</v>
      </c>
      <c r="D34" s="271">
        <v>44377</v>
      </c>
      <c r="E34" s="377">
        <f t="shared" si="8"/>
        <v>182</v>
      </c>
      <c r="F34" s="271">
        <v>44021</v>
      </c>
      <c r="G34" s="380">
        <f t="shared" si="9"/>
        <v>-356</v>
      </c>
      <c r="H34" s="380">
        <f t="shared" si="10"/>
        <v>-174</v>
      </c>
      <c r="I34" s="381">
        <v>10</v>
      </c>
      <c r="J34" s="382">
        <f t="shared" si="0"/>
        <v>-1740</v>
      </c>
    </row>
    <row r="35" spans="1:14">
      <c r="A35" s="23">
        <f t="shared" si="7"/>
        <v>15</v>
      </c>
      <c r="B35" s="394" t="s">
        <v>600</v>
      </c>
      <c r="C35" s="271">
        <v>44013</v>
      </c>
      <c r="D35" s="271">
        <v>44377</v>
      </c>
      <c r="E35" s="377">
        <f t="shared" si="8"/>
        <v>182</v>
      </c>
      <c r="F35" s="271">
        <v>44054</v>
      </c>
      <c r="G35" s="380">
        <f t="shared" si="9"/>
        <v>-323</v>
      </c>
      <c r="H35" s="380">
        <f t="shared" si="10"/>
        <v>-141</v>
      </c>
      <c r="I35" s="381">
        <v>225</v>
      </c>
      <c r="J35" s="382">
        <f t="shared" si="0"/>
        <v>-31725</v>
      </c>
    </row>
    <row r="36" spans="1:14" ht="17.25">
      <c r="A36" s="23"/>
      <c r="B36" s="21"/>
      <c r="C36" s="87"/>
      <c r="D36" s="87"/>
      <c r="E36" s="87"/>
      <c r="F36" s="87"/>
      <c r="G36" s="396"/>
      <c r="H36" s="396"/>
      <c r="I36" s="368"/>
      <c r="J36" s="127"/>
    </row>
    <row r="37" spans="1:14">
      <c r="A37" s="23"/>
      <c r="B37" s="149" t="s">
        <v>363</v>
      </c>
      <c r="C37" s="123"/>
      <c r="D37" s="123"/>
      <c r="E37" s="13"/>
      <c r="F37" s="123"/>
      <c r="G37" s="123"/>
      <c r="H37" s="123"/>
      <c r="I37" s="123"/>
      <c r="J37" s="395"/>
      <c r="K37" s="23"/>
      <c r="L37" s="23"/>
    </row>
    <row r="38" spans="1:14">
      <c r="A38" s="23">
        <v>16</v>
      </c>
      <c r="B38" s="394" t="s">
        <v>340</v>
      </c>
      <c r="C38" s="271">
        <v>44013</v>
      </c>
      <c r="D38" s="271">
        <v>44377</v>
      </c>
      <c r="E38" s="377">
        <f t="shared" ref="E38" si="11">(D38-C38)/2</f>
        <v>182</v>
      </c>
      <c r="F38" s="271">
        <v>44005</v>
      </c>
      <c r="G38" s="380">
        <f t="shared" ref="G38" si="12">F38-D38</f>
        <v>-372</v>
      </c>
      <c r="H38" s="380">
        <f t="shared" ref="H38" si="13">E38+G38</f>
        <v>-190</v>
      </c>
      <c r="I38" s="381">
        <v>95242</v>
      </c>
      <c r="J38" s="382">
        <f t="shared" ref="J38" si="14">H38*I38</f>
        <v>-18095980</v>
      </c>
    </row>
    <row r="39" spans="1:14">
      <c r="A39" s="23"/>
      <c r="B39" s="378"/>
      <c r="C39" s="379"/>
      <c r="D39" s="379"/>
      <c r="E39" s="377"/>
      <c r="F39" s="379"/>
      <c r="G39" s="380"/>
      <c r="H39" s="383"/>
      <c r="I39" s="381"/>
      <c r="J39" s="382"/>
    </row>
    <row r="40" spans="1:14" ht="16.5" thickBot="1">
      <c r="A40" s="23">
        <f>A38+1</f>
        <v>17</v>
      </c>
      <c r="B40" s="369" t="s">
        <v>333</v>
      </c>
      <c r="C40" s="366"/>
      <c r="D40" s="366"/>
      <c r="E40" s="366"/>
      <c r="F40" s="366"/>
      <c r="G40" s="366"/>
      <c r="H40" s="370">
        <f>IF(I40=0,0,J40/I40)</f>
        <v>-186.43994790023709</v>
      </c>
      <c r="I40" s="371">
        <f>SUM(I13:I38)</f>
        <v>98273</v>
      </c>
      <c r="J40" s="371">
        <f>SUM(J13:J38)</f>
        <v>-18322013</v>
      </c>
    </row>
    <row r="41" spans="1:14" ht="15.75" thickTop="1">
      <c r="A41" s="27"/>
      <c r="B41" s="27"/>
      <c r="C41" s="31"/>
      <c r="D41" s="31"/>
      <c r="E41" s="31"/>
      <c r="F41" s="31"/>
      <c r="G41" s="27"/>
      <c r="H41" s="27"/>
      <c r="I41" s="31"/>
      <c r="J41" s="27"/>
    </row>
    <row r="42" spans="1:14">
      <c r="A42" s="338" t="s">
        <v>601</v>
      </c>
      <c r="E42" s="384"/>
      <c r="F42" s="335"/>
      <c r="N42" s="335"/>
    </row>
    <row r="43" spans="1:14">
      <c r="E43" s="384"/>
      <c r="F43" s="335"/>
      <c r="N43" s="335"/>
    </row>
    <row r="44" spans="1:14">
      <c r="E44" s="384"/>
      <c r="F44" s="335"/>
      <c r="N44" s="335"/>
    </row>
    <row r="45" spans="1:14">
      <c r="F45" s="335"/>
      <c r="N45" s="335"/>
    </row>
    <row r="47" spans="1:14" ht="15.75">
      <c r="A47" s="372"/>
    </row>
    <row r="49" spans="1:1" ht="15.75">
      <c r="A49" s="372"/>
    </row>
    <row r="50" spans="1:1" ht="15.75">
      <c r="A50" s="372"/>
    </row>
  </sheetData>
  <mergeCells count="4">
    <mergeCell ref="A2:J2"/>
    <mergeCell ref="A3:J3"/>
    <mergeCell ref="A4:J4"/>
    <mergeCell ref="A5:J5"/>
  </mergeCells>
  <printOptions horizontalCentered="1"/>
  <pageMargins left="0.7" right="0.7" top="0.75" bottom="0.75" header="0.3" footer="0.3"/>
  <pageSetup scale="65" fitToHeight="0" orientation="landscape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2">
    <tabColor theme="4" tint="0.39997558519241921"/>
    <pageSetUpPr fitToPage="1"/>
  </sheetPr>
  <dimension ref="A1:BD33"/>
  <sheetViews>
    <sheetView showGridLines="0" zoomScale="85" zoomScaleNormal="85" workbookViewId="0">
      <pane xSplit="2" ySplit="12" topLeftCell="L13" activePane="bottomRight" state="frozen"/>
      <selection pane="topRight"/>
      <selection pane="bottomLeft"/>
      <selection pane="bottomRight" activeCell="BD22" sqref="BD22"/>
    </sheetView>
  </sheetViews>
  <sheetFormatPr defaultColWidth="8.88671875" defaultRowHeight="15" outlineLevelRow="1" outlineLevelCol="1"/>
  <cols>
    <col min="1" max="1" width="9" style="16" bestFit="1" customWidth="1"/>
    <col min="2" max="2" width="40.77734375" style="16" customWidth="1"/>
    <col min="3" max="3" width="12.77734375" style="16" customWidth="1"/>
    <col min="4" max="4" width="15.33203125" style="16" bestFit="1" customWidth="1"/>
    <col min="5" max="8" width="19.88671875" style="101" customWidth="1"/>
    <col min="9" max="16" width="12.77734375" style="101" customWidth="1"/>
    <col min="17" max="52" width="12.77734375" style="101" hidden="1" customWidth="1" outlineLevel="1"/>
    <col min="53" max="53" width="9.33203125" style="16" customWidth="1" collapsed="1"/>
    <col min="54" max="54" width="13.77734375" style="16" customWidth="1"/>
    <col min="55" max="55" width="12.77734375" style="16" customWidth="1"/>
    <col min="56" max="56" width="17.6640625" style="16" customWidth="1"/>
    <col min="57" max="16384" width="8.88671875" style="16"/>
  </cols>
  <sheetData>
    <row r="1" spans="1:56" s="107" customFormat="1" ht="15.75">
      <c r="C1" s="240"/>
      <c r="D1" s="240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265"/>
    </row>
    <row r="2" spans="1:56" ht="15.75">
      <c r="A2" s="171" t="str">
        <f>'General Inputs'!$B$2</f>
        <v>Delta Natural Gas Company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</row>
    <row r="3" spans="1:56" ht="15.75">
      <c r="A3" s="171" t="str">
        <f>'General Inputs'!$D$34&amp;" "&amp;'General Inputs'!$E$34</f>
        <v>Case No. 2021-00185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</row>
    <row r="4" spans="1:56" ht="15.75">
      <c r="A4" s="171" t="str">
        <f>"For the Year Ended "&amp;TEXT('General Inputs'!E28,"Mmmm dd, yyyy")</f>
        <v>For the Year Ended December 31, 2020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</row>
    <row r="5" spans="1:56" ht="16.5" thickBot="1">
      <c r="A5" s="172" t="s">
        <v>113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</row>
    <row r="8" spans="1:56" s="107" customFormat="1">
      <c r="E8" s="120"/>
      <c r="F8" s="120"/>
      <c r="G8" s="120"/>
      <c r="H8" s="120"/>
      <c r="I8" s="120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</row>
    <row r="9" spans="1:56" s="107" customFormat="1" ht="15.75">
      <c r="A9" s="90"/>
      <c r="B9" s="90"/>
      <c r="C9" s="90"/>
      <c r="D9" s="90"/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90"/>
      <c r="BB9" s="90"/>
      <c r="BC9" s="90"/>
      <c r="BD9" s="90"/>
    </row>
    <row r="10" spans="1:56" ht="15.75">
      <c r="A10" s="39" t="s">
        <v>29</v>
      </c>
      <c r="B10" s="40" t="s">
        <v>72</v>
      </c>
      <c r="C10" s="40"/>
      <c r="D10" s="40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 t="s">
        <v>73</v>
      </c>
      <c r="BB10" s="39" t="s">
        <v>74</v>
      </c>
      <c r="BC10" s="39" t="s">
        <v>95</v>
      </c>
      <c r="BD10" s="39" t="s">
        <v>28</v>
      </c>
    </row>
    <row r="11" spans="1:56" ht="20.25">
      <c r="A11" s="191" t="s">
        <v>24</v>
      </c>
      <c r="B11" s="191" t="s">
        <v>1</v>
      </c>
      <c r="C11" s="191" t="s">
        <v>75</v>
      </c>
      <c r="D11" s="191" t="s">
        <v>76</v>
      </c>
      <c r="E11" s="191" t="s">
        <v>93</v>
      </c>
      <c r="F11" s="191" t="s">
        <v>94</v>
      </c>
      <c r="G11" s="191" t="s">
        <v>114</v>
      </c>
      <c r="H11" s="191" t="s">
        <v>115</v>
      </c>
      <c r="I11" s="191" t="s">
        <v>116</v>
      </c>
      <c r="J11" s="191" t="s">
        <v>117</v>
      </c>
      <c r="K11" s="191" t="s">
        <v>118</v>
      </c>
      <c r="L11" s="191" t="s">
        <v>119</v>
      </c>
      <c r="M11" s="191" t="s">
        <v>120</v>
      </c>
      <c r="N11" s="191" t="s">
        <v>121</v>
      </c>
      <c r="O11" s="191" t="s">
        <v>122</v>
      </c>
      <c r="P11" s="191" t="s">
        <v>123</v>
      </c>
      <c r="Q11" s="191" t="s">
        <v>250</v>
      </c>
      <c r="R11" s="191" t="s">
        <v>251</v>
      </c>
      <c r="S11" s="191" t="s">
        <v>252</v>
      </c>
      <c r="T11" s="191" t="s">
        <v>253</v>
      </c>
      <c r="U11" s="191" t="s">
        <v>254</v>
      </c>
      <c r="V11" s="191" t="s">
        <v>255</v>
      </c>
      <c r="W11" s="191" t="s">
        <v>256</v>
      </c>
      <c r="X11" s="191" t="s">
        <v>257</v>
      </c>
      <c r="Y11" s="191" t="s">
        <v>258</v>
      </c>
      <c r="Z11" s="191" t="s">
        <v>259</v>
      </c>
      <c r="AA11" s="191" t="s">
        <v>260</v>
      </c>
      <c r="AB11" s="191" t="s">
        <v>261</v>
      </c>
      <c r="AC11" s="191" t="s">
        <v>262</v>
      </c>
      <c r="AD11" s="191" t="s">
        <v>263</v>
      </c>
      <c r="AE11" s="191" t="s">
        <v>264</v>
      </c>
      <c r="AF11" s="191" t="s">
        <v>265</v>
      </c>
      <c r="AG11" s="191" t="s">
        <v>266</v>
      </c>
      <c r="AH11" s="191" t="s">
        <v>267</v>
      </c>
      <c r="AI11" s="191" t="s">
        <v>268</v>
      </c>
      <c r="AJ11" s="191" t="s">
        <v>269</v>
      </c>
      <c r="AK11" s="191" t="s">
        <v>270</v>
      </c>
      <c r="AL11" s="191" t="s">
        <v>271</v>
      </c>
      <c r="AM11" s="191" t="s">
        <v>272</v>
      </c>
      <c r="AN11" s="191" t="s">
        <v>273</v>
      </c>
      <c r="AO11" s="191" t="s">
        <v>274</v>
      </c>
      <c r="AP11" s="191" t="s">
        <v>275</v>
      </c>
      <c r="AQ11" s="191" t="s">
        <v>276</v>
      </c>
      <c r="AR11" s="191" t="s">
        <v>277</v>
      </c>
      <c r="AS11" s="191" t="s">
        <v>278</v>
      </c>
      <c r="AT11" s="191" t="s">
        <v>279</v>
      </c>
      <c r="AU11" s="191" t="s">
        <v>280</v>
      </c>
      <c r="AV11" s="191" t="s">
        <v>281</v>
      </c>
      <c r="AW11" s="191" t="s">
        <v>282</v>
      </c>
      <c r="AX11" s="191" t="s">
        <v>283</v>
      </c>
      <c r="AY11" s="191" t="s">
        <v>284</v>
      </c>
      <c r="AZ11" s="191" t="s">
        <v>285</v>
      </c>
      <c r="BA11" s="191" t="s">
        <v>33</v>
      </c>
      <c r="BB11" s="191" t="s">
        <v>77</v>
      </c>
      <c r="BC11" s="191" t="s">
        <v>124</v>
      </c>
      <c r="BD11" s="191" t="s">
        <v>32</v>
      </c>
    </row>
    <row r="12" spans="1:56" ht="15.75">
      <c r="A12" s="40"/>
      <c r="B12" s="71" t="s">
        <v>34</v>
      </c>
      <c r="C12" s="71" t="s">
        <v>35</v>
      </c>
      <c r="D12" s="71" t="s">
        <v>36</v>
      </c>
      <c r="E12" s="71" t="s">
        <v>37</v>
      </c>
      <c r="F12" s="71" t="s">
        <v>43</v>
      </c>
      <c r="G12" s="71" t="s">
        <v>55</v>
      </c>
      <c r="H12" s="71" t="s">
        <v>56</v>
      </c>
      <c r="I12" s="71" t="s">
        <v>63</v>
      </c>
      <c r="J12" s="71" t="s">
        <v>78</v>
      </c>
      <c r="K12" s="71" t="s">
        <v>166</v>
      </c>
      <c r="L12" s="71" t="s">
        <v>168</v>
      </c>
      <c r="M12" s="71" t="s">
        <v>225</v>
      </c>
      <c r="N12" s="71" t="s">
        <v>226</v>
      </c>
      <c r="O12" s="71" t="s">
        <v>227</v>
      </c>
      <c r="P12" s="71" t="s">
        <v>228</v>
      </c>
      <c r="Q12" s="71" t="s">
        <v>229</v>
      </c>
      <c r="R12" s="71" t="s">
        <v>230</v>
      </c>
      <c r="S12" s="71" t="s">
        <v>231</v>
      </c>
      <c r="T12" s="71" t="s">
        <v>286</v>
      </c>
      <c r="U12" s="71" t="s">
        <v>287</v>
      </c>
      <c r="V12" s="71" t="s">
        <v>288</v>
      </c>
      <c r="W12" s="71" t="s">
        <v>289</v>
      </c>
      <c r="X12" s="71" t="s">
        <v>290</v>
      </c>
      <c r="Y12" s="71" t="s">
        <v>291</v>
      </c>
      <c r="Z12" s="71" t="s">
        <v>292</v>
      </c>
      <c r="AA12" s="71" t="s">
        <v>293</v>
      </c>
      <c r="AB12" s="71" t="s">
        <v>294</v>
      </c>
      <c r="AC12" s="71" t="s">
        <v>295</v>
      </c>
      <c r="AD12" s="71" t="s">
        <v>296</v>
      </c>
      <c r="AE12" s="71" t="s">
        <v>297</v>
      </c>
      <c r="AF12" s="71" t="s">
        <v>298</v>
      </c>
      <c r="AG12" s="71" t="s">
        <v>299</v>
      </c>
      <c r="AH12" s="71" t="s">
        <v>300</v>
      </c>
      <c r="AI12" s="71" t="s">
        <v>301</v>
      </c>
      <c r="AJ12" s="71" t="s">
        <v>302</v>
      </c>
      <c r="AK12" s="71" t="s">
        <v>303</v>
      </c>
      <c r="AL12" s="71" t="s">
        <v>304</v>
      </c>
      <c r="AM12" s="71" t="s">
        <v>305</v>
      </c>
      <c r="AN12" s="71" t="s">
        <v>306</v>
      </c>
      <c r="AO12" s="71" t="s">
        <v>307</v>
      </c>
      <c r="AP12" s="71" t="s">
        <v>308</v>
      </c>
      <c r="AQ12" s="71" t="s">
        <v>309</v>
      </c>
      <c r="AR12" s="71" t="s">
        <v>310</v>
      </c>
      <c r="AS12" s="71" t="s">
        <v>311</v>
      </c>
      <c r="AT12" s="71" t="s">
        <v>312</v>
      </c>
      <c r="AU12" s="71" t="s">
        <v>313</v>
      </c>
      <c r="AV12" s="71" t="s">
        <v>314</v>
      </c>
      <c r="AW12" s="71" t="s">
        <v>315</v>
      </c>
      <c r="AX12" s="71" t="s">
        <v>316</v>
      </c>
      <c r="AY12" s="71" t="s">
        <v>317</v>
      </c>
      <c r="AZ12" s="71" t="s">
        <v>318</v>
      </c>
      <c r="BA12" s="71" t="s">
        <v>319</v>
      </c>
      <c r="BB12" s="71" t="s">
        <v>320</v>
      </c>
      <c r="BC12" s="71" t="s">
        <v>321</v>
      </c>
      <c r="BD12" s="71" t="s">
        <v>322</v>
      </c>
    </row>
    <row r="13" spans="1:56" ht="15.75">
      <c r="B13" s="103" t="s">
        <v>551</v>
      </c>
    </row>
    <row r="14" spans="1:56">
      <c r="A14" s="23">
        <v>1</v>
      </c>
      <c r="B14" s="317" t="s">
        <v>552</v>
      </c>
      <c r="C14" s="318">
        <v>48202</v>
      </c>
      <c r="D14" s="282" t="s">
        <v>112</v>
      </c>
      <c r="E14" s="319">
        <v>43910</v>
      </c>
      <c r="F14" s="319">
        <v>44001</v>
      </c>
      <c r="G14" s="319">
        <v>44095</v>
      </c>
      <c r="H14" s="319">
        <v>44186</v>
      </c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109">
        <f>SUM(E17:H17)/SUM(E15:H15)</f>
        <v>35.125</v>
      </c>
      <c r="BB14" s="287">
        <f>E15+F15+G15+H15</f>
        <v>1959600</v>
      </c>
      <c r="BC14" s="320"/>
      <c r="BD14" s="173">
        <f>BA14*BB14</f>
        <v>68830950</v>
      </c>
    </row>
    <row r="15" spans="1:56">
      <c r="A15" s="23"/>
      <c r="B15" s="238"/>
      <c r="C15" s="238"/>
      <c r="D15" s="117" t="s">
        <v>214</v>
      </c>
      <c r="E15" s="321">
        <v>489900</v>
      </c>
      <c r="F15" s="321">
        <v>489900</v>
      </c>
      <c r="G15" s="321">
        <v>489900</v>
      </c>
      <c r="H15" s="321">
        <v>489900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238"/>
      <c r="BB15" s="127"/>
      <c r="BC15" s="238"/>
      <c r="BD15" s="322"/>
    </row>
    <row r="16" spans="1:56">
      <c r="A16" s="23">
        <f>A14+1</f>
        <v>2</v>
      </c>
      <c r="B16" s="238" t="s">
        <v>212</v>
      </c>
      <c r="C16" s="238"/>
      <c r="D16" s="117" t="s">
        <v>125</v>
      </c>
      <c r="E16" s="323">
        <f>SUM(31,28,31)/2-11</f>
        <v>34</v>
      </c>
      <c r="F16" s="323">
        <f>SUM(30,31,30)/2-11</f>
        <v>34.5</v>
      </c>
      <c r="G16" s="324">
        <f>SUM(31,31,30)/2-10</f>
        <v>36</v>
      </c>
      <c r="H16" s="324">
        <f>SUM(31,30,31)/2-10</f>
        <v>36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238"/>
      <c r="BB16" s="327">
        <f>SUM(BB14:BB14)</f>
        <v>1959600</v>
      </c>
      <c r="BC16" s="328">
        <f>BB16/BB25</f>
        <v>0.99327013358966287</v>
      </c>
      <c r="BD16" s="329">
        <f>SUM(BD14:BD14)</f>
        <v>68830950</v>
      </c>
    </row>
    <row r="17" spans="1:56">
      <c r="A17" s="23"/>
      <c r="B17" s="238"/>
      <c r="C17" s="238"/>
      <c r="D17" s="117" t="s">
        <v>28</v>
      </c>
      <c r="E17" s="325">
        <f>E16*E15</f>
        <v>16656600</v>
      </c>
      <c r="F17" s="325">
        <f t="shared" ref="F17:H17" si="0">F16*F15</f>
        <v>16901550</v>
      </c>
      <c r="G17" s="325">
        <f t="shared" si="0"/>
        <v>17636400</v>
      </c>
      <c r="H17" s="325">
        <f t="shared" si="0"/>
        <v>17636400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238"/>
      <c r="BB17" s="238"/>
      <c r="BC17" s="238"/>
      <c r="BD17" s="326"/>
    </row>
    <row r="18" spans="1:56" ht="15.75">
      <c r="B18" s="128" t="s">
        <v>211</v>
      </c>
      <c r="C18" s="107"/>
      <c r="D18" s="107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7"/>
      <c r="BB18" s="107"/>
      <c r="BC18" s="107"/>
      <c r="BD18" s="107"/>
    </row>
    <row r="19" spans="1:56">
      <c r="A19" s="23">
        <f>A16+1</f>
        <v>3</v>
      </c>
      <c r="B19" s="317" t="s">
        <v>553</v>
      </c>
      <c r="C19" s="318">
        <v>46266</v>
      </c>
      <c r="D19" s="282" t="s">
        <v>249</v>
      </c>
      <c r="E19" s="319">
        <v>44001</v>
      </c>
      <c r="F19" s="319">
        <v>44186</v>
      </c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109">
        <f>BD19/(SUM(E21:F21))</f>
        <v>80.75</v>
      </c>
      <c r="BB19" s="330">
        <f>E21+F21+G21+H21</f>
        <v>13277.2</v>
      </c>
      <c r="BC19" s="331">
        <f>BB19/BB25</f>
        <v>6.7298664103371464E-3</v>
      </c>
      <c r="BD19" s="329">
        <f>E23+F23</f>
        <v>1072133.9000000001</v>
      </c>
    </row>
    <row r="20" spans="1:56">
      <c r="A20" s="23">
        <f>A19+1</f>
        <v>4</v>
      </c>
      <c r="B20" s="317" t="s">
        <v>553</v>
      </c>
      <c r="C20" s="318"/>
      <c r="D20" s="282"/>
      <c r="E20" s="319">
        <v>44001</v>
      </c>
      <c r="F20" s="319">
        <v>44186</v>
      </c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109"/>
      <c r="BB20" s="287"/>
      <c r="BC20" s="320"/>
      <c r="BD20" s="322"/>
    </row>
    <row r="21" spans="1:56" s="116" customFormat="1" ht="12.75" outlineLevel="1">
      <c r="A21" s="110"/>
      <c r="C21" s="111"/>
      <c r="D21" s="117" t="s">
        <v>214</v>
      </c>
      <c r="E21" s="180">
        <f>3714.6+2924</f>
        <v>6638.6</v>
      </c>
      <c r="F21" s="180">
        <f>3714.6+2924</f>
        <v>6638.6</v>
      </c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12"/>
      <c r="BB21" s="113"/>
      <c r="BC21" s="114"/>
      <c r="BD21" s="115"/>
    </row>
    <row r="22" spans="1:56" s="116" customFormat="1" outlineLevel="1">
      <c r="A22" s="110"/>
      <c r="C22" s="111"/>
      <c r="D22" s="117" t="s">
        <v>125</v>
      </c>
      <c r="E22" s="323">
        <f>SUM(31,28,31,30,31,30)/2-11</f>
        <v>79.5</v>
      </c>
      <c r="F22" s="323">
        <f>SUM(31,31,30,31,30,31)/2-10</f>
        <v>82</v>
      </c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12"/>
      <c r="BB22" s="113"/>
      <c r="BC22" s="114"/>
      <c r="BD22" s="115"/>
    </row>
    <row r="23" spans="1:56" s="116" customFormat="1" ht="12.75" outlineLevel="1">
      <c r="A23" s="110"/>
      <c r="C23" s="111"/>
      <c r="D23" s="117" t="s">
        <v>28</v>
      </c>
      <c r="E23" s="180">
        <f>E21*E22</f>
        <v>527768.70000000007</v>
      </c>
      <c r="F23" s="180">
        <f>F21*F22</f>
        <v>544365.20000000007</v>
      </c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12"/>
      <c r="BB23" s="113"/>
      <c r="BC23" s="114"/>
      <c r="BD23" s="115"/>
    </row>
    <row r="24" spans="1:56" s="116" customFormat="1" ht="12.75" outlineLevel="1">
      <c r="A24" s="110"/>
      <c r="C24" s="111"/>
      <c r="D24" s="117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12"/>
      <c r="BB24" s="113"/>
      <c r="BC24" s="114"/>
      <c r="BD24" s="115"/>
    </row>
    <row r="25" spans="1:56" ht="15.75" thickBot="1">
      <c r="A25" s="23">
        <f>A20+1</f>
        <v>5</v>
      </c>
      <c r="B25" s="27" t="s">
        <v>213</v>
      </c>
      <c r="C25" s="27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332">
        <f>BA14*BC16+BA19*BC19</f>
        <v>35.432050154971634</v>
      </c>
      <c r="BB25" s="38">
        <f>BB16+BB19</f>
        <v>1972877.2</v>
      </c>
      <c r="BC25" s="252">
        <f>SUM(BC19)</f>
        <v>6.7298664103371464E-3</v>
      </c>
      <c r="BD25" s="247">
        <f>SUM(BD19)</f>
        <v>1072133.9000000001</v>
      </c>
    </row>
    <row r="26" spans="1:56" ht="15.75" thickTop="1">
      <c r="A26" s="23"/>
      <c r="B26" s="27"/>
      <c r="C26" s="27"/>
      <c r="D26" s="27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7"/>
      <c r="BB26" s="104"/>
      <c r="BC26" s="27"/>
      <c r="BD26" s="270"/>
    </row>
    <row r="27" spans="1:56" ht="15.75">
      <c r="A27" s="23"/>
      <c r="B27" s="27"/>
      <c r="C27" s="27"/>
      <c r="D27" s="2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7"/>
      <c r="BB27" s="104"/>
      <c r="BC27" s="27"/>
      <c r="BD27" s="105"/>
    </row>
    <row r="29" spans="1:56">
      <c r="A29" s="106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</row>
    <row r="30" spans="1:56">
      <c r="A30" s="118"/>
    </row>
    <row r="31" spans="1:56">
      <c r="A31" s="118"/>
    </row>
    <row r="32" spans="1:56" s="107" customFormat="1">
      <c r="A32" s="119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</row>
    <row r="33" spans="1:1">
      <c r="A33" s="119"/>
    </row>
  </sheetData>
  <dataValidations count="1">
    <dataValidation type="list" allowBlank="1" showInputMessage="1" showErrorMessage="1" sqref="D19:D20 D14" xr:uid="{00000000-0002-0000-1800-000000000000}">
      <formula1>"Annual,Semi Annual,Quarter,Month,Week,Daily,Varies"</formula1>
    </dataValidation>
  </dataValidations>
  <printOptions horizontalCentered="1"/>
  <pageMargins left="0.5" right="0.5" top="0.75" bottom="0.75" header="0.3" footer="0.3"/>
  <pageSetup scale="38" fitToHeight="0" orientation="landscape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8481B-961F-4D49-B7B6-4159E67E2110}">
  <sheetPr>
    <tabColor theme="4" tint="0.39997558519241921"/>
    <pageSetUpPr fitToPage="1"/>
  </sheetPr>
  <dimension ref="A1:I31"/>
  <sheetViews>
    <sheetView showGridLines="0" zoomScale="85" zoomScaleNormal="85" workbookViewId="0">
      <pane ySplit="5" topLeftCell="A18" activePane="bottomLeft" state="frozen"/>
      <selection pane="bottomLeft" activeCell="E30" sqref="E30"/>
    </sheetView>
  </sheetViews>
  <sheetFormatPr defaultColWidth="8.88671875" defaultRowHeight="15"/>
  <cols>
    <col min="1" max="1" width="9" style="338" bestFit="1" customWidth="1"/>
    <col min="2" max="8" width="14.77734375" style="338" customWidth="1"/>
    <col min="9" max="9" width="15.77734375" style="338" customWidth="1"/>
    <col min="10" max="16384" width="8.88671875" style="338"/>
  </cols>
  <sheetData>
    <row r="1" spans="1:9" ht="15.75">
      <c r="A1" s="338" t="s">
        <v>559</v>
      </c>
      <c r="B1" s="336"/>
    </row>
    <row r="2" spans="1:9" ht="15.75">
      <c r="A2" s="437" t="str">
        <f>'General Inputs'!$B$2</f>
        <v>Delta Natural Gas Company</v>
      </c>
      <c r="B2" s="437"/>
      <c r="C2" s="437"/>
      <c r="D2" s="437"/>
      <c r="E2" s="437"/>
      <c r="F2" s="437"/>
      <c r="G2" s="437"/>
      <c r="H2" s="437"/>
      <c r="I2" s="437"/>
    </row>
    <row r="3" spans="1:9" ht="15.75">
      <c r="A3" s="437" t="str">
        <f>'General Inputs'!$D$34&amp;" "&amp;'General Inputs'!$E$34</f>
        <v>Case No. 2021-00185</v>
      </c>
      <c r="B3" s="437"/>
      <c r="C3" s="437"/>
      <c r="D3" s="437"/>
      <c r="E3" s="437"/>
      <c r="F3" s="437"/>
      <c r="G3" s="437"/>
      <c r="H3" s="437"/>
      <c r="I3" s="437"/>
    </row>
    <row r="4" spans="1:9" ht="15.75">
      <c r="A4" s="437" t="str">
        <f>"For the Year Ended "&amp;TEXT('General Inputs'!E28,"Mmmm dd, yyyy")</f>
        <v>For the Year Ended December 31, 2020</v>
      </c>
      <c r="B4" s="437"/>
      <c r="C4" s="437"/>
      <c r="D4" s="437"/>
      <c r="E4" s="437"/>
      <c r="F4" s="437"/>
      <c r="G4" s="437"/>
      <c r="H4" s="437"/>
      <c r="I4" s="437"/>
    </row>
    <row r="5" spans="1:9" ht="16.5" thickBot="1">
      <c r="A5" s="438" t="s">
        <v>326</v>
      </c>
      <c r="B5" s="438"/>
      <c r="C5" s="438"/>
      <c r="D5" s="438"/>
      <c r="E5" s="438"/>
      <c r="F5" s="438"/>
      <c r="G5" s="438"/>
      <c r="H5" s="438"/>
      <c r="I5" s="438"/>
    </row>
    <row r="9" spans="1:9" ht="15.75">
      <c r="A9" s="53" t="s">
        <v>29</v>
      </c>
      <c r="B9" s="385" t="s">
        <v>143</v>
      </c>
      <c r="C9" s="385" t="s">
        <v>70</v>
      </c>
      <c r="D9" s="385" t="s">
        <v>172</v>
      </c>
      <c r="E9" s="373" t="s">
        <v>39</v>
      </c>
      <c r="F9" s="373" t="s">
        <v>39</v>
      </c>
      <c r="G9" s="373" t="s">
        <v>65</v>
      </c>
      <c r="H9" s="373" t="s">
        <v>15</v>
      </c>
      <c r="I9" s="53" t="s">
        <v>28</v>
      </c>
    </row>
    <row r="10" spans="1:9" ht="20.25">
      <c r="A10" s="190" t="s">
        <v>24</v>
      </c>
      <c r="B10" s="386" t="s">
        <v>41</v>
      </c>
      <c r="C10" s="386" t="s">
        <v>41</v>
      </c>
      <c r="D10" s="386" t="s">
        <v>150</v>
      </c>
      <c r="E10" s="375" t="s">
        <v>40</v>
      </c>
      <c r="F10" s="375" t="s">
        <v>30</v>
      </c>
      <c r="G10" s="375" t="s">
        <v>33</v>
      </c>
      <c r="H10" s="375" t="s">
        <v>31</v>
      </c>
      <c r="I10" s="190" t="s">
        <v>71</v>
      </c>
    </row>
    <row r="11" spans="1:9" ht="15.75">
      <c r="A11" s="340"/>
      <c r="B11" s="53" t="s">
        <v>34</v>
      </c>
      <c r="C11" s="359" t="s">
        <v>35</v>
      </c>
      <c r="D11" s="53" t="s">
        <v>107</v>
      </c>
      <c r="E11" s="387" t="s">
        <v>37</v>
      </c>
      <c r="F11" s="359" t="s">
        <v>152</v>
      </c>
      <c r="G11" s="359" t="s">
        <v>183</v>
      </c>
      <c r="H11" s="359" t="s">
        <v>56</v>
      </c>
      <c r="I11" s="53" t="s">
        <v>149</v>
      </c>
    </row>
    <row r="12" spans="1:9">
      <c r="A12" s="27"/>
      <c r="B12" s="31"/>
      <c r="C12" s="31"/>
      <c r="D12" s="31"/>
      <c r="E12" s="31"/>
      <c r="F12" s="27"/>
      <c r="G12" s="27"/>
      <c r="H12" s="31"/>
      <c r="I12" s="27"/>
    </row>
    <row r="13" spans="1:9">
      <c r="A13" s="23">
        <v>1</v>
      </c>
      <c r="B13" s="318">
        <v>43800</v>
      </c>
      <c r="C13" s="318">
        <f>EOMONTH(B13,0)</f>
        <v>43830</v>
      </c>
      <c r="D13" s="58">
        <f>(C13-B13)/2</f>
        <v>15</v>
      </c>
      <c r="E13" s="318">
        <v>43854</v>
      </c>
      <c r="F13" s="131">
        <f>IF(E13="","",E13-C13)</f>
        <v>24</v>
      </c>
      <c r="G13" s="131">
        <f>IF(E13="","",D13+F13)</f>
        <v>39</v>
      </c>
      <c r="H13" s="405">
        <v>117542.88</v>
      </c>
      <c r="I13" s="389">
        <f>IF(G13="",0,ROUND(G13*H13,2))</f>
        <v>4584172.32</v>
      </c>
    </row>
    <row r="14" spans="1:9">
      <c r="A14" s="23">
        <f>A13+1</f>
        <v>2</v>
      </c>
      <c r="B14" s="318">
        <f>EOMONTH(B13,0)+1</f>
        <v>43831</v>
      </c>
      <c r="C14" s="318">
        <f t="shared" ref="C14:C24" si="0">EOMONTH(B14,0)</f>
        <v>43861</v>
      </c>
      <c r="D14" s="58">
        <f t="shared" ref="D14:D24" si="1">(C14-B14)/2</f>
        <v>15</v>
      </c>
      <c r="E14" s="318">
        <v>43885</v>
      </c>
      <c r="F14" s="131">
        <f>IF(E14="","",E14-C14)</f>
        <v>24</v>
      </c>
      <c r="G14" s="131">
        <f>IF(E14="","",D14+F14)</f>
        <v>39</v>
      </c>
      <c r="H14" s="405">
        <v>137970</v>
      </c>
      <c r="I14" s="389">
        <f t="shared" ref="I14:I24" si="2">IF(G14="",0,ROUND(G14*H14,2))</f>
        <v>5380830</v>
      </c>
    </row>
    <row r="15" spans="1:9">
      <c r="A15" s="23">
        <f>A14+1</f>
        <v>3</v>
      </c>
      <c r="B15" s="318">
        <f t="shared" ref="B15:B24" si="3">EOMONTH(B14,0)+1</f>
        <v>43862</v>
      </c>
      <c r="C15" s="318">
        <f t="shared" si="0"/>
        <v>43890</v>
      </c>
      <c r="D15" s="58">
        <f t="shared" si="1"/>
        <v>14</v>
      </c>
      <c r="E15" s="318">
        <v>43909</v>
      </c>
      <c r="F15" s="131">
        <f>IF(E15="","",E15-C15)</f>
        <v>19</v>
      </c>
      <c r="G15" s="131">
        <f>IF(E15="","",D15+F15)</f>
        <v>33</v>
      </c>
      <c r="H15" s="405">
        <v>104414.94</v>
      </c>
      <c r="I15" s="389">
        <f t="shared" si="2"/>
        <v>3445693.02</v>
      </c>
    </row>
    <row r="16" spans="1:9">
      <c r="A16" s="23">
        <f>A15+1</f>
        <v>4</v>
      </c>
      <c r="B16" s="318">
        <f t="shared" si="3"/>
        <v>43891</v>
      </c>
      <c r="C16" s="318">
        <f t="shared" si="0"/>
        <v>43921</v>
      </c>
      <c r="D16" s="58">
        <f t="shared" si="1"/>
        <v>15</v>
      </c>
      <c r="E16" s="318">
        <v>43942</v>
      </c>
      <c r="F16" s="131">
        <f>IF(E16="","",E16-C16)</f>
        <v>21</v>
      </c>
      <c r="G16" s="131">
        <f>IF(E16="","",D16+F16)</f>
        <v>36</v>
      </c>
      <c r="H16" s="406">
        <v>104459.82</v>
      </c>
      <c r="I16" s="389">
        <f t="shared" si="2"/>
        <v>3760553.52</v>
      </c>
    </row>
    <row r="17" spans="1:9">
      <c r="A17" s="23">
        <f t="shared" ref="A17:A24" si="4">A16+1</f>
        <v>5</v>
      </c>
      <c r="B17" s="318">
        <f t="shared" si="3"/>
        <v>43922</v>
      </c>
      <c r="C17" s="318">
        <f t="shared" si="0"/>
        <v>43951</v>
      </c>
      <c r="D17" s="58">
        <f t="shared" si="1"/>
        <v>14.5</v>
      </c>
      <c r="E17" s="318">
        <v>43971</v>
      </c>
      <c r="F17" s="131">
        <f t="shared" ref="F17:F24" si="5">IF(E17="","",E17-C17)</f>
        <v>20</v>
      </c>
      <c r="G17" s="131">
        <f t="shared" ref="G17:G24" si="6">IF(E17="","",D17+F17)</f>
        <v>34.5</v>
      </c>
      <c r="H17" s="405">
        <v>51000.76</v>
      </c>
      <c r="I17" s="389">
        <f t="shared" si="2"/>
        <v>1759526.22</v>
      </c>
    </row>
    <row r="18" spans="1:9">
      <c r="A18" s="23">
        <f t="shared" si="4"/>
        <v>6</v>
      </c>
      <c r="B18" s="318">
        <f t="shared" si="3"/>
        <v>43952</v>
      </c>
      <c r="C18" s="318">
        <f t="shared" si="0"/>
        <v>43982</v>
      </c>
      <c r="D18" s="58">
        <f t="shared" si="1"/>
        <v>15</v>
      </c>
      <c r="E18" s="318">
        <v>44004</v>
      </c>
      <c r="F18" s="131">
        <f t="shared" si="5"/>
        <v>22</v>
      </c>
      <c r="G18" s="131">
        <f t="shared" si="6"/>
        <v>37</v>
      </c>
      <c r="H18" s="405">
        <v>41131.4</v>
      </c>
      <c r="I18" s="389">
        <f t="shared" si="2"/>
        <v>1521861.8</v>
      </c>
    </row>
    <row r="19" spans="1:9">
      <c r="A19" s="23">
        <f t="shared" si="4"/>
        <v>7</v>
      </c>
      <c r="B19" s="318">
        <f t="shared" si="3"/>
        <v>43983</v>
      </c>
      <c r="C19" s="318">
        <f t="shared" si="0"/>
        <v>44012</v>
      </c>
      <c r="D19" s="58">
        <f t="shared" si="1"/>
        <v>14.5</v>
      </c>
      <c r="E19" s="318">
        <v>44029</v>
      </c>
      <c r="F19" s="131">
        <f t="shared" si="5"/>
        <v>17</v>
      </c>
      <c r="G19" s="131">
        <f t="shared" si="6"/>
        <v>31.5</v>
      </c>
      <c r="H19" s="405">
        <v>41540.980000000003</v>
      </c>
      <c r="I19" s="389">
        <f t="shared" si="2"/>
        <v>1308540.8700000001</v>
      </c>
    </row>
    <row r="20" spans="1:9">
      <c r="A20" s="23">
        <f t="shared" si="4"/>
        <v>8</v>
      </c>
      <c r="B20" s="318">
        <f t="shared" si="3"/>
        <v>44013</v>
      </c>
      <c r="C20" s="318">
        <f t="shared" si="0"/>
        <v>44043</v>
      </c>
      <c r="D20" s="58">
        <f t="shared" si="1"/>
        <v>15</v>
      </c>
      <c r="E20" s="318">
        <v>44061</v>
      </c>
      <c r="F20" s="131">
        <f t="shared" si="5"/>
        <v>18</v>
      </c>
      <c r="G20" s="131">
        <f t="shared" si="6"/>
        <v>33</v>
      </c>
      <c r="H20" s="405">
        <v>42779.68</v>
      </c>
      <c r="I20" s="389">
        <f t="shared" si="2"/>
        <v>1411729.44</v>
      </c>
    </row>
    <row r="21" spans="1:9">
      <c r="A21" s="23">
        <f t="shared" si="4"/>
        <v>9</v>
      </c>
      <c r="B21" s="318">
        <f t="shared" si="3"/>
        <v>44044</v>
      </c>
      <c r="C21" s="318">
        <f t="shared" si="0"/>
        <v>44074</v>
      </c>
      <c r="D21" s="58">
        <f t="shared" si="1"/>
        <v>15</v>
      </c>
      <c r="E21" s="318">
        <v>44095</v>
      </c>
      <c r="F21" s="131">
        <f t="shared" si="5"/>
        <v>21</v>
      </c>
      <c r="G21" s="131">
        <f t="shared" si="6"/>
        <v>36</v>
      </c>
      <c r="H21" s="405">
        <v>44528.480000000003</v>
      </c>
      <c r="I21" s="389">
        <f t="shared" si="2"/>
        <v>1603025.28</v>
      </c>
    </row>
    <row r="22" spans="1:9">
      <c r="A22" s="23">
        <f t="shared" si="4"/>
        <v>10</v>
      </c>
      <c r="B22" s="318">
        <f t="shared" si="3"/>
        <v>44075</v>
      </c>
      <c r="C22" s="318">
        <f t="shared" si="0"/>
        <v>44104</v>
      </c>
      <c r="D22" s="58">
        <f t="shared" si="1"/>
        <v>14.5</v>
      </c>
      <c r="E22" s="318">
        <v>44125</v>
      </c>
      <c r="F22" s="131">
        <f t="shared" si="5"/>
        <v>21</v>
      </c>
      <c r="G22" s="131">
        <f t="shared" si="6"/>
        <v>35.5</v>
      </c>
      <c r="H22" s="405">
        <v>41793.26</v>
      </c>
      <c r="I22" s="389">
        <f t="shared" si="2"/>
        <v>1483660.73</v>
      </c>
    </row>
    <row r="23" spans="1:9">
      <c r="A23" s="23">
        <f t="shared" si="4"/>
        <v>11</v>
      </c>
      <c r="B23" s="318">
        <f t="shared" si="3"/>
        <v>44105</v>
      </c>
      <c r="C23" s="318">
        <f t="shared" si="0"/>
        <v>44135</v>
      </c>
      <c r="D23" s="58">
        <f t="shared" si="1"/>
        <v>15</v>
      </c>
      <c r="E23" s="318">
        <v>44153</v>
      </c>
      <c r="F23" s="131">
        <f t="shared" si="5"/>
        <v>18</v>
      </c>
      <c r="G23" s="131">
        <f t="shared" si="6"/>
        <v>33</v>
      </c>
      <c r="H23" s="405">
        <v>47033.62</v>
      </c>
      <c r="I23" s="389">
        <f t="shared" si="2"/>
        <v>1552109.46</v>
      </c>
    </row>
    <row r="24" spans="1:9">
      <c r="A24" s="23">
        <f t="shared" si="4"/>
        <v>12</v>
      </c>
      <c r="B24" s="318">
        <f t="shared" si="3"/>
        <v>44136</v>
      </c>
      <c r="C24" s="318">
        <f t="shared" si="0"/>
        <v>44165</v>
      </c>
      <c r="D24" s="58">
        <f t="shared" si="1"/>
        <v>14.5</v>
      </c>
      <c r="E24" s="318">
        <v>44187</v>
      </c>
      <c r="F24" s="131">
        <f t="shared" si="5"/>
        <v>22</v>
      </c>
      <c r="G24" s="131">
        <f t="shared" si="6"/>
        <v>36.5</v>
      </c>
      <c r="H24" s="405">
        <v>68260.7</v>
      </c>
      <c r="I24" s="389">
        <f t="shared" si="2"/>
        <v>2491515.5499999998</v>
      </c>
    </row>
    <row r="25" spans="1:9">
      <c r="A25" s="23"/>
      <c r="B25" s="31"/>
      <c r="C25" s="31"/>
      <c r="D25" s="31"/>
      <c r="E25" s="390"/>
      <c r="F25" s="27"/>
      <c r="G25" s="27"/>
      <c r="H25" s="391"/>
      <c r="I25" s="26"/>
    </row>
    <row r="26" spans="1:9" ht="18.75" thickBot="1">
      <c r="A26" s="23">
        <f>A21+1</f>
        <v>10</v>
      </c>
      <c r="B26" s="31" t="s">
        <v>327</v>
      </c>
      <c r="C26" s="340"/>
      <c r="D26" s="31"/>
      <c r="E26" s="31"/>
      <c r="F26" s="73"/>
      <c r="G26" s="169">
        <f>IF(H26=0,0,I26/H26)</f>
        <v>35.970067879586239</v>
      </c>
      <c r="H26" s="392">
        <f>SUM(H13:H24)</f>
        <v>842456.52</v>
      </c>
      <c r="I26" s="392">
        <f>SUM(I13:I24)</f>
        <v>30303218.210000005</v>
      </c>
    </row>
    <row r="27" spans="1:9" ht="15.75" thickTop="1">
      <c r="A27" s="27"/>
      <c r="B27" s="27"/>
      <c r="C27" s="27"/>
      <c r="D27" s="27"/>
      <c r="E27" s="27"/>
      <c r="F27" s="27"/>
      <c r="G27" s="27"/>
      <c r="H27" s="27"/>
      <c r="I27" s="27"/>
    </row>
    <row r="28" spans="1:9">
      <c r="A28" s="338" t="s">
        <v>328</v>
      </c>
    </row>
    <row r="29" spans="1:9">
      <c r="A29" s="338" t="s">
        <v>602</v>
      </c>
    </row>
    <row r="31" spans="1:9">
      <c r="C31" s="393" t="s">
        <v>603</v>
      </c>
      <c r="D31" s="405">
        <v>920241</v>
      </c>
    </row>
  </sheetData>
  <mergeCells count="4">
    <mergeCell ref="A2:I2"/>
    <mergeCell ref="A3:I3"/>
    <mergeCell ref="A4:I4"/>
    <mergeCell ref="A5:I5"/>
  </mergeCells>
  <printOptions horizontalCentered="1"/>
  <pageMargins left="0.7" right="0.7" top="0.75" bottom="0.75" header="0.3" footer="0.3"/>
  <pageSetup scale="80" fitToHeight="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3">
    <tabColor rgb="FFFFFF66"/>
    <pageSetUpPr fitToPage="1"/>
  </sheetPr>
  <dimension ref="B1:S40"/>
  <sheetViews>
    <sheetView showGridLines="0" zoomScale="85" zoomScaleNormal="85" workbookViewId="0">
      <selection activeCell="N6" sqref="N6"/>
    </sheetView>
  </sheetViews>
  <sheetFormatPr defaultColWidth="8.88671875" defaultRowHeight="15"/>
  <cols>
    <col min="1" max="1" width="2.109375" style="202" customWidth="1"/>
    <col min="2" max="3" width="1.33203125" style="202" customWidth="1"/>
    <col min="4" max="4" width="47.21875" style="202" customWidth="1"/>
    <col min="5" max="5" width="13" style="202" customWidth="1"/>
    <col min="6" max="6" width="1.33203125" style="202" customWidth="1"/>
    <col min="7" max="8" width="13" style="202" customWidth="1"/>
    <col min="9" max="9" width="1.33203125" style="202" customWidth="1"/>
    <col min="10" max="10" width="4.44140625" style="202" customWidth="1"/>
    <col min="11" max="13" width="1.33203125" style="202" customWidth="1"/>
    <col min="14" max="16384" width="8.88671875" style="202"/>
  </cols>
  <sheetData>
    <row r="1" spans="2:19" s="217" customFormat="1"/>
    <row r="2" spans="2:19" ht="15.75">
      <c r="B2" s="232" t="s">
        <v>369</v>
      </c>
      <c r="C2" s="200"/>
      <c r="D2" s="200"/>
      <c r="K2" s="200"/>
      <c r="L2" s="200"/>
    </row>
    <row r="3" spans="2:19">
      <c r="B3" s="200" t="s">
        <v>102</v>
      </c>
      <c r="C3" s="200"/>
      <c r="D3" s="200"/>
      <c r="K3" s="200"/>
      <c r="L3" s="200"/>
    </row>
    <row r="4" spans="2:19">
      <c r="B4" s="201" t="str">
        <f>E17</f>
        <v>2021 Rate Case</v>
      </c>
      <c r="C4" s="201"/>
      <c r="D4" s="201"/>
      <c r="K4" s="200"/>
      <c r="L4" s="200"/>
    </row>
    <row r="5" spans="2:19">
      <c r="B5" s="201" t="str">
        <f>"Revenue Lag Days Based on the Year Ended "&amp;TEXT(E13,"Mmmm dd, yyyy")</f>
        <v>Revenue Lag Days Based on the Year Ended December 31, 2020</v>
      </c>
      <c r="C5" s="201"/>
      <c r="D5" s="201"/>
      <c r="E5" s="203"/>
      <c r="F5" s="203"/>
      <c r="G5" s="203"/>
      <c r="H5" s="203"/>
      <c r="I5" s="203"/>
      <c r="J5" s="203"/>
      <c r="K5" s="200"/>
      <c r="L5" s="200"/>
    </row>
    <row r="6" spans="2:19">
      <c r="B6" s="201" t="str">
        <f>"Expense Lead Days Based on the Year Ended "&amp;TEXT(E28,"Mmmm dd, yyyy")</f>
        <v>Expense Lead Days Based on the Year Ended December 31, 2020</v>
      </c>
      <c r="C6" s="201"/>
      <c r="D6" s="201"/>
      <c r="E6" s="203"/>
      <c r="F6" s="203"/>
      <c r="G6" s="203"/>
      <c r="H6" s="203"/>
      <c r="I6" s="203"/>
      <c r="J6" s="203"/>
      <c r="K6" s="200"/>
      <c r="L6" s="200"/>
    </row>
    <row r="7" spans="2:19">
      <c r="B7" s="200"/>
      <c r="C7" s="200"/>
      <c r="D7" s="200"/>
      <c r="E7" s="200"/>
      <c r="F7" s="200"/>
      <c r="G7" s="200"/>
      <c r="H7" s="200"/>
      <c r="I7" s="204"/>
      <c r="J7" s="200"/>
      <c r="K7" s="200"/>
      <c r="L7" s="200"/>
    </row>
    <row r="8" spans="2:19" ht="15.75">
      <c r="B8" s="205" t="s">
        <v>234</v>
      </c>
      <c r="C8" s="206"/>
      <c r="D8" s="206"/>
      <c r="E8" s="206"/>
      <c r="F8" s="206"/>
      <c r="G8" s="206"/>
      <c r="H8" s="206"/>
      <c r="I8" s="207"/>
      <c r="J8" s="206"/>
      <c r="K8" s="206"/>
      <c r="L8" s="208"/>
    </row>
    <row r="9" spans="2:19" ht="8.1" customHeight="1">
      <c r="B9" s="209"/>
      <c r="C9" s="210"/>
      <c r="D9" s="210"/>
      <c r="E9" s="210"/>
      <c r="F9" s="210"/>
      <c r="G9" s="210"/>
      <c r="H9" s="210"/>
      <c r="I9" s="211"/>
      <c r="J9" s="210"/>
      <c r="K9" s="210"/>
      <c r="L9" s="212"/>
    </row>
    <row r="10" spans="2:19" ht="8.1" customHeight="1">
      <c r="B10" s="209"/>
      <c r="C10" s="213"/>
      <c r="D10" s="214"/>
      <c r="E10" s="214"/>
      <c r="F10" s="214"/>
      <c r="G10" s="214"/>
      <c r="H10" s="214"/>
      <c r="I10" s="215"/>
      <c r="J10" s="214"/>
      <c r="K10" s="216"/>
      <c r="L10" s="212"/>
      <c r="N10" s="217"/>
      <c r="O10" s="217"/>
      <c r="P10" s="217"/>
      <c r="Q10" s="217"/>
      <c r="R10" s="217"/>
      <c r="S10" s="217"/>
    </row>
    <row r="11" spans="2:19">
      <c r="B11" s="209"/>
      <c r="C11" s="218"/>
      <c r="D11" s="219" t="s">
        <v>97</v>
      </c>
      <c r="E11" s="220">
        <v>43831</v>
      </c>
      <c r="F11" s="210"/>
      <c r="G11" s="221" t="str">
        <f>IF(E11="","",TEXT($E11,"Mmm yyy"))</f>
        <v>Jan 2020</v>
      </c>
      <c r="H11" s="210"/>
      <c r="I11" s="210"/>
      <c r="J11" s="210"/>
      <c r="K11" s="222"/>
      <c r="L11" s="212"/>
      <c r="N11" s="217"/>
      <c r="O11" s="217"/>
      <c r="P11" s="217"/>
      <c r="Q11" s="217"/>
      <c r="R11" s="217"/>
      <c r="S11" s="217"/>
    </row>
    <row r="12" spans="2:19" ht="8.1" customHeight="1">
      <c r="B12" s="209"/>
      <c r="C12" s="218"/>
      <c r="D12" s="210"/>
      <c r="E12" s="210"/>
      <c r="F12" s="210"/>
      <c r="G12" s="210"/>
      <c r="H12" s="210"/>
      <c r="I12" s="210"/>
      <c r="J12" s="210"/>
      <c r="K12" s="222"/>
      <c r="L12" s="212"/>
      <c r="N12" s="217"/>
      <c r="O12" s="217"/>
      <c r="P12" s="217"/>
      <c r="Q12" s="217"/>
      <c r="R12" s="217"/>
      <c r="S12" s="217"/>
    </row>
    <row r="13" spans="2:19">
      <c r="B13" s="209"/>
      <c r="C13" s="218"/>
      <c r="D13" s="219" t="s">
        <v>98</v>
      </c>
      <c r="E13" s="221">
        <f>IF(E11="","",EOMONTH(E11,11))</f>
        <v>44196</v>
      </c>
      <c r="F13" s="210"/>
      <c r="G13" s="221" t="str">
        <f>IF(E11="","",TEXT($E13,"Mmm yyy"))</f>
        <v>Dec 2020</v>
      </c>
      <c r="H13" s="210"/>
      <c r="I13" s="210"/>
      <c r="J13" s="210"/>
      <c r="K13" s="222"/>
      <c r="L13" s="212"/>
      <c r="N13" s="217"/>
      <c r="O13" s="217"/>
      <c r="P13" s="217"/>
      <c r="Q13" s="217"/>
      <c r="R13" s="217"/>
      <c r="S13" s="217"/>
    </row>
    <row r="14" spans="2:19" ht="8.1" customHeight="1">
      <c r="B14" s="209"/>
      <c r="C14" s="218"/>
      <c r="D14" s="219"/>
      <c r="E14" s="219"/>
      <c r="F14" s="210"/>
      <c r="G14" s="210"/>
      <c r="H14" s="210"/>
      <c r="I14" s="210"/>
      <c r="J14" s="210"/>
      <c r="K14" s="222"/>
      <c r="L14" s="212"/>
      <c r="N14" s="217"/>
      <c r="O14" s="217"/>
      <c r="P14" s="217"/>
      <c r="Q14" s="217"/>
      <c r="R14" s="217"/>
      <c r="S14" s="217"/>
    </row>
    <row r="15" spans="2:19">
      <c r="B15" s="209"/>
      <c r="C15" s="218"/>
      <c r="D15" s="219" t="s">
        <v>99</v>
      </c>
      <c r="E15" s="431" t="s">
        <v>100</v>
      </c>
      <c r="F15" s="432"/>
      <c r="G15" s="432"/>
      <c r="H15" s="233"/>
      <c r="I15" s="210"/>
      <c r="J15" s="210"/>
      <c r="K15" s="222"/>
      <c r="L15" s="212"/>
    </row>
    <row r="16" spans="2:19" ht="8.1" customHeight="1">
      <c r="B16" s="209"/>
      <c r="C16" s="218"/>
      <c r="D16" s="219"/>
      <c r="E16" s="219"/>
      <c r="F16" s="219"/>
      <c r="G16" s="219"/>
      <c r="H16" s="219"/>
      <c r="I16" s="219"/>
      <c r="J16" s="210"/>
      <c r="K16" s="222"/>
      <c r="L16" s="212"/>
    </row>
    <row r="17" spans="2:12">
      <c r="B17" s="209"/>
      <c r="C17" s="218"/>
      <c r="D17" s="219" t="s">
        <v>101</v>
      </c>
      <c r="E17" s="431" t="s">
        <v>370</v>
      </c>
      <c r="F17" s="432"/>
      <c r="G17" s="432"/>
      <c r="H17" s="210"/>
      <c r="I17" s="210"/>
      <c r="J17" s="210"/>
      <c r="K17" s="222"/>
      <c r="L17" s="212"/>
    </row>
    <row r="18" spans="2:12" ht="8.1" customHeight="1">
      <c r="B18" s="209"/>
      <c r="C18" s="218"/>
      <c r="D18" s="219"/>
      <c r="E18" s="219"/>
      <c r="F18" s="219"/>
      <c r="G18" s="219"/>
      <c r="H18" s="219"/>
      <c r="I18" s="219"/>
      <c r="J18" s="210"/>
      <c r="K18" s="222"/>
      <c r="L18" s="212"/>
    </row>
    <row r="19" spans="2:12">
      <c r="B19" s="209"/>
      <c r="C19" s="218"/>
      <c r="D19" s="219" t="s">
        <v>103</v>
      </c>
      <c r="E19" s="431" t="s">
        <v>371</v>
      </c>
      <c r="F19" s="432"/>
      <c r="G19" s="432"/>
      <c r="H19" s="210"/>
      <c r="I19" s="210"/>
      <c r="J19" s="210"/>
      <c r="K19" s="222"/>
      <c r="L19" s="212"/>
    </row>
    <row r="20" spans="2:12" ht="8.1" customHeight="1">
      <c r="B20" s="209"/>
      <c r="C20" s="223"/>
      <c r="D20" s="224"/>
      <c r="E20" s="224"/>
      <c r="F20" s="224"/>
      <c r="G20" s="224"/>
      <c r="H20" s="224"/>
      <c r="I20" s="225"/>
      <c r="J20" s="224"/>
      <c r="K20" s="226"/>
      <c r="L20" s="212"/>
    </row>
    <row r="21" spans="2:12" ht="8.1" customHeight="1">
      <c r="B21" s="227"/>
      <c r="C21" s="228"/>
      <c r="D21" s="228"/>
      <c r="E21" s="228"/>
      <c r="F21" s="228"/>
      <c r="G21" s="228"/>
      <c r="H21" s="228"/>
      <c r="I21" s="229"/>
      <c r="J21" s="228"/>
      <c r="K21" s="228"/>
      <c r="L21" s="230"/>
    </row>
    <row r="22" spans="2:12">
      <c r="B22" s="200"/>
      <c r="C22" s="200"/>
      <c r="D22" s="200"/>
      <c r="E22" s="200"/>
      <c r="F22" s="200"/>
      <c r="G22" s="200"/>
      <c r="H22" s="200"/>
      <c r="I22" s="204"/>
      <c r="J22" s="200"/>
      <c r="K22" s="200"/>
      <c r="L22" s="200"/>
    </row>
    <row r="23" spans="2:12" ht="15.75">
      <c r="B23" s="205" t="s">
        <v>232</v>
      </c>
      <c r="C23" s="206"/>
      <c r="D23" s="206"/>
      <c r="E23" s="206"/>
      <c r="F23" s="206"/>
      <c r="G23" s="206"/>
      <c r="H23" s="206"/>
      <c r="I23" s="207"/>
      <c r="J23" s="206"/>
      <c r="K23" s="206"/>
      <c r="L23" s="208"/>
    </row>
    <row r="24" spans="2:12" ht="8.1" customHeight="1">
      <c r="B24" s="209"/>
      <c r="C24" s="210"/>
      <c r="D24" s="210"/>
      <c r="E24" s="210"/>
      <c r="F24" s="210"/>
      <c r="G24" s="210"/>
      <c r="H24" s="210"/>
      <c r="I24" s="211"/>
      <c r="J24" s="210"/>
      <c r="K24" s="210"/>
      <c r="L24" s="212"/>
    </row>
    <row r="25" spans="2:12" ht="8.1" customHeight="1">
      <c r="B25" s="209"/>
      <c r="C25" s="213"/>
      <c r="D25" s="214"/>
      <c r="E25" s="214"/>
      <c r="F25" s="214"/>
      <c r="G25" s="214"/>
      <c r="H25" s="214"/>
      <c r="I25" s="215"/>
      <c r="J25" s="214"/>
      <c r="K25" s="216"/>
      <c r="L25" s="212"/>
    </row>
    <row r="26" spans="2:12">
      <c r="B26" s="209"/>
      <c r="C26" s="218"/>
      <c r="D26" s="219" t="s">
        <v>97</v>
      </c>
      <c r="E26" s="220">
        <v>43831</v>
      </c>
      <c r="F26" s="210"/>
      <c r="G26" s="221" t="str">
        <f>IF(E26="","",TEXT($E26,"Mmm yyy"))</f>
        <v>Jan 2020</v>
      </c>
      <c r="H26" s="210"/>
      <c r="I26" s="210"/>
      <c r="J26" s="210"/>
      <c r="K26" s="222"/>
      <c r="L26" s="212"/>
    </row>
    <row r="27" spans="2:12" ht="8.1" customHeight="1">
      <c r="B27" s="209"/>
      <c r="C27" s="218"/>
      <c r="D27" s="210"/>
      <c r="E27" s="210"/>
      <c r="F27" s="210"/>
      <c r="G27" s="210"/>
      <c r="H27" s="210"/>
      <c r="I27" s="210"/>
      <c r="J27" s="210"/>
      <c r="K27" s="222"/>
      <c r="L27" s="212"/>
    </row>
    <row r="28" spans="2:12">
      <c r="B28" s="209"/>
      <c r="C28" s="218"/>
      <c r="D28" s="219" t="s">
        <v>98</v>
      </c>
      <c r="E28" s="221">
        <f>IF(E26="","",EOMONTH(E26,11))</f>
        <v>44196</v>
      </c>
      <c r="F28" s="210"/>
      <c r="G28" s="221" t="str">
        <f>IF(E26="","",TEXT($E28,"Mmm yyy"))</f>
        <v>Dec 2020</v>
      </c>
      <c r="H28" s="210"/>
      <c r="I28" s="210"/>
      <c r="J28" s="210"/>
      <c r="K28" s="222"/>
      <c r="L28" s="212"/>
    </row>
    <row r="29" spans="2:12" ht="8.1" customHeight="1">
      <c r="B29" s="209"/>
      <c r="C29" s="218"/>
      <c r="D29" s="219"/>
      <c r="E29" s="219"/>
      <c r="F29" s="210"/>
      <c r="G29" s="210"/>
      <c r="H29" s="210"/>
      <c r="I29" s="210"/>
      <c r="J29" s="210"/>
      <c r="K29" s="222"/>
      <c r="L29" s="212"/>
    </row>
    <row r="30" spans="2:12">
      <c r="B30" s="209"/>
      <c r="C30" s="218"/>
      <c r="D30" s="219" t="s">
        <v>99</v>
      </c>
      <c r="E30" s="431" t="s">
        <v>100</v>
      </c>
      <c r="F30" s="432"/>
      <c r="G30" s="432"/>
      <c r="H30" s="233"/>
      <c r="I30" s="210"/>
      <c r="J30" s="210"/>
      <c r="K30" s="222"/>
      <c r="L30" s="212"/>
    </row>
    <row r="31" spans="2:12" ht="8.1" customHeight="1">
      <c r="B31" s="209"/>
      <c r="C31" s="218"/>
      <c r="D31" s="219"/>
      <c r="E31" s="219"/>
      <c r="F31" s="219"/>
      <c r="G31" s="219"/>
      <c r="H31" s="219"/>
      <c r="I31" s="219"/>
      <c r="J31" s="210"/>
      <c r="K31" s="222"/>
      <c r="L31" s="212"/>
    </row>
    <row r="32" spans="2:12">
      <c r="B32" s="209"/>
      <c r="C32" s="218"/>
      <c r="D32" s="219" t="s">
        <v>101</v>
      </c>
      <c r="E32" s="431" t="s">
        <v>370</v>
      </c>
      <c r="F32" s="432"/>
      <c r="G32" s="432"/>
      <c r="H32" s="210"/>
      <c r="I32" s="210"/>
      <c r="J32" s="210"/>
      <c r="K32" s="222"/>
      <c r="L32" s="212"/>
    </row>
    <row r="33" spans="2:12" ht="8.1" customHeight="1">
      <c r="B33" s="209"/>
      <c r="C33" s="218"/>
      <c r="D33" s="219"/>
      <c r="E33" s="219"/>
      <c r="F33" s="219"/>
      <c r="G33" s="219"/>
      <c r="H33" s="219"/>
      <c r="I33" s="219"/>
      <c r="J33" s="210"/>
      <c r="K33" s="222"/>
      <c r="L33" s="212"/>
    </row>
    <row r="34" spans="2:12">
      <c r="B34" s="209"/>
      <c r="C34" s="218"/>
      <c r="D34" s="219" t="s">
        <v>103</v>
      </c>
      <c r="E34" s="431" t="s">
        <v>371</v>
      </c>
      <c r="F34" s="432"/>
      <c r="G34" s="432"/>
      <c r="H34" s="210"/>
      <c r="I34" s="210"/>
      <c r="J34" s="210"/>
      <c r="K34" s="222"/>
      <c r="L34" s="212"/>
    </row>
    <row r="35" spans="2:12" ht="8.1" customHeight="1">
      <c r="B35" s="209"/>
      <c r="C35" s="223"/>
      <c r="D35" s="224"/>
      <c r="E35" s="224"/>
      <c r="F35" s="224"/>
      <c r="G35" s="224"/>
      <c r="H35" s="224"/>
      <c r="I35" s="225"/>
      <c r="J35" s="224"/>
      <c r="K35" s="226"/>
      <c r="L35" s="212"/>
    </row>
    <row r="36" spans="2:12" ht="8.1" customHeight="1">
      <c r="B36" s="227"/>
      <c r="C36" s="228"/>
      <c r="D36" s="228"/>
      <c r="E36" s="228"/>
      <c r="F36" s="228"/>
      <c r="G36" s="228"/>
      <c r="H36" s="228"/>
      <c r="I36" s="229"/>
      <c r="J36" s="228"/>
      <c r="K36" s="228"/>
      <c r="L36" s="230"/>
    </row>
    <row r="37" spans="2:12">
      <c r="B37" s="200"/>
      <c r="C37" s="200"/>
      <c r="D37" s="200"/>
      <c r="E37" s="200"/>
      <c r="F37" s="200"/>
      <c r="G37" s="200"/>
      <c r="H37" s="200"/>
      <c r="I37" s="204"/>
      <c r="J37" s="200"/>
      <c r="K37" s="200"/>
      <c r="L37" s="200"/>
    </row>
    <row r="38" spans="2:12">
      <c r="B38" s="200"/>
      <c r="C38" s="200"/>
      <c r="D38" s="200"/>
      <c r="E38" s="200"/>
      <c r="F38" s="200"/>
      <c r="G38" s="200"/>
      <c r="H38" s="200"/>
      <c r="I38" s="204"/>
      <c r="J38" s="200"/>
      <c r="K38" s="200"/>
      <c r="L38" s="200"/>
    </row>
    <row r="39" spans="2:12">
      <c r="B39" s="200"/>
      <c r="C39" s="200"/>
      <c r="D39" s="200"/>
      <c r="E39" s="200"/>
      <c r="F39" s="200"/>
      <c r="G39" s="200"/>
      <c r="H39" s="200"/>
      <c r="I39" s="204"/>
      <c r="J39" s="200"/>
      <c r="K39" s="200"/>
      <c r="L39" s="200"/>
    </row>
    <row r="40" spans="2:12">
      <c r="B40" s="200"/>
      <c r="C40" s="200"/>
      <c r="D40" s="200"/>
      <c r="E40" s="200"/>
      <c r="F40" s="200"/>
      <c r="G40" s="200"/>
      <c r="H40" s="200"/>
      <c r="I40" s="204"/>
      <c r="J40" s="200"/>
      <c r="K40" s="200"/>
      <c r="L40" s="200"/>
    </row>
  </sheetData>
  <mergeCells count="6">
    <mergeCell ref="E30:G30"/>
    <mergeCell ref="E32:G32"/>
    <mergeCell ref="E34:G34"/>
    <mergeCell ref="E15:G15"/>
    <mergeCell ref="E17:G17"/>
    <mergeCell ref="E19:G19"/>
  </mergeCells>
  <dataValidations count="1">
    <dataValidation type="list" allowBlank="1" showInputMessage="1" showErrorMessage="1" sqref="E30:G30 E15:G15" xr:uid="{00000000-0002-0000-0100-000000000000}">
      <formula1>"6 Mo. Actual + 6 Mo. Forecast,Test Year Ended 12 Mo. Actual,12 Mo. Forecast"</formula1>
    </dataValidation>
  </dataValidations>
  <printOptions horizontalCentered="1"/>
  <pageMargins left="0.7" right="0.7" top="0.75" bottom="0.75" header="0.3" footer="0.3"/>
  <pageSetup fitToHeight="0" orientation="landscape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3ADED-51EF-47D2-B164-5F43A3320451}">
  <sheetPr>
    <tabColor theme="4" tint="0.39997558519241921"/>
    <pageSetUpPr fitToPage="1"/>
  </sheetPr>
  <dimension ref="A1:J31"/>
  <sheetViews>
    <sheetView showGridLines="0" zoomScale="85" zoomScaleNormal="85" workbookViewId="0">
      <pane ySplit="5" topLeftCell="A21" activePane="bottomLeft" state="frozen"/>
      <selection pane="bottomLeft" activeCell="B13" sqref="B13:J31"/>
    </sheetView>
  </sheetViews>
  <sheetFormatPr defaultColWidth="8.88671875" defaultRowHeight="15"/>
  <cols>
    <col min="1" max="1" width="9" style="338" bestFit="1" customWidth="1"/>
    <col min="2" max="8" width="14.77734375" style="338" customWidth="1"/>
    <col min="9" max="9" width="15.77734375" style="338" customWidth="1"/>
    <col min="10" max="16384" width="8.88671875" style="338"/>
  </cols>
  <sheetData>
    <row r="1" spans="1:10" ht="15.75">
      <c r="A1" s="338" t="s">
        <v>559</v>
      </c>
      <c r="B1" s="336"/>
    </row>
    <row r="2" spans="1:10" ht="15.75">
      <c r="A2" s="437" t="str">
        <f>'General Inputs'!$B$2</f>
        <v>Delta Natural Gas Company</v>
      </c>
      <c r="B2" s="437"/>
      <c r="C2" s="437"/>
      <c r="D2" s="437"/>
      <c r="E2" s="437"/>
      <c r="F2" s="437"/>
      <c r="G2" s="437"/>
      <c r="H2" s="437"/>
      <c r="I2" s="437"/>
    </row>
    <row r="3" spans="1:10" ht="15.75">
      <c r="A3" s="437" t="str">
        <f>'General Inputs'!$D$34&amp;" "&amp;'General Inputs'!$E$34</f>
        <v>Case No. 2021-00185</v>
      </c>
      <c r="B3" s="437"/>
      <c r="C3" s="437"/>
      <c r="D3" s="437"/>
      <c r="E3" s="437"/>
      <c r="F3" s="437"/>
      <c r="G3" s="437"/>
      <c r="H3" s="437"/>
      <c r="I3" s="437"/>
    </row>
    <row r="4" spans="1:10" ht="15.75">
      <c r="A4" s="437" t="str">
        <f>"For the Year Ended "&amp;TEXT('General Inputs'!E28,"Mmmm dd, yyyy")</f>
        <v>For the Year Ended December 31, 2020</v>
      </c>
      <c r="B4" s="437"/>
      <c r="C4" s="437"/>
      <c r="D4" s="437"/>
      <c r="E4" s="437"/>
      <c r="F4" s="437"/>
      <c r="G4" s="437"/>
      <c r="H4" s="437"/>
      <c r="I4" s="437"/>
    </row>
    <row r="5" spans="1:10" ht="16.5" thickBot="1">
      <c r="A5" s="438" t="s">
        <v>366</v>
      </c>
      <c r="B5" s="438"/>
      <c r="C5" s="438"/>
      <c r="D5" s="438"/>
      <c r="E5" s="438"/>
      <c r="F5" s="438"/>
      <c r="G5" s="438"/>
      <c r="H5" s="438"/>
      <c r="I5" s="438"/>
    </row>
    <row r="9" spans="1:10" ht="15.75">
      <c r="A9" s="53" t="s">
        <v>29</v>
      </c>
      <c r="B9" s="385" t="s">
        <v>143</v>
      </c>
      <c r="C9" s="385" t="s">
        <v>70</v>
      </c>
      <c r="D9" s="385" t="s">
        <v>172</v>
      </c>
      <c r="E9" s="373" t="s">
        <v>39</v>
      </c>
      <c r="F9" s="373" t="s">
        <v>39</v>
      </c>
      <c r="G9" s="373" t="s">
        <v>65</v>
      </c>
      <c r="H9" s="373" t="s">
        <v>15</v>
      </c>
      <c r="I9" s="53" t="s">
        <v>28</v>
      </c>
    </row>
    <row r="10" spans="1:10" ht="20.25">
      <c r="A10" s="190" t="s">
        <v>24</v>
      </c>
      <c r="B10" s="386" t="s">
        <v>41</v>
      </c>
      <c r="C10" s="386" t="s">
        <v>41</v>
      </c>
      <c r="D10" s="386" t="s">
        <v>150</v>
      </c>
      <c r="E10" s="375" t="s">
        <v>40</v>
      </c>
      <c r="F10" s="375" t="s">
        <v>30</v>
      </c>
      <c r="G10" s="375" t="s">
        <v>33</v>
      </c>
      <c r="H10" s="375" t="s">
        <v>31</v>
      </c>
      <c r="I10" s="190" t="s">
        <v>71</v>
      </c>
    </row>
    <row r="11" spans="1:10" ht="15.75">
      <c r="A11" s="340"/>
      <c r="B11" s="53" t="s">
        <v>34</v>
      </c>
      <c r="C11" s="359" t="s">
        <v>35</v>
      </c>
      <c r="D11" s="53" t="s">
        <v>107</v>
      </c>
      <c r="E11" s="387" t="s">
        <v>37</v>
      </c>
      <c r="F11" s="359" t="s">
        <v>152</v>
      </c>
      <c r="G11" s="359" t="s">
        <v>183</v>
      </c>
      <c r="H11" s="359" t="s">
        <v>56</v>
      </c>
      <c r="I11" s="53" t="s">
        <v>149</v>
      </c>
    </row>
    <row r="12" spans="1:10">
      <c r="A12" s="27"/>
      <c r="B12" s="31"/>
      <c r="C12" s="31"/>
      <c r="D12" s="31"/>
      <c r="E12" s="31"/>
      <c r="F12" s="27"/>
      <c r="G12" s="27"/>
      <c r="H12" s="31"/>
      <c r="I12" s="27"/>
    </row>
    <row r="13" spans="1:10">
      <c r="A13" s="23">
        <v>1</v>
      </c>
      <c r="B13" s="318">
        <v>43800</v>
      </c>
      <c r="C13" s="318">
        <f>EOMONTH(B13,0)</f>
        <v>43830</v>
      </c>
      <c r="D13" s="58">
        <f>(C13-B13)/2</f>
        <v>15</v>
      </c>
      <c r="E13" s="318">
        <v>43852</v>
      </c>
      <c r="F13" s="131">
        <f>IF(E13="","",E13-C13)</f>
        <v>22</v>
      </c>
      <c r="G13" s="131">
        <f>IF(E13="","",D13+F13)</f>
        <v>37</v>
      </c>
      <c r="H13" s="405">
        <v>134952.49</v>
      </c>
      <c r="I13" s="407">
        <f>IF(G13="",0,ROUND(G13*H13,2))</f>
        <v>4993242.13</v>
      </c>
      <c r="J13" s="408"/>
    </row>
    <row r="14" spans="1:10">
      <c r="A14" s="23">
        <f>A13+1</f>
        <v>2</v>
      </c>
      <c r="B14" s="318">
        <f>EOMONTH(B13,0)+1</f>
        <v>43831</v>
      </c>
      <c r="C14" s="318">
        <f t="shared" ref="C14:C24" si="0">EOMONTH(B14,0)</f>
        <v>43861</v>
      </c>
      <c r="D14" s="58">
        <f t="shared" ref="D14:D24" si="1">(C14-B14)/2</f>
        <v>15</v>
      </c>
      <c r="E14" s="318">
        <v>43882</v>
      </c>
      <c r="F14" s="131">
        <f>IF(E14="","",E14-C14)</f>
        <v>21</v>
      </c>
      <c r="G14" s="131">
        <f>IF(E14="","",D14+F14)</f>
        <v>36</v>
      </c>
      <c r="H14" s="405">
        <v>173256.7</v>
      </c>
      <c r="I14" s="407">
        <f t="shared" ref="I14:I24" si="2">IF(G14="",0,ROUND(G14*H14,2))</f>
        <v>6237241.2000000002</v>
      </c>
      <c r="J14" s="408"/>
    </row>
    <row r="15" spans="1:10">
      <c r="A15" s="23">
        <f>A14+1</f>
        <v>3</v>
      </c>
      <c r="B15" s="318">
        <f t="shared" ref="B15:B24" si="3">EOMONTH(B14,0)+1</f>
        <v>43862</v>
      </c>
      <c r="C15" s="318">
        <f t="shared" si="0"/>
        <v>43890</v>
      </c>
      <c r="D15" s="58">
        <f t="shared" si="1"/>
        <v>14</v>
      </c>
      <c r="E15" s="318">
        <v>43913</v>
      </c>
      <c r="F15" s="131">
        <f>IF(E15="","",E15-C15)</f>
        <v>23</v>
      </c>
      <c r="G15" s="131">
        <f>IF(E15="","",D15+F15)</f>
        <v>37</v>
      </c>
      <c r="H15" s="405">
        <v>181799.12</v>
      </c>
      <c r="I15" s="407">
        <f t="shared" si="2"/>
        <v>6726567.4400000004</v>
      </c>
      <c r="J15" s="408"/>
    </row>
    <row r="16" spans="1:10">
      <c r="A16" s="23">
        <f>A15+1</f>
        <v>4</v>
      </c>
      <c r="B16" s="318">
        <f t="shared" si="3"/>
        <v>43891</v>
      </c>
      <c r="C16" s="318">
        <f t="shared" si="0"/>
        <v>43921</v>
      </c>
      <c r="D16" s="58">
        <f t="shared" si="1"/>
        <v>15</v>
      </c>
      <c r="E16" s="318">
        <v>43942</v>
      </c>
      <c r="F16" s="131">
        <f>IF(E16="","",E16-C16)</f>
        <v>21</v>
      </c>
      <c r="G16" s="131">
        <f>IF(E16="","",D16+F16)</f>
        <v>36</v>
      </c>
      <c r="H16" s="406">
        <v>159634.03</v>
      </c>
      <c r="I16" s="407">
        <f t="shared" si="2"/>
        <v>5746825.0800000001</v>
      </c>
      <c r="J16" s="408"/>
    </row>
    <row r="17" spans="1:10">
      <c r="A17" s="23">
        <f t="shared" ref="A17:A24" si="4">A16+1</f>
        <v>5</v>
      </c>
      <c r="B17" s="318">
        <f t="shared" si="3"/>
        <v>43922</v>
      </c>
      <c r="C17" s="318">
        <f t="shared" si="0"/>
        <v>43951</v>
      </c>
      <c r="D17" s="58">
        <f t="shared" si="1"/>
        <v>14.5</v>
      </c>
      <c r="E17" s="318">
        <v>43972</v>
      </c>
      <c r="F17" s="131">
        <f t="shared" ref="F17:F24" si="5">IF(E17="","",E17-C17)</f>
        <v>21</v>
      </c>
      <c r="G17" s="131">
        <f t="shared" ref="G17:G24" si="6">IF(E17="","",D17+F17)</f>
        <v>35.5</v>
      </c>
      <c r="H17" s="405">
        <v>115236.78</v>
      </c>
      <c r="I17" s="407">
        <f t="shared" si="2"/>
        <v>4090905.69</v>
      </c>
      <c r="J17" s="408"/>
    </row>
    <row r="18" spans="1:10">
      <c r="A18" s="23">
        <f t="shared" si="4"/>
        <v>6</v>
      </c>
      <c r="B18" s="318">
        <f t="shared" si="3"/>
        <v>43952</v>
      </c>
      <c r="C18" s="318">
        <f t="shared" si="0"/>
        <v>43982</v>
      </c>
      <c r="D18" s="58">
        <f t="shared" si="1"/>
        <v>15</v>
      </c>
      <c r="E18" s="318">
        <v>44005</v>
      </c>
      <c r="F18" s="131">
        <f t="shared" si="5"/>
        <v>23</v>
      </c>
      <c r="G18" s="131">
        <f t="shared" si="6"/>
        <v>38</v>
      </c>
      <c r="H18" s="405">
        <v>90263.360000000001</v>
      </c>
      <c r="I18" s="407">
        <f t="shared" si="2"/>
        <v>3430007.68</v>
      </c>
      <c r="J18" s="408"/>
    </row>
    <row r="19" spans="1:10">
      <c r="A19" s="23">
        <f t="shared" si="4"/>
        <v>7</v>
      </c>
      <c r="B19" s="318">
        <f t="shared" si="3"/>
        <v>43983</v>
      </c>
      <c r="C19" s="318">
        <f t="shared" si="0"/>
        <v>44012</v>
      </c>
      <c r="D19" s="58">
        <f t="shared" si="1"/>
        <v>14.5</v>
      </c>
      <c r="E19" s="318">
        <v>44033</v>
      </c>
      <c r="F19" s="131">
        <f t="shared" si="5"/>
        <v>21</v>
      </c>
      <c r="G19" s="131">
        <f t="shared" si="6"/>
        <v>35.5</v>
      </c>
      <c r="H19" s="405">
        <v>77301.460000000006</v>
      </c>
      <c r="I19" s="407">
        <f t="shared" si="2"/>
        <v>2744201.83</v>
      </c>
      <c r="J19" s="408"/>
    </row>
    <row r="20" spans="1:10">
      <c r="A20" s="23">
        <f t="shared" si="4"/>
        <v>8</v>
      </c>
      <c r="B20" s="318">
        <f t="shared" si="3"/>
        <v>44013</v>
      </c>
      <c r="C20" s="318">
        <f t="shared" si="0"/>
        <v>44043</v>
      </c>
      <c r="D20" s="58">
        <f t="shared" si="1"/>
        <v>15</v>
      </c>
      <c r="E20" s="318">
        <v>44064</v>
      </c>
      <c r="F20" s="131">
        <f t="shared" si="5"/>
        <v>21</v>
      </c>
      <c r="G20" s="131">
        <f t="shared" si="6"/>
        <v>36</v>
      </c>
      <c r="H20" s="405">
        <v>50645.919999999998</v>
      </c>
      <c r="I20" s="407">
        <f t="shared" si="2"/>
        <v>1823253.12</v>
      </c>
      <c r="J20" s="408"/>
    </row>
    <row r="21" spans="1:10">
      <c r="A21" s="23">
        <f t="shared" si="4"/>
        <v>9</v>
      </c>
      <c r="B21" s="318">
        <f t="shared" si="3"/>
        <v>44044</v>
      </c>
      <c r="C21" s="318">
        <f t="shared" si="0"/>
        <v>44074</v>
      </c>
      <c r="D21" s="58">
        <f t="shared" si="1"/>
        <v>15</v>
      </c>
      <c r="E21" s="318">
        <v>44096</v>
      </c>
      <c r="F21" s="131">
        <f t="shared" si="5"/>
        <v>22</v>
      </c>
      <c r="G21" s="131">
        <f t="shared" si="6"/>
        <v>37</v>
      </c>
      <c r="H21" s="405">
        <v>49738.32</v>
      </c>
      <c r="I21" s="407">
        <f t="shared" si="2"/>
        <v>1840317.84</v>
      </c>
      <c r="J21" s="408"/>
    </row>
    <row r="22" spans="1:10">
      <c r="A22" s="23">
        <f t="shared" si="4"/>
        <v>10</v>
      </c>
      <c r="B22" s="318">
        <f t="shared" si="3"/>
        <v>44075</v>
      </c>
      <c r="C22" s="318">
        <f t="shared" si="0"/>
        <v>44104</v>
      </c>
      <c r="D22" s="58">
        <f t="shared" si="1"/>
        <v>14.5</v>
      </c>
      <c r="E22" s="318">
        <v>44125</v>
      </c>
      <c r="F22" s="131">
        <f t="shared" si="5"/>
        <v>21</v>
      </c>
      <c r="G22" s="131">
        <f t="shared" si="6"/>
        <v>35.5</v>
      </c>
      <c r="H22" s="405">
        <v>47964.74</v>
      </c>
      <c r="I22" s="407">
        <f t="shared" si="2"/>
        <v>1702748.27</v>
      </c>
      <c r="J22" s="408"/>
    </row>
    <row r="23" spans="1:10">
      <c r="A23" s="23">
        <f t="shared" si="4"/>
        <v>11</v>
      </c>
      <c r="B23" s="318">
        <f t="shared" si="3"/>
        <v>44105</v>
      </c>
      <c r="C23" s="318">
        <f t="shared" si="0"/>
        <v>44135</v>
      </c>
      <c r="D23" s="58">
        <f t="shared" si="1"/>
        <v>15</v>
      </c>
      <c r="E23" s="318">
        <v>44158</v>
      </c>
      <c r="F23" s="131">
        <f t="shared" si="5"/>
        <v>23</v>
      </c>
      <c r="G23" s="131">
        <f t="shared" si="6"/>
        <v>38</v>
      </c>
      <c r="H23" s="405">
        <v>52614.69</v>
      </c>
      <c r="I23" s="407">
        <f t="shared" si="2"/>
        <v>1999358.22</v>
      </c>
      <c r="J23" s="408"/>
    </row>
    <row r="24" spans="1:10">
      <c r="A24" s="23">
        <f t="shared" si="4"/>
        <v>12</v>
      </c>
      <c r="B24" s="318">
        <f t="shared" si="3"/>
        <v>44136</v>
      </c>
      <c r="C24" s="318">
        <f t="shared" si="0"/>
        <v>44165</v>
      </c>
      <c r="D24" s="58">
        <f t="shared" si="1"/>
        <v>14.5</v>
      </c>
      <c r="E24" s="318">
        <v>44187</v>
      </c>
      <c r="F24" s="131">
        <f t="shared" si="5"/>
        <v>22</v>
      </c>
      <c r="G24" s="131">
        <f t="shared" si="6"/>
        <v>36.5</v>
      </c>
      <c r="H24" s="405">
        <v>67933.83</v>
      </c>
      <c r="I24" s="407">
        <f t="shared" si="2"/>
        <v>2479584.7999999998</v>
      </c>
      <c r="J24" s="408"/>
    </row>
    <row r="25" spans="1:10">
      <c r="A25" s="23"/>
      <c r="B25" s="21"/>
      <c r="C25" s="21"/>
      <c r="D25" s="21"/>
      <c r="E25" s="57"/>
      <c r="F25" s="238"/>
      <c r="G25" s="238"/>
      <c r="H25" s="409"/>
      <c r="I25" s="410"/>
      <c r="J25" s="408"/>
    </row>
    <row r="26" spans="1:10" ht="18.75" thickBot="1">
      <c r="A26" s="23">
        <f>A21+1</f>
        <v>10</v>
      </c>
      <c r="B26" s="21" t="s">
        <v>367</v>
      </c>
      <c r="C26" s="20"/>
      <c r="D26" s="21"/>
      <c r="E26" s="21"/>
      <c r="F26" s="73"/>
      <c r="G26" s="169">
        <f>IF(H26=0,0,I26/H26)</f>
        <v>36.471107914166353</v>
      </c>
      <c r="H26" s="392">
        <f>SUM(H13:H24)</f>
        <v>1201341.4399999999</v>
      </c>
      <c r="I26" s="392">
        <f>SUM(I13:I24)</f>
        <v>43814253.300000004</v>
      </c>
      <c r="J26" s="408"/>
    </row>
    <row r="27" spans="1:10" ht="15.75" thickTop="1">
      <c r="A27" s="27"/>
      <c r="B27" s="238"/>
      <c r="C27" s="238"/>
      <c r="D27" s="238"/>
      <c r="E27" s="238"/>
      <c r="F27" s="238"/>
      <c r="G27" s="238"/>
      <c r="H27" s="238"/>
      <c r="I27" s="238"/>
      <c r="J27" s="408"/>
    </row>
    <row r="28" spans="1:10">
      <c r="A28" s="338" t="s">
        <v>368</v>
      </c>
      <c r="B28" s="408"/>
      <c r="C28" s="408"/>
      <c r="D28" s="408"/>
      <c r="E28" s="408"/>
      <c r="F28" s="408"/>
      <c r="G28" s="408"/>
      <c r="H28" s="408"/>
      <c r="I28" s="408"/>
      <c r="J28" s="408"/>
    </row>
    <row r="29" spans="1:10">
      <c r="A29" s="338" t="s">
        <v>604</v>
      </c>
      <c r="B29" s="408"/>
      <c r="C29" s="408"/>
      <c r="D29" s="408"/>
      <c r="E29" s="408"/>
      <c r="F29" s="408"/>
      <c r="G29" s="408"/>
      <c r="H29" s="408"/>
      <c r="I29" s="408"/>
      <c r="J29" s="408"/>
    </row>
    <row r="30" spans="1:10">
      <c r="B30" s="408"/>
      <c r="C30" s="408"/>
      <c r="D30" s="408"/>
      <c r="E30" s="408"/>
      <c r="F30" s="408"/>
      <c r="G30" s="408"/>
      <c r="H30" s="408"/>
      <c r="I30" s="408"/>
      <c r="J30" s="408"/>
    </row>
    <row r="31" spans="1:10">
      <c r="B31" s="408"/>
      <c r="C31" s="411" t="s">
        <v>603</v>
      </c>
      <c r="D31" s="405">
        <v>1211015</v>
      </c>
      <c r="E31" s="408"/>
      <c r="F31" s="408"/>
      <c r="G31" s="408"/>
      <c r="H31" s="408"/>
      <c r="I31" s="408"/>
      <c r="J31" s="408"/>
    </row>
  </sheetData>
  <mergeCells count="4">
    <mergeCell ref="A2:I2"/>
    <mergeCell ref="A3:I3"/>
    <mergeCell ref="A4:I4"/>
    <mergeCell ref="A5:I5"/>
  </mergeCells>
  <printOptions horizontalCentered="1"/>
  <pageMargins left="0.7" right="0.7" top="0.75" bottom="0.75" header="0.3" footer="0.3"/>
  <pageSetup scale="80" fitToHeight="0" orientation="landscape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9A09-4669-46B9-AD1E-BF2F6DC79B13}">
  <sheetPr>
    <tabColor theme="4" tint="0.39997558519241921"/>
    <pageSetUpPr fitToPage="1"/>
  </sheetPr>
  <dimension ref="A1:J74"/>
  <sheetViews>
    <sheetView showGridLines="0" zoomScale="85" zoomScaleNormal="85" workbookViewId="0">
      <pane ySplit="5" topLeftCell="A32" activePane="bottomLeft" state="frozen"/>
      <selection pane="bottomLeft" activeCell="B13" sqref="B13:J66"/>
    </sheetView>
  </sheetViews>
  <sheetFormatPr defaultColWidth="7.109375" defaultRowHeight="15"/>
  <cols>
    <col min="1" max="1" width="9" style="338" bestFit="1" customWidth="1"/>
    <col min="2" max="2" width="40.77734375" style="338" bestFit="1" customWidth="1"/>
    <col min="3" max="9" width="14.77734375" style="338" customWidth="1"/>
    <col min="10" max="10" width="15.77734375" style="338" customWidth="1"/>
    <col min="11" max="16384" width="7.109375" style="338"/>
  </cols>
  <sheetData>
    <row r="1" spans="1:10" ht="15.75">
      <c r="A1" s="338" t="s">
        <v>559</v>
      </c>
      <c r="C1" s="336"/>
    </row>
    <row r="2" spans="1:10" ht="15.75">
      <c r="A2" s="437" t="str">
        <f>'[6]General Inputs'!$B$2</f>
        <v>Delta Natural Gas Company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15.75">
      <c r="A3" s="437" t="str">
        <f>'[6]General Inputs'!$D$34&amp;" "&amp;'[6]General Inputs'!$E$34</f>
        <v>Case No. 2021-00185</v>
      </c>
      <c r="B3" s="437"/>
      <c r="C3" s="437"/>
      <c r="D3" s="437"/>
      <c r="E3" s="437"/>
      <c r="F3" s="437"/>
      <c r="G3" s="437"/>
      <c r="H3" s="437"/>
      <c r="I3" s="437"/>
      <c r="J3" s="437"/>
    </row>
    <row r="4" spans="1:10" ht="15.75">
      <c r="A4" s="437" t="str">
        <f>"For the Year Ended "&amp;TEXT('[6]General Inputs'!E28,"Mmmm dd, yyyy")</f>
        <v>For the Year Ended December 31, 2020</v>
      </c>
      <c r="B4" s="437"/>
      <c r="C4" s="437"/>
      <c r="D4" s="437"/>
      <c r="E4" s="437"/>
      <c r="F4" s="437"/>
      <c r="G4" s="437"/>
      <c r="H4" s="437"/>
      <c r="I4" s="437"/>
      <c r="J4" s="437"/>
    </row>
    <row r="5" spans="1:10" ht="16.5" thickBot="1">
      <c r="A5" s="438" t="s">
        <v>354</v>
      </c>
      <c r="B5" s="438"/>
      <c r="C5" s="438"/>
      <c r="D5" s="438"/>
      <c r="E5" s="438"/>
      <c r="F5" s="438"/>
      <c r="G5" s="438"/>
      <c r="H5" s="438"/>
      <c r="I5" s="438"/>
      <c r="J5" s="438"/>
    </row>
    <row r="8" spans="1:10" ht="17.25">
      <c r="B8" s="356"/>
    </row>
    <row r="9" spans="1:10" ht="15.75">
      <c r="A9" s="53" t="s">
        <v>29</v>
      </c>
      <c r="C9" s="385" t="s">
        <v>143</v>
      </c>
      <c r="D9" s="385" t="s">
        <v>70</v>
      </c>
      <c r="E9" s="385" t="s">
        <v>172</v>
      </c>
      <c r="F9" s="373" t="s">
        <v>39</v>
      </c>
      <c r="G9" s="373" t="s">
        <v>39</v>
      </c>
      <c r="H9" s="373" t="s">
        <v>65</v>
      </c>
      <c r="I9" s="373" t="s">
        <v>15</v>
      </c>
      <c r="J9" s="53" t="s">
        <v>28</v>
      </c>
    </row>
    <row r="10" spans="1:10" ht="20.25">
      <c r="A10" s="190" t="s">
        <v>24</v>
      </c>
      <c r="B10" s="190" t="s">
        <v>355</v>
      </c>
      <c r="C10" s="386" t="s">
        <v>41</v>
      </c>
      <c r="D10" s="386" t="s">
        <v>41</v>
      </c>
      <c r="E10" s="386" t="s">
        <v>150</v>
      </c>
      <c r="F10" s="375" t="s">
        <v>40</v>
      </c>
      <c r="G10" s="375" t="s">
        <v>30</v>
      </c>
      <c r="H10" s="375" t="s">
        <v>33</v>
      </c>
      <c r="I10" s="375" t="s">
        <v>31</v>
      </c>
      <c r="J10" s="190" t="s">
        <v>71</v>
      </c>
    </row>
    <row r="11" spans="1:10" ht="15.75">
      <c r="A11" s="340"/>
      <c r="B11" s="359" t="s">
        <v>34</v>
      </c>
      <c r="C11" s="359" t="s">
        <v>35</v>
      </c>
      <c r="D11" s="359" t="s">
        <v>36</v>
      </c>
      <c r="E11" s="53" t="s">
        <v>341</v>
      </c>
      <c r="F11" s="387" t="s">
        <v>43</v>
      </c>
      <c r="G11" s="359" t="s">
        <v>179</v>
      </c>
      <c r="H11" s="359" t="s">
        <v>342</v>
      </c>
      <c r="I11" s="359" t="s">
        <v>63</v>
      </c>
      <c r="J11" s="53" t="s">
        <v>182</v>
      </c>
    </row>
    <row r="12" spans="1:10">
      <c r="A12" s="27"/>
      <c r="B12" s="376"/>
      <c r="C12" s="31"/>
      <c r="D12" s="31"/>
      <c r="E12" s="31"/>
      <c r="F12" s="31"/>
      <c r="G12" s="27"/>
      <c r="H12" s="27"/>
      <c r="I12" s="31"/>
      <c r="J12" s="27"/>
    </row>
    <row r="13" spans="1:10">
      <c r="A13" s="23">
        <v>1</v>
      </c>
      <c r="B13" s="394" t="s">
        <v>605</v>
      </c>
      <c r="C13" s="318">
        <v>43831</v>
      </c>
      <c r="D13" s="318">
        <v>43861</v>
      </c>
      <c r="E13" s="58">
        <f t="shared" ref="E13:E62" si="0">(D13-C13)/2</f>
        <v>15</v>
      </c>
      <c r="F13" s="318">
        <v>43875</v>
      </c>
      <c r="G13" s="131">
        <f t="shared" ref="G13:G62" si="1">IF(F13="","",F13-D13)</f>
        <v>14</v>
      </c>
      <c r="H13" s="131">
        <f t="shared" ref="H13:H62" si="2">IF(F13="","",E13+G13)</f>
        <v>29</v>
      </c>
      <c r="I13" s="405">
        <v>3250.08</v>
      </c>
      <c r="J13" s="407">
        <f t="shared" ref="J13:J62" si="3">IF(H13="",0,ROUND(H13*I13,2))</f>
        <v>94252.32</v>
      </c>
    </row>
    <row r="14" spans="1:10">
      <c r="A14" s="23">
        <f t="shared" ref="A14:A59" si="4">A13+1</f>
        <v>2</v>
      </c>
      <c r="B14" s="394" t="s">
        <v>605</v>
      </c>
      <c r="C14" s="318">
        <v>43862</v>
      </c>
      <c r="D14" s="318">
        <v>43890</v>
      </c>
      <c r="E14" s="58">
        <f t="shared" si="0"/>
        <v>14</v>
      </c>
      <c r="F14" s="318">
        <v>43907</v>
      </c>
      <c r="G14" s="131">
        <f t="shared" si="1"/>
        <v>17</v>
      </c>
      <c r="H14" s="131">
        <f t="shared" si="2"/>
        <v>31</v>
      </c>
      <c r="I14" s="405">
        <v>3494.27</v>
      </c>
      <c r="J14" s="407">
        <f t="shared" si="3"/>
        <v>108322.37</v>
      </c>
    </row>
    <row r="15" spans="1:10">
      <c r="A15" s="23">
        <f t="shared" si="4"/>
        <v>3</v>
      </c>
      <c r="B15" s="394" t="s">
        <v>565</v>
      </c>
      <c r="C15" s="318">
        <v>43831</v>
      </c>
      <c r="D15" s="318">
        <v>43921</v>
      </c>
      <c r="E15" s="58">
        <f t="shared" si="0"/>
        <v>45</v>
      </c>
      <c r="F15" s="318">
        <v>43935</v>
      </c>
      <c r="G15" s="131">
        <f t="shared" si="1"/>
        <v>14</v>
      </c>
      <c r="H15" s="131">
        <f t="shared" si="2"/>
        <v>59</v>
      </c>
      <c r="I15" s="405">
        <v>12214</v>
      </c>
      <c r="J15" s="407">
        <f t="shared" si="3"/>
        <v>720626</v>
      </c>
    </row>
    <row r="16" spans="1:10">
      <c r="A16" s="23">
        <f t="shared" si="4"/>
        <v>4</v>
      </c>
      <c r="B16" s="394" t="s">
        <v>561</v>
      </c>
      <c r="C16" s="318">
        <v>43831</v>
      </c>
      <c r="D16" s="318">
        <v>43921</v>
      </c>
      <c r="E16" s="58">
        <f t="shared" si="0"/>
        <v>45</v>
      </c>
      <c r="F16" s="318">
        <v>43935</v>
      </c>
      <c r="G16" s="131">
        <f t="shared" si="1"/>
        <v>14</v>
      </c>
      <c r="H16" s="131">
        <f t="shared" si="2"/>
        <v>59</v>
      </c>
      <c r="I16" s="405">
        <v>7037</v>
      </c>
      <c r="J16" s="407">
        <f t="shared" si="3"/>
        <v>415183</v>
      </c>
    </row>
    <row r="17" spans="1:10">
      <c r="A17" s="23">
        <f t="shared" si="4"/>
        <v>5</v>
      </c>
      <c r="B17" s="394" t="s">
        <v>606</v>
      </c>
      <c r="C17" s="318">
        <v>43831</v>
      </c>
      <c r="D17" s="318">
        <v>43921</v>
      </c>
      <c r="E17" s="58">
        <f t="shared" si="0"/>
        <v>45</v>
      </c>
      <c r="F17" s="318">
        <v>43935</v>
      </c>
      <c r="G17" s="131">
        <f t="shared" si="1"/>
        <v>14</v>
      </c>
      <c r="H17" s="131">
        <f t="shared" si="2"/>
        <v>59</v>
      </c>
      <c r="I17" s="405">
        <v>4333</v>
      </c>
      <c r="J17" s="407">
        <f t="shared" si="3"/>
        <v>255647</v>
      </c>
    </row>
    <row r="18" spans="1:10">
      <c r="A18" s="23">
        <f t="shared" si="4"/>
        <v>6</v>
      </c>
      <c r="B18" s="394" t="s">
        <v>607</v>
      </c>
      <c r="C18" s="318">
        <v>43831</v>
      </c>
      <c r="D18" s="318">
        <v>43921</v>
      </c>
      <c r="E18" s="58">
        <f t="shared" si="0"/>
        <v>45</v>
      </c>
      <c r="F18" s="318">
        <v>43935</v>
      </c>
      <c r="G18" s="131">
        <f t="shared" si="1"/>
        <v>14</v>
      </c>
      <c r="H18" s="131">
        <f t="shared" si="2"/>
        <v>59</v>
      </c>
      <c r="I18" s="405">
        <v>3007</v>
      </c>
      <c r="J18" s="407">
        <f t="shared" si="3"/>
        <v>177413</v>
      </c>
    </row>
    <row r="19" spans="1:10">
      <c r="A19" s="23">
        <f t="shared" si="4"/>
        <v>7</v>
      </c>
      <c r="B19" s="394" t="s">
        <v>608</v>
      </c>
      <c r="C19" s="318">
        <v>43831</v>
      </c>
      <c r="D19" s="318">
        <v>43921</v>
      </c>
      <c r="E19" s="58">
        <f t="shared" si="0"/>
        <v>45</v>
      </c>
      <c r="F19" s="318">
        <v>43935</v>
      </c>
      <c r="G19" s="131">
        <f t="shared" si="1"/>
        <v>14</v>
      </c>
      <c r="H19" s="131">
        <f t="shared" si="2"/>
        <v>59</v>
      </c>
      <c r="I19" s="405">
        <v>34921</v>
      </c>
      <c r="J19" s="407">
        <f t="shared" si="3"/>
        <v>2060339</v>
      </c>
    </row>
    <row r="20" spans="1:10">
      <c r="A20" s="23">
        <f t="shared" si="4"/>
        <v>8</v>
      </c>
      <c r="B20" s="394" t="s">
        <v>609</v>
      </c>
      <c r="C20" s="318">
        <v>43831</v>
      </c>
      <c r="D20" s="318">
        <v>43921</v>
      </c>
      <c r="E20" s="58">
        <f t="shared" si="0"/>
        <v>45</v>
      </c>
      <c r="F20" s="318">
        <v>43935</v>
      </c>
      <c r="G20" s="131">
        <f t="shared" si="1"/>
        <v>14</v>
      </c>
      <c r="H20" s="131">
        <f t="shared" si="2"/>
        <v>59</v>
      </c>
      <c r="I20" s="405">
        <v>1529</v>
      </c>
      <c r="J20" s="407">
        <f t="shared" si="3"/>
        <v>90211</v>
      </c>
    </row>
    <row r="21" spans="1:10">
      <c r="A21" s="23">
        <f t="shared" si="4"/>
        <v>9</v>
      </c>
      <c r="B21" s="394" t="s">
        <v>571</v>
      </c>
      <c r="C21" s="318">
        <v>43831</v>
      </c>
      <c r="D21" s="318">
        <v>43921</v>
      </c>
      <c r="E21" s="58">
        <f t="shared" si="0"/>
        <v>45</v>
      </c>
      <c r="F21" s="318">
        <v>43935</v>
      </c>
      <c r="G21" s="131">
        <f t="shared" si="1"/>
        <v>14</v>
      </c>
      <c r="H21" s="131">
        <f t="shared" si="2"/>
        <v>59</v>
      </c>
      <c r="I21" s="405">
        <v>24852</v>
      </c>
      <c r="J21" s="407">
        <f t="shared" si="3"/>
        <v>1466268</v>
      </c>
    </row>
    <row r="22" spans="1:10">
      <c r="A22" s="23">
        <f t="shared" si="4"/>
        <v>10</v>
      </c>
      <c r="B22" s="394" t="s">
        <v>605</v>
      </c>
      <c r="C22" s="318">
        <v>43891</v>
      </c>
      <c r="D22" s="318">
        <v>43921</v>
      </c>
      <c r="E22" s="58">
        <f t="shared" si="0"/>
        <v>15</v>
      </c>
      <c r="F22" s="318">
        <v>43935</v>
      </c>
      <c r="G22" s="131">
        <f t="shared" si="1"/>
        <v>14</v>
      </c>
      <c r="H22" s="131">
        <f t="shared" si="2"/>
        <v>29</v>
      </c>
      <c r="I22" s="405">
        <v>3037</v>
      </c>
      <c r="J22" s="407">
        <f t="shared" si="3"/>
        <v>88073</v>
      </c>
    </row>
    <row r="23" spans="1:10">
      <c r="A23" s="23">
        <f t="shared" si="4"/>
        <v>11</v>
      </c>
      <c r="B23" s="394" t="s">
        <v>610</v>
      </c>
      <c r="C23" s="318">
        <v>43831</v>
      </c>
      <c r="D23" s="318">
        <v>43921</v>
      </c>
      <c r="E23" s="58">
        <f t="shared" si="0"/>
        <v>45</v>
      </c>
      <c r="F23" s="318">
        <v>43935</v>
      </c>
      <c r="G23" s="131">
        <f t="shared" si="1"/>
        <v>14</v>
      </c>
      <c r="H23" s="131">
        <f t="shared" si="2"/>
        <v>59</v>
      </c>
      <c r="I23" s="405">
        <v>3622</v>
      </c>
      <c r="J23" s="407">
        <f t="shared" si="3"/>
        <v>213698</v>
      </c>
    </row>
    <row r="24" spans="1:10">
      <c r="A24" s="23">
        <f t="shared" si="4"/>
        <v>12</v>
      </c>
      <c r="B24" s="394" t="s">
        <v>499</v>
      </c>
      <c r="C24" s="318">
        <v>43831</v>
      </c>
      <c r="D24" s="318">
        <v>43921</v>
      </c>
      <c r="E24" s="58">
        <f t="shared" si="0"/>
        <v>45</v>
      </c>
      <c r="F24" s="318">
        <v>43935</v>
      </c>
      <c r="G24" s="131">
        <f t="shared" si="1"/>
        <v>14</v>
      </c>
      <c r="H24" s="131">
        <f t="shared" si="2"/>
        <v>59</v>
      </c>
      <c r="I24" s="405">
        <v>89332</v>
      </c>
      <c r="J24" s="407">
        <f t="shared" si="3"/>
        <v>5270588</v>
      </c>
    </row>
    <row r="25" spans="1:10">
      <c r="A25" s="23">
        <f t="shared" si="4"/>
        <v>13</v>
      </c>
      <c r="B25" s="394" t="s">
        <v>605</v>
      </c>
      <c r="C25" s="318">
        <v>43922</v>
      </c>
      <c r="D25" s="318">
        <v>43951</v>
      </c>
      <c r="E25" s="58">
        <f t="shared" si="0"/>
        <v>14.5</v>
      </c>
      <c r="F25" s="318">
        <v>43998</v>
      </c>
      <c r="G25" s="131">
        <f t="shared" si="1"/>
        <v>47</v>
      </c>
      <c r="H25" s="131">
        <f t="shared" si="2"/>
        <v>61.5</v>
      </c>
      <c r="I25" s="405">
        <v>2275</v>
      </c>
      <c r="J25" s="407">
        <f t="shared" si="3"/>
        <v>139912.5</v>
      </c>
    </row>
    <row r="26" spans="1:10">
      <c r="A26" s="23">
        <f t="shared" si="4"/>
        <v>14</v>
      </c>
      <c r="B26" s="394" t="s">
        <v>605</v>
      </c>
      <c r="C26" s="318">
        <v>43952</v>
      </c>
      <c r="D26" s="318">
        <v>43982</v>
      </c>
      <c r="E26" s="58">
        <f t="shared" si="0"/>
        <v>15</v>
      </c>
      <c r="F26" s="318">
        <v>43998</v>
      </c>
      <c r="G26" s="131">
        <f t="shared" si="1"/>
        <v>16</v>
      </c>
      <c r="H26" s="131">
        <f t="shared" si="2"/>
        <v>31</v>
      </c>
      <c r="I26" s="405">
        <v>1595</v>
      </c>
      <c r="J26" s="407">
        <f t="shared" si="3"/>
        <v>49445</v>
      </c>
    </row>
    <row r="27" spans="1:10">
      <c r="A27" s="23">
        <f t="shared" si="4"/>
        <v>15</v>
      </c>
      <c r="B27" s="394" t="s">
        <v>565</v>
      </c>
      <c r="C27" s="318">
        <v>43922</v>
      </c>
      <c r="D27" s="318">
        <v>44012</v>
      </c>
      <c r="E27" s="58">
        <f t="shared" si="0"/>
        <v>45</v>
      </c>
      <c r="F27" s="318">
        <v>44020</v>
      </c>
      <c r="G27" s="131">
        <f t="shared" si="1"/>
        <v>8</v>
      </c>
      <c r="H27" s="131">
        <f t="shared" si="2"/>
        <v>53</v>
      </c>
      <c r="I27" s="405">
        <v>6315</v>
      </c>
      <c r="J27" s="407">
        <f t="shared" si="3"/>
        <v>334695</v>
      </c>
    </row>
    <row r="28" spans="1:10">
      <c r="A28" s="23">
        <f t="shared" si="4"/>
        <v>16</v>
      </c>
      <c r="B28" s="394" t="s">
        <v>561</v>
      </c>
      <c r="C28" s="318">
        <v>43922</v>
      </c>
      <c r="D28" s="318">
        <v>44012</v>
      </c>
      <c r="E28" s="58">
        <f t="shared" si="0"/>
        <v>45</v>
      </c>
      <c r="F28" s="318">
        <v>44020</v>
      </c>
      <c r="G28" s="131">
        <f t="shared" si="1"/>
        <v>8</v>
      </c>
      <c r="H28" s="131">
        <f t="shared" si="2"/>
        <v>53</v>
      </c>
      <c r="I28" s="405">
        <v>3762</v>
      </c>
      <c r="J28" s="407">
        <f t="shared" si="3"/>
        <v>199386</v>
      </c>
    </row>
    <row r="29" spans="1:10">
      <c r="A29" s="23">
        <f t="shared" si="4"/>
        <v>17</v>
      </c>
      <c r="B29" s="394" t="s">
        <v>606</v>
      </c>
      <c r="C29" s="318">
        <v>43922</v>
      </c>
      <c r="D29" s="318">
        <v>44012</v>
      </c>
      <c r="E29" s="58">
        <f t="shared" si="0"/>
        <v>45</v>
      </c>
      <c r="F29" s="318">
        <v>44020</v>
      </c>
      <c r="G29" s="131">
        <f t="shared" si="1"/>
        <v>8</v>
      </c>
      <c r="H29" s="131">
        <f t="shared" si="2"/>
        <v>53</v>
      </c>
      <c r="I29" s="405">
        <v>2379</v>
      </c>
      <c r="J29" s="407">
        <f t="shared" si="3"/>
        <v>126087</v>
      </c>
    </row>
    <row r="30" spans="1:10">
      <c r="A30" s="23">
        <f t="shared" si="4"/>
        <v>18</v>
      </c>
      <c r="B30" s="394" t="s">
        <v>607</v>
      </c>
      <c r="C30" s="318">
        <v>43922</v>
      </c>
      <c r="D30" s="318">
        <v>44012</v>
      </c>
      <c r="E30" s="58">
        <f t="shared" si="0"/>
        <v>45</v>
      </c>
      <c r="F30" s="318">
        <v>44020</v>
      </c>
      <c r="G30" s="131">
        <f t="shared" si="1"/>
        <v>8</v>
      </c>
      <c r="H30" s="131">
        <f t="shared" si="2"/>
        <v>53</v>
      </c>
      <c r="I30" s="405">
        <v>1332</v>
      </c>
      <c r="J30" s="407">
        <f t="shared" si="3"/>
        <v>70596</v>
      </c>
    </row>
    <row r="31" spans="1:10">
      <c r="A31" s="23">
        <f t="shared" si="4"/>
        <v>19</v>
      </c>
      <c r="B31" s="394" t="s">
        <v>608</v>
      </c>
      <c r="C31" s="318">
        <v>43922</v>
      </c>
      <c r="D31" s="318">
        <v>44012</v>
      </c>
      <c r="E31" s="58">
        <f t="shared" si="0"/>
        <v>45</v>
      </c>
      <c r="F31" s="318">
        <v>44020</v>
      </c>
      <c r="G31" s="131">
        <f t="shared" si="1"/>
        <v>8</v>
      </c>
      <c r="H31" s="131">
        <f t="shared" si="2"/>
        <v>53</v>
      </c>
      <c r="I31" s="405">
        <v>18819</v>
      </c>
      <c r="J31" s="407">
        <f t="shared" si="3"/>
        <v>997407</v>
      </c>
    </row>
    <row r="32" spans="1:10">
      <c r="A32" s="23">
        <f t="shared" si="4"/>
        <v>20</v>
      </c>
      <c r="B32" s="394" t="s">
        <v>609</v>
      </c>
      <c r="C32" s="318">
        <v>43922</v>
      </c>
      <c r="D32" s="318">
        <v>44012</v>
      </c>
      <c r="E32" s="58">
        <f t="shared" si="0"/>
        <v>45</v>
      </c>
      <c r="F32" s="318">
        <v>44020</v>
      </c>
      <c r="G32" s="131">
        <f t="shared" si="1"/>
        <v>8</v>
      </c>
      <c r="H32" s="131">
        <f t="shared" si="2"/>
        <v>53</v>
      </c>
      <c r="I32" s="405">
        <v>809</v>
      </c>
      <c r="J32" s="407">
        <f t="shared" si="3"/>
        <v>42877</v>
      </c>
    </row>
    <row r="33" spans="1:10">
      <c r="A33" s="23">
        <f t="shared" si="4"/>
        <v>21</v>
      </c>
      <c r="B33" s="394" t="s">
        <v>571</v>
      </c>
      <c r="C33" s="318">
        <v>43922</v>
      </c>
      <c r="D33" s="318">
        <v>44012</v>
      </c>
      <c r="E33" s="58">
        <f t="shared" si="0"/>
        <v>45</v>
      </c>
      <c r="F33" s="318">
        <v>44020</v>
      </c>
      <c r="G33" s="131">
        <f t="shared" si="1"/>
        <v>8</v>
      </c>
      <c r="H33" s="131">
        <f t="shared" si="2"/>
        <v>53</v>
      </c>
      <c r="I33" s="405">
        <v>12670</v>
      </c>
      <c r="J33" s="407">
        <f t="shared" si="3"/>
        <v>671510</v>
      </c>
    </row>
    <row r="34" spans="1:10">
      <c r="A34" s="23">
        <f t="shared" si="4"/>
        <v>22</v>
      </c>
      <c r="B34" s="394" t="s">
        <v>605</v>
      </c>
      <c r="C34" s="318">
        <v>43983</v>
      </c>
      <c r="D34" s="318">
        <v>44012</v>
      </c>
      <c r="E34" s="58">
        <f t="shared" si="0"/>
        <v>14.5</v>
      </c>
      <c r="F34" s="318">
        <v>44020</v>
      </c>
      <c r="G34" s="131">
        <f t="shared" si="1"/>
        <v>8</v>
      </c>
      <c r="H34" s="131">
        <f t="shared" si="2"/>
        <v>22.5</v>
      </c>
      <c r="I34" s="405">
        <v>1384</v>
      </c>
      <c r="J34" s="407">
        <f t="shared" si="3"/>
        <v>31140</v>
      </c>
    </row>
    <row r="35" spans="1:10">
      <c r="A35" s="23">
        <f t="shared" si="4"/>
        <v>23</v>
      </c>
      <c r="B35" s="394" t="s">
        <v>610</v>
      </c>
      <c r="C35" s="318">
        <v>43922</v>
      </c>
      <c r="D35" s="318">
        <v>44012</v>
      </c>
      <c r="E35" s="58">
        <f t="shared" si="0"/>
        <v>45</v>
      </c>
      <c r="F35" s="318">
        <v>44020</v>
      </c>
      <c r="G35" s="131">
        <f t="shared" si="1"/>
        <v>8</v>
      </c>
      <c r="H35" s="131">
        <f t="shared" si="2"/>
        <v>53</v>
      </c>
      <c r="I35" s="405">
        <v>1993</v>
      </c>
      <c r="J35" s="407">
        <f t="shared" si="3"/>
        <v>105629</v>
      </c>
    </row>
    <row r="36" spans="1:10">
      <c r="A36" s="23">
        <f t="shared" si="4"/>
        <v>24</v>
      </c>
      <c r="B36" s="394" t="s">
        <v>499</v>
      </c>
      <c r="C36" s="318">
        <v>43922</v>
      </c>
      <c r="D36" s="318">
        <v>44012</v>
      </c>
      <c r="E36" s="58">
        <f t="shared" si="0"/>
        <v>45</v>
      </c>
      <c r="F36" s="318">
        <v>44020</v>
      </c>
      <c r="G36" s="131">
        <f t="shared" si="1"/>
        <v>8</v>
      </c>
      <c r="H36" s="131">
        <f t="shared" si="2"/>
        <v>53</v>
      </c>
      <c r="I36" s="405">
        <v>47602</v>
      </c>
      <c r="J36" s="407">
        <f t="shared" si="3"/>
        <v>2522906</v>
      </c>
    </row>
    <row r="37" spans="1:10">
      <c r="A37" s="23">
        <f t="shared" si="4"/>
        <v>25</v>
      </c>
      <c r="B37" s="394" t="s">
        <v>605</v>
      </c>
      <c r="C37" s="318">
        <v>44013</v>
      </c>
      <c r="D37" s="318">
        <v>44043</v>
      </c>
      <c r="E37" s="58">
        <f t="shared" si="0"/>
        <v>15</v>
      </c>
      <c r="F37" s="318">
        <v>44055</v>
      </c>
      <c r="G37" s="131">
        <f t="shared" si="1"/>
        <v>12</v>
      </c>
      <c r="H37" s="131">
        <f t="shared" si="2"/>
        <v>27</v>
      </c>
      <c r="I37" s="405">
        <v>787</v>
      </c>
      <c r="J37" s="407">
        <f t="shared" si="3"/>
        <v>21249</v>
      </c>
    </row>
    <row r="38" spans="1:10">
      <c r="A38" s="23">
        <f t="shared" si="4"/>
        <v>26</v>
      </c>
      <c r="B38" s="394" t="s">
        <v>605</v>
      </c>
      <c r="C38" s="318">
        <v>44044</v>
      </c>
      <c r="D38" s="318">
        <v>44074</v>
      </c>
      <c r="E38" s="58">
        <f t="shared" si="0"/>
        <v>15</v>
      </c>
      <c r="F38" s="318">
        <v>44084</v>
      </c>
      <c r="G38" s="131">
        <f t="shared" si="1"/>
        <v>10</v>
      </c>
      <c r="H38" s="131">
        <f t="shared" si="2"/>
        <v>25</v>
      </c>
      <c r="I38" s="405">
        <v>767</v>
      </c>
      <c r="J38" s="407">
        <f t="shared" si="3"/>
        <v>19175</v>
      </c>
    </row>
    <row r="39" spans="1:10">
      <c r="A39" s="23">
        <f t="shared" si="4"/>
        <v>27</v>
      </c>
      <c r="B39" s="394" t="s">
        <v>565</v>
      </c>
      <c r="C39" s="318">
        <v>44013</v>
      </c>
      <c r="D39" s="318">
        <v>44104</v>
      </c>
      <c r="E39" s="58">
        <f t="shared" si="0"/>
        <v>45.5</v>
      </c>
      <c r="F39" s="318">
        <v>44113</v>
      </c>
      <c r="G39" s="131">
        <f t="shared" si="1"/>
        <v>9</v>
      </c>
      <c r="H39" s="131">
        <f t="shared" si="2"/>
        <v>54.5</v>
      </c>
      <c r="I39" s="405">
        <v>4048</v>
      </c>
      <c r="J39" s="407">
        <f t="shared" si="3"/>
        <v>220616</v>
      </c>
    </row>
    <row r="40" spans="1:10">
      <c r="A40" s="23">
        <f t="shared" si="4"/>
        <v>28</v>
      </c>
      <c r="B40" s="394" t="s">
        <v>561</v>
      </c>
      <c r="C40" s="318">
        <v>44013</v>
      </c>
      <c r="D40" s="318">
        <v>44104</v>
      </c>
      <c r="E40" s="58">
        <f t="shared" si="0"/>
        <v>45.5</v>
      </c>
      <c r="F40" s="318">
        <v>44113</v>
      </c>
      <c r="G40" s="131">
        <f t="shared" si="1"/>
        <v>9</v>
      </c>
      <c r="H40" s="131">
        <f t="shared" si="2"/>
        <v>54.5</v>
      </c>
      <c r="I40" s="405">
        <v>1693</v>
      </c>
      <c r="J40" s="407">
        <f t="shared" si="3"/>
        <v>92268.5</v>
      </c>
    </row>
    <row r="41" spans="1:10">
      <c r="A41" s="23">
        <f t="shared" si="4"/>
        <v>29</v>
      </c>
      <c r="B41" s="394" t="s">
        <v>606</v>
      </c>
      <c r="C41" s="318">
        <v>44013</v>
      </c>
      <c r="D41" s="318">
        <v>44104</v>
      </c>
      <c r="E41" s="58">
        <f t="shared" si="0"/>
        <v>45.5</v>
      </c>
      <c r="F41" s="318">
        <v>44113</v>
      </c>
      <c r="G41" s="131">
        <f t="shared" si="1"/>
        <v>9</v>
      </c>
      <c r="H41" s="131">
        <f t="shared" si="2"/>
        <v>54.5</v>
      </c>
      <c r="I41" s="405">
        <v>1439</v>
      </c>
      <c r="J41" s="407">
        <f t="shared" si="3"/>
        <v>78425.5</v>
      </c>
    </row>
    <row r="42" spans="1:10">
      <c r="A42" s="23">
        <f t="shared" si="4"/>
        <v>30</v>
      </c>
      <c r="B42" s="394" t="s">
        <v>607</v>
      </c>
      <c r="C42" s="318">
        <v>44013</v>
      </c>
      <c r="D42" s="318">
        <v>44104</v>
      </c>
      <c r="E42" s="58">
        <f t="shared" si="0"/>
        <v>45.5</v>
      </c>
      <c r="F42" s="318">
        <v>44113</v>
      </c>
      <c r="G42" s="131">
        <f t="shared" si="1"/>
        <v>9</v>
      </c>
      <c r="H42" s="131">
        <f t="shared" si="2"/>
        <v>54.5</v>
      </c>
      <c r="I42" s="405">
        <v>684</v>
      </c>
      <c r="J42" s="407">
        <f t="shared" si="3"/>
        <v>37278</v>
      </c>
    </row>
    <row r="43" spans="1:10">
      <c r="A43" s="23">
        <f t="shared" si="4"/>
        <v>31</v>
      </c>
      <c r="B43" s="394" t="s">
        <v>608</v>
      </c>
      <c r="C43" s="318">
        <v>44013</v>
      </c>
      <c r="D43" s="318">
        <v>44104</v>
      </c>
      <c r="E43" s="58">
        <f t="shared" si="0"/>
        <v>45.5</v>
      </c>
      <c r="F43" s="318">
        <v>44113</v>
      </c>
      <c r="G43" s="131">
        <f t="shared" si="1"/>
        <v>9</v>
      </c>
      <c r="H43" s="131">
        <f t="shared" si="2"/>
        <v>54.5</v>
      </c>
      <c r="I43" s="405">
        <v>11528</v>
      </c>
      <c r="J43" s="407">
        <f t="shared" si="3"/>
        <v>628276</v>
      </c>
    </row>
    <row r="44" spans="1:10">
      <c r="A44" s="23">
        <f t="shared" si="4"/>
        <v>32</v>
      </c>
      <c r="B44" s="394" t="s">
        <v>609</v>
      </c>
      <c r="C44" s="318">
        <v>44013</v>
      </c>
      <c r="D44" s="318">
        <v>44104</v>
      </c>
      <c r="E44" s="58">
        <f t="shared" si="0"/>
        <v>45.5</v>
      </c>
      <c r="F44" s="318">
        <v>44113</v>
      </c>
      <c r="G44" s="131">
        <f t="shared" si="1"/>
        <v>9</v>
      </c>
      <c r="H44" s="131">
        <f t="shared" si="2"/>
        <v>54.5</v>
      </c>
      <c r="I44" s="405">
        <v>288</v>
      </c>
      <c r="J44" s="407">
        <f t="shared" si="3"/>
        <v>15696</v>
      </c>
    </row>
    <row r="45" spans="1:10">
      <c r="A45" s="23">
        <f t="shared" si="4"/>
        <v>33</v>
      </c>
      <c r="B45" s="394" t="s">
        <v>571</v>
      </c>
      <c r="C45" s="318">
        <v>44013</v>
      </c>
      <c r="D45" s="318">
        <v>44104</v>
      </c>
      <c r="E45" s="58">
        <f t="shared" si="0"/>
        <v>45.5</v>
      </c>
      <c r="F45" s="318">
        <v>44113</v>
      </c>
      <c r="G45" s="131">
        <f t="shared" si="1"/>
        <v>9</v>
      </c>
      <c r="H45" s="131">
        <f t="shared" si="2"/>
        <v>54.5</v>
      </c>
      <c r="I45" s="405">
        <v>7064</v>
      </c>
      <c r="J45" s="407">
        <f t="shared" si="3"/>
        <v>384988</v>
      </c>
    </row>
    <row r="46" spans="1:10">
      <c r="A46" s="23">
        <f t="shared" si="4"/>
        <v>34</v>
      </c>
      <c r="B46" s="394" t="s">
        <v>605</v>
      </c>
      <c r="C46" s="318">
        <v>44013</v>
      </c>
      <c r="D46" s="318">
        <v>44104</v>
      </c>
      <c r="E46" s="58">
        <f t="shared" si="0"/>
        <v>45.5</v>
      </c>
      <c r="F46" s="318">
        <v>44113</v>
      </c>
      <c r="G46" s="131">
        <f t="shared" si="1"/>
        <v>9</v>
      </c>
      <c r="H46" s="131">
        <f t="shared" si="2"/>
        <v>54.5</v>
      </c>
      <c r="I46" s="405">
        <v>726</v>
      </c>
      <c r="J46" s="407">
        <f t="shared" si="3"/>
        <v>39567</v>
      </c>
    </row>
    <row r="47" spans="1:10">
      <c r="A47" s="23">
        <f t="shared" si="4"/>
        <v>35</v>
      </c>
      <c r="B47" s="394" t="s">
        <v>610</v>
      </c>
      <c r="C47" s="318">
        <v>44013</v>
      </c>
      <c r="D47" s="318">
        <v>44104</v>
      </c>
      <c r="E47" s="58">
        <f t="shared" si="0"/>
        <v>45.5</v>
      </c>
      <c r="F47" s="318">
        <v>44113</v>
      </c>
      <c r="G47" s="131">
        <f t="shared" si="1"/>
        <v>9</v>
      </c>
      <c r="H47" s="131">
        <f t="shared" si="2"/>
        <v>54.5</v>
      </c>
      <c r="I47" s="405">
        <v>1097</v>
      </c>
      <c r="J47" s="407">
        <f t="shared" si="3"/>
        <v>59786.5</v>
      </c>
    </row>
    <row r="48" spans="1:10">
      <c r="A48" s="23">
        <f t="shared" si="4"/>
        <v>36</v>
      </c>
      <c r="B48" s="394" t="s">
        <v>499</v>
      </c>
      <c r="C48" s="318">
        <v>44013</v>
      </c>
      <c r="D48" s="318">
        <v>44104</v>
      </c>
      <c r="E48" s="58">
        <f t="shared" si="0"/>
        <v>45.5</v>
      </c>
      <c r="F48" s="318">
        <v>44113</v>
      </c>
      <c r="G48" s="131">
        <f t="shared" si="1"/>
        <v>9</v>
      </c>
      <c r="H48" s="131">
        <f t="shared" si="2"/>
        <v>54.5</v>
      </c>
      <c r="I48" s="405">
        <v>22472</v>
      </c>
      <c r="J48" s="407">
        <f t="shared" si="3"/>
        <v>1224724</v>
      </c>
    </row>
    <row r="49" spans="1:10">
      <c r="A49" s="23">
        <f t="shared" si="4"/>
        <v>37</v>
      </c>
      <c r="B49" s="394" t="s">
        <v>564</v>
      </c>
      <c r="C49" s="318">
        <v>44013</v>
      </c>
      <c r="D49" s="318">
        <v>44104</v>
      </c>
      <c r="E49" s="58">
        <f t="shared" si="0"/>
        <v>45.5</v>
      </c>
      <c r="F49" s="318">
        <v>44113</v>
      </c>
      <c r="G49" s="131">
        <f t="shared" si="1"/>
        <v>9</v>
      </c>
      <c r="H49" s="131">
        <f t="shared" si="2"/>
        <v>54.5</v>
      </c>
      <c r="I49" s="405">
        <v>1136</v>
      </c>
      <c r="J49" s="407">
        <f t="shared" si="3"/>
        <v>61912</v>
      </c>
    </row>
    <row r="50" spans="1:10">
      <c r="A50" s="23">
        <f t="shared" si="4"/>
        <v>38</v>
      </c>
      <c r="B50" s="394" t="s">
        <v>605</v>
      </c>
      <c r="C50" s="318">
        <v>44105</v>
      </c>
      <c r="D50" s="318">
        <v>44135</v>
      </c>
      <c r="E50" s="58">
        <f t="shared" si="0"/>
        <v>15</v>
      </c>
      <c r="F50" s="318">
        <v>44144</v>
      </c>
      <c r="G50" s="131">
        <f t="shared" si="1"/>
        <v>9</v>
      </c>
      <c r="H50" s="131">
        <f t="shared" si="2"/>
        <v>24</v>
      </c>
      <c r="I50" s="405">
        <v>739</v>
      </c>
      <c r="J50" s="407">
        <f t="shared" si="3"/>
        <v>17736</v>
      </c>
    </row>
    <row r="51" spans="1:10">
      <c r="A51" s="23">
        <f t="shared" si="4"/>
        <v>39</v>
      </c>
      <c r="B51" s="394" t="s">
        <v>605</v>
      </c>
      <c r="C51" s="318">
        <v>44136</v>
      </c>
      <c r="D51" s="318">
        <v>44165</v>
      </c>
      <c r="E51" s="58">
        <f t="shared" si="0"/>
        <v>14.5</v>
      </c>
      <c r="F51" s="318">
        <v>44174</v>
      </c>
      <c r="G51" s="131">
        <f t="shared" si="1"/>
        <v>9</v>
      </c>
      <c r="H51" s="131">
        <f t="shared" si="2"/>
        <v>23.5</v>
      </c>
      <c r="I51" s="405">
        <v>1004</v>
      </c>
      <c r="J51" s="407">
        <f t="shared" si="3"/>
        <v>23594</v>
      </c>
    </row>
    <row r="52" spans="1:10">
      <c r="A52" s="23">
        <f t="shared" si="4"/>
        <v>40</v>
      </c>
      <c r="B52" s="394" t="s">
        <v>565</v>
      </c>
      <c r="C52" s="318">
        <v>44105</v>
      </c>
      <c r="D52" s="318">
        <v>44196</v>
      </c>
      <c r="E52" s="58">
        <f t="shared" si="0"/>
        <v>45.5</v>
      </c>
      <c r="F52" s="318">
        <v>44208</v>
      </c>
      <c r="G52" s="131">
        <f t="shared" si="1"/>
        <v>12</v>
      </c>
      <c r="H52" s="131">
        <f t="shared" si="2"/>
        <v>57.5</v>
      </c>
      <c r="I52" s="405">
        <v>6010</v>
      </c>
      <c r="J52" s="407">
        <f t="shared" si="3"/>
        <v>345575</v>
      </c>
    </row>
    <row r="53" spans="1:10">
      <c r="A53" s="23">
        <f t="shared" si="4"/>
        <v>41</v>
      </c>
      <c r="B53" s="394" t="s">
        <v>561</v>
      </c>
      <c r="C53" s="318">
        <v>44105</v>
      </c>
      <c r="D53" s="318">
        <v>44196</v>
      </c>
      <c r="E53" s="58">
        <f t="shared" si="0"/>
        <v>45.5</v>
      </c>
      <c r="F53" s="318">
        <v>44208</v>
      </c>
      <c r="G53" s="131">
        <f t="shared" si="1"/>
        <v>12</v>
      </c>
      <c r="H53" s="131">
        <f t="shared" si="2"/>
        <v>57.5</v>
      </c>
      <c r="I53" s="405">
        <v>2640</v>
      </c>
      <c r="J53" s="407">
        <f t="shared" si="3"/>
        <v>151800</v>
      </c>
    </row>
    <row r="54" spans="1:10">
      <c r="A54" s="23">
        <f t="shared" si="4"/>
        <v>42</v>
      </c>
      <c r="B54" s="394" t="s">
        <v>606</v>
      </c>
      <c r="C54" s="318">
        <v>44105</v>
      </c>
      <c r="D54" s="318">
        <v>44196</v>
      </c>
      <c r="E54" s="58">
        <f t="shared" si="0"/>
        <v>45.5</v>
      </c>
      <c r="F54" s="318">
        <v>44208</v>
      </c>
      <c r="G54" s="131">
        <f t="shared" si="1"/>
        <v>12</v>
      </c>
      <c r="H54" s="131">
        <f t="shared" si="2"/>
        <v>57.5</v>
      </c>
      <c r="I54" s="405">
        <v>2339</v>
      </c>
      <c r="J54" s="407">
        <f t="shared" si="3"/>
        <v>134492.5</v>
      </c>
    </row>
    <row r="55" spans="1:10">
      <c r="A55" s="23">
        <f t="shared" si="4"/>
        <v>43</v>
      </c>
      <c r="B55" s="394" t="s">
        <v>607</v>
      </c>
      <c r="C55" s="318">
        <v>44105</v>
      </c>
      <c r="D55" s="318">
        <v>44196</v>
      </c>
      <c r="E55" s="58">
        <f t="shared" si="0"/>
        <v>45.5</v>
      </c>
      <c r="F55" s="318">
        <v>44208</v>
      </c>
      <c r="G55" s="131">
        <f t="shared" si="1"/>
        <v>12</v>
      </c>
      <c r="H55" s="131">
        <f t="shared" si="2"/>
        <v>57.5</v>
      </c>
      <c r="I55" s="405">
        <v>1193</v>
      </c>
      <c r="J55" s="407">
        <f t="shared" si="3"/>
        <v>68597.5</v>
      </c>
    </row>
    <row r="56" spans="1:10">
      <c r="A56" s="23">
        <f t="shared" si="4"/>
        <v>44</v>
      </c>
      <c r="B56" s="394" t="s">
        <v>608</v>
      </c>
      <c r="C56" s="318">
        <v>44105</v>
      </c>
      <c r="D56" s="318">
        <v>44196</v>
      </c>
      <c r="E56" s="58">
        <f t="shared" si="0"/>
        <v>45.5</v>
      </c>
      <c r="F56" s="318">
        <v>44208</v>
      </c>
      <c r="G56" s="131">
        <f t="shared" si="1"/>
        <v>12</v>
      </c>
      <c r="H56" s="131">
        <f t="shared" si="2"/>
        <v>57.5</v>
      </c>
      <c r="I56" s="405">
        <v>17046</v>
      </c>
      <c r="J56" s="407">
        <f t="shared" si="3"/>
        <v>980145</v>
      </c>
    </row>
    <row r="57" spans="1:10">
      <c r="A57" s="23">
        <f t="shared" si="4"/>
        <v>45</v>
      </c>
      <c r="B57" s="394" t="s">
        <v>609</v>
      </c>
      <c r="C57" s="318">
        <v>44105</v>
      </c>
      <c r="D57" s="318">
        <v>44196</v>
      </c>
      <c r="E57" s="58">
        <f t="shared" si="0"/>
        <v>45.5</v>
      </c>
      <c r="F57" s="318">
        <v>44208</v>
      </c>
      <c r="G57" s="131">
        <f t="shared" si="1"/>
        <v>12</v>
      </c>
      <c r="H57" s="131">
        <f t="shared" si="2"/>
        <v>57.5</v>
      </c>
      <c r="I57" s="405">
        <v>523</v>
      </c>
      <c r="J57" s="407">
        <f t="shared" si="3"/>
        <v>30072.5</v>
      </c>
    </row>
    <row r="58" spans="1:10">
      <c r="A58" s="23">
        <f t="shared" si="4"/>
        <v>46</v>
      </c>
      <c r="B58" s="394" t="s">
        <v>571</v>
      </c>
      <c r="C58" s="318">
        <v>44105</v>
      </c>
      <c r="D58" s="318">
        <v>44196</v>
      </c>
      <c r="E58" s="58">
        <f t="shared" si="0"/>
        <v>45.5</v>
      </c>
      <c r="F58" s="318">
        <v>44208</v>
      </c>
      <c r="G58" s="131">
        <f t="shared" si="1"/>
        <v>12</v>
      </c>
      <c r="H58" s="131">
        <f t="shared" si="2"/>
        <v>57.5</v>
      </c>
      <c r="I58" s="405">
        <v>10830</v>
      </c>
      <c r="J58" s="407">
        <f t="shared" si="3"/>
        <v>622725</v>
      </c>
    </row>
    <row r="59" spans="1:10">
      <c r="A59" s="23">
        <f t="shared" si="4"/>
        <v>47</v>
      </c>
      <c r="B59" s="394" t="s">
        <v>605</v>
      </c>
      <c r="C59" s="318">
        <v>44166</v>
      </c>
      <c r="D59" s="318">
        <v>44196</v>
      </c>
      <c r="E59" s="58">
        <f t="shared" si="0"/>
        <v>15</v>
      </c>
      <c r="F59" s="318">
        <v>44208</v>
      </c>
      <c r="G59" s="131">
        <f t="shared" si="1"/>
        <v>12</v>
      </c>
      <c r="H59" s="131">
        <f t="shared" si="2"/>
        <v>27</v>
      </c>
      <c r="I59" s="405">
        <v>1672</v>
      </c>
      <c r="J59" s="407">
        <f t="shared" si="3"/>
        <v>45144</v>
      </c>
    </row>
    <row r="60" spans="1:10">
      <c r="A60" s="23">
        <f t="shared" ref="A60:A65" si="5">A42+1</f>
        <v>31</v>
      </c>
      <c r="B60" s="394" t="s">
        <v>610</v>
      </c>
      <c r="C60" s="318">
        <v>44105</v>
      </c>
      <c r="D60" s="318">
        <v>44196</v>
      </c>
      <c r="E60" s="58">
        <f t="shared" si="0"/>
        <v>45.5</v>
      </c>
      <c r="F60" s="318">
        <v>44208</v>
      </c>
      <c r="G60" s="131">
        <f t="shared" si="1"/>
        <v>12</v>
      </c>
      <c r="H60" s="131">
        <f t="shared" si="2"/>
        <v>57.5</v>
      </c>
      <c r="I60" s="405">
        <v>1736</v>
      </c>
      <c r="J60" s="407">
        <f t="shared" si="3"/>
        <v>99820</v>
      </c>
    </row>
    <row r="61" spans="1:10">
      <c r="A61" s="23">
        <f t="shared" si="5"/>
        <v>32</v>
      </c>
      <c r="B61" s="394" t="s">
        <v>499</v>
      </c>
      <c r="C61" s="318">
        <v>44105</v>
      </c>
      <c r="D61" s="318">
        <v>44196</v>
      </c>
      <c r="E61" s="58">
        <f t="shared" si="0"/>
        <v>45.5</v>
      </c>
      <c r="F61" s="318">
        <v>44208</v>
      </c>
      <c r="G61" s="131">
        <f t="shared" si="1"/>
        <v>12</v>
      </c>
      <c r="H61" s="131">
        <f t="shared" si="2"/>
        <v>57.5</v>
      </c>
      <c r="I61" s="405">
        <v>33292</v>
      </c>
      <c r="J61" s="407">
        <f t="shared" si="3"/>
        <v>1914290</v>
      </c>
    </row>
    <row r="62" spans="1:10">
      <c r="A62" s="23">
        <f t="shared" si="5"/>
        <v>33</v>
      </c>
      <c r="B62" s="394" t="s">
        <v>564</v>
      </c>
      <c r="C62" s="318">
        <v>44105</v>
      </c>
      <c r="D62" s="318">
        <v>44196</v>
      </c>
      <c r="E62" s="58">
        <f t="shared" si="0"/>
        <v>45.5</v>
      </c>
      <c r="F62" s="318">
        <v>44208</v>
      </c>
      <c r="G62" s="131">
        <f t="shared" si="1"/>
        <v>12</v>
      </c>
      <c r="H62" s="131">
        <f t="shared" si="2"/>
        <v>57.5</v>
      </c>
      <c r="I62" s="405">
        <v>16392</v>
      </c>
      <c r="J62" s="407">
        <f t="shared" si="3"/>
        <v>942540</v>
      </c>
    </row>
    <row r="63" spans="1:10">
      <c r="A63" s="23">
        <f t="shared" si="5"/>
        <v>34</v>
      </c>
      <c r="B63" s="394"/>
      <c r="C63" s="318"/>
      <c r="D63" s="318"/>
      <c r="E63" s="58"/>
      <c r="F63" s="318"/>
      <c r="G63" s="131"/>
      <c r="H63" s="131"/>
      <c r="I63" s="405"/>
      <c r="J63" s="407"/>
    </row>
    <row r="64" spans="1:10">
      <c r="A64" s="23">
        <f t="shared" si="5"/>
        <v>35</v>
      </c>
      <c r="B64" s="394"/>
      <c r="C64" s="318"/>
      <c r="D64" s="318"/>
      <c r="E64" s="58"/>
      <c r="F64" s="318"/>
      <c r="G64" s="131"/>
      <c r="H64" s="131"/>
      <c r="I64" s="405"/>
      <c r="J64" s="407"/>
    </row>
    <row r="65" spans="1:10">
      <c r="A65" s="23">
        <f t="shared" si="5"/>
        <v>36</v>
      </c>
      <c r="B65" s="394"/>
      <c r="C65" s="318"/>
      <c r="D65" s="318"/>
      <c r="E65" s="58"/>
      <c r="F65" s="318"/>
      <c r="G65" s="131"/>
      <c r="H65" s="131"/>
      <c r="I65" s="405"/>
      <c r="J65" s="407"/>
    </row>
    <row r="66" spans="1:10">
      <c r="A66" s="23">
        <f>A48+1</f>
        <v>37</v>
      </c>
      <c r="B66" s="394"/>
      <c r="C66" s="318"/>
      <c r="D66" s="318"/>
      <c r="E66" s="58"/>
      <c r="F66" s="318"/>
      <c r="G66" s="131"/>
      <c r="H66" s="131"/>
      <c r="I66" s="405"/>
      <c r="J66" s="407"/>
    </row>
    <row r="67" spans="1:10">
      <c r="A67" s="23"/>
      <c r="C67" s="31"/>
      <c r="D67" s="31"/>
      <c r="E67" s="31"/>
      <c r="F67" s="390"/>
      <c r="G67" s="27"/>
      <c r="H67" s="27"/>
      <c r="I67" s="391"/>
      <c r="J67" s="26"/>
    </row>
    <row r="68" spans="1:10" ht="18.75" thickBot="1">
      <c r="A68" s="23">
        <f>A66+1</f>
        <v>38</v>
      </c>
      <c r="B68" s="31" t="s">
        <v>356</v>
      </c>
      <c r="C68" s="31"/>
      <c r="D68" s="340"/>
      <c r="E68" s="31"/>
      <c r="F68" s="31"/>
      <c r="G68" s="73"/>
      <c r="H68" s="169">
        <f>IF(I68=0,0,J68/I68)</f>
        <v>55.621147613835767</v>
      </c>
      <c r="I68" s="392">
        <f>SUM(I13:I66)</f>
        <v>440708.35</v>
      </c>
      <c r="J68" s="392">
        <f>SUM(J13:J66)</f>
        <v>24512704.189999998</v>
      </c>
    </row>
    <row r="69" spans="1:10" ht="15.75" thickTop="1">
      <c r="A69" s="27"/>
      <c r="C69" s="27"/>
      <c r="D69" s="27"/>
      <c r="E69" s="27"/>
      <c r="F69" s="27"/>
      <c r="G69" s="27"/>
      <c r="H69" s="27"/>
      <c r="I69" s="27"/>
      <c r="J69" s="27"/>
    </row>
    <row r="70" spans="1:10">
      <c r="A70" s="338" t="s">
        <v>611</v>
      </c>
    </row>
    <row r="71" spans="1:10">
      <c r="A71" s="338" t="s">
        <v>612</v>
      </c>
    </row>
    <row r="74" spans="1:10">
      <c r="B74" s="393" t="s">
        <v>603</v>
      </c>
      <c r="C74" s="388">
        <v>464257</v>
      </c>
    </row>
  </sheetData>
  <mergeCells count="4">
    <mergeCell ref="A2:J2"/>
    <mergeCell ref="A3:J3"/>
    <mergeCell ref="A4:J4"/>
    <mergeCell ref="A5:J5"/>
  </mergeCells>
  <printOptions horizontalCentered="1"/>
  <pageMargins left="0.7" right="0.7" top="0.75" bottom="0.75" header="0.3" footer="0.3"/>
  <pageSetup scale="64" fitToHeight="0" orientation="landscape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0">
    <tabColor theme="4" tint="0.39997558519241921"/>
    <pageSetUpPr fitToPage="1"/>
  </sheetPr>
  <dimension ref="A1:I90"/>
  <sheetViews>
    <sheetView showGridLines="0" zoomScale="85" zoomScaleNormal="85" workbookViewId="0"/>
  </sheetViews>
  <sheetFormatPr defaultColWidth="8.88671875" defaultRowHeight="15"/>
  <cols>
    <col min="1" max="1" width="9" style="16" bestFit="1" customWidth="1"/>
    <col min="2" max="3" width="12.77734375" style="16" customWidth="1"/>
    <col min="4" max="4" width="13.77734375" style="16" customWidth="1"/>
    <col min="5" max="5" width="9.5546875" style="16" customWidth="1"/>
    <col min="6" max="6" width="10.109375" style="16" customWidth="1"/>
    <col min="7" max="7" width="11.77734375" style="16" customWidth="1"/>
    <col min="8" max="8" width="9.88671875" style="16" bestFit="1" customWidth="1"/>
    <col min="9" max="16384" width="8.88671875" style="16"/>
  </cols>
  <sheetData>
    <row r="1" spans="1:7" ht="15.75">
      <c r="D1" s="251" t="s">
        <v>323</v>
      </c>
    </row>
    <row r="2" spans="1:7" ht="15.75">
      <c r="A2" s="434" t="str">
        <f>'General Inputs'!$B$2</f>
        <v>Delta Natural Gas Company</v>
      </c>
      <c r="B2" s="434"/>
      <c r="C2" s="434"/>
      <c r="D2" s="434"/>
      <c r="E2" s="434"/>
      <c r="F2" s="434"/>
      <c r="G2" s="434"/>
    </row>
    <row r="3" spans="1:7" ht="15.75">
      <c r="A3" s="434" t="str">
        <f>'General Inputs'!$D$34&amp;" "&amp;'General Inputs'!$E$34</f>
        <v>Case No. 2021-00185</v>
      </c>
      <c r="B3" s="434"/>
      <c r="C3" s="434"/>
      <c r="D3" s="434"/>
      <c r="E3" s="434"/>
      <c r="F3" s="434"/>
      <c r="G3" s="434"/>
    </row>
    <row r="4" spans="1:7" ht="15.75">
      <c r="A4" s="434" t="str">
        <f>"For the Test Year Ended "&amp;TEXT('General Inputs'!E28,"Mmmm dd, yyyy")</f>
        <v>For the Test Year Ended December 31, 2020</v>
      </c>
      <c r="B4" s="434"/>
      <c r="C4" s="434"/>
      <c r="D4" s="434"/>
      <c r="E4" s="434"/>
      <c r="F4" s="434"/>
      <c r="G4" s="434"/>
    </row>
    <row r="5" spans="1:7" ht="16.5" thickBot="1">
      <c r="A5" s="435" t="s">
        <v>86</v>
      </c>
      <c r="B5" s="435"/>
      <c r="C5" s="435"/>
      <c r="D5" s="435"/>
      <c r="E5" s="435"/>
      <c r="F5" s="435"/>
      <c r="G5" s="435"/>
    </row>
    <row r="8" spans="1:7" ht="15.75">
      <c r="D8" s="55"/>
      <c r="E8" s="18" t="s">
        <v>19</v>
      </c>
    </row>
    <row r="9" spans="1:7" ht="15.75">
      <c r="A9" s="18" t="s">
        <v>29</v>
      </c>
      <c r="B9" s="55" t="s">
        <v>79</v>
      </c>
      <c r="C9" s="18" t="s">
        <v>39</v>
      </c>
      <c r="D9" s="55" t="s">
        <v>185</v>
      </c>
      <c r="E9" s="18" t="s">
        <v>30</v>
      </c>
      <c r="F9" s="18" t="s">
        <v>15</v>
      </c>
      <c r="G9" s="18" t="s">
        <v>28</v>
      </c>
    </row>
    <row r="10" spans="1:7" ht="20.25">
      <c r="A10" s="185" t="s">
        <v>24</v>
      </c>
      <c r="B10" s="192" t="s">
        <v>41</v>
      </c>
      <c r="C10" s="194" t="s">
        <v>40</v>
      </c>
      <c r="D10" s="192" t="s">
        <v>150</v>
      </c>
      <c r="E10" s="185" t="s">
        <v>33</v>
      </c>
      <c r="F10" s="185" t="s">
        <v>31</v>
      </c>
      <c r="G10" s="185" t="s">
        <v>71</v>
      </c>
    </row>
    <row r="11" spans="1:7" ht="15.75">
      <c r="A11" s="18"/>
      <c r="B11" s="18" t="s">
        <v>34</v>
      </c>
      <c r="C11" s="18" t="s">
        <v>35</v>
      </c>
      <c r="D11" s="18" t="s">
        <v>141</v>
      </c>
      <c r="E11" s="18" t="s">
        <v>42</v>
      </c>
      <c r="F11" s="36" t="s">
        <v>43</v>
      </c>
      <c r="G11" s="18" t="s">
        <v>44</v>
      </c>
    </row>
    <row r="13" spans="1:7" ht="15.75">
      <c r="B13" s="103" t="s">
        <v>126</v>
      </c>
      <c r="D13" s="103"/>
    </row>
    <row r="14" spans="1:7">
      <c r="A14" s="23">
        <v>1</v>
      </c>
      <c r="B14" s="92"/>
      <c r="C14" s="92"/>
      <c r="D14" s="129">
        <f>DAY(B14)/2</f>
        <v>0</v>
      </c>
      <c r="E14" s="25" t="str">
        <f>IF(C14="","",C14-B14+D14)</f>
        <v/>
      </c>
      <c r="F14" s="88"/>
      <c r="G14" s="69">
        <f>IF(E14="",0,ROUND(E14*F14,2))</f>
        <v>0</v>
      </c>
    </row>
    <row r="15" spans="1:7">
      <c r="A15" s="23">
        <f>A14+1</f>
        <v>2</v>
      </c>
      <c r="B15" s="92"/>
      <c r="C15" s="92"/>
      <c r="D15" s="129">
        <f t="shared" ref="D15:D16" si="0">DAY(B15)/2</f>
        <v>0</v>
      </c>
      <c r="E15" s="25" t="str">
        <f>IF(C15="","",C15-B15+D15)</f>
        <v/>
      </c>
      <c r="F15" s="89"/>
      <c r="G15" s="69">
        <f>IF(E15="",0,ROUND(E15*F15,2))</f>
        <v>0</v>
      </c>
    </row>
    <row r="16" spans="1:7">
      <c r="A16" s="23">
        <f>A15+1</f>
        <v>3</v>
      </c>
      <c r="B16" s="92"/>
      <c r="C16" s="92"/>
      <c r="D16" s="129">
        <f t="shared" si="0"/>
        <v>0</v>
      </c>
      <c r="E16" s="25" t="str">
        <f>IF(C16="","",C16-B16+D16)</f>
        <v/>
      </c>
      <c r="F16" s="89"/>
      <c r="G16" s="69">
        <f>IF(E16="",0,ROUND(E16*F16,2))</f>
        <v>0</v>
      </c>
    </row>
    <row r="17" spans="1:7" s="107" customFormat="1">
      <c r="A17" s="123"/>
      <c r="B17" s="91"/>
      <c r="C17" s="124"/>
      <c r="D17" s="91"/>
      <c r="E17" s="125"/>
      <c r="F17" s="126"/>
      <c r="G17" s="127"/>
    </row>
    <row r="18" spans="1:7" s="107" customFormat="1" ht="15.75">
      <c r="A18" s="123"/>
      <c r="B18" s="128" t="s">
        <v>127</v>
      </c>
      <c r="C18" s="124"/>
      <c r="D18" s="128"/>
      <c r="E18" s="125"/>
      <c r="F18" s="126"/>
      <c r="G18" s="127"/>
    </row>
    <row r="19" spans="1:7">
      <c r="A19" s="23">
        <f>A16+1</f>
        <v>4</v>
      </c>
      <c r="B19" s="92"/>
      <c r="C19" s="92"/>
      <c r="D19" s="129">
        <f t="shared" ref="D19:D21" si="1">DAY(B19)/2</f>
        <v>0</v>
      </c>
      <c r="E19" s="25" t="str">
        <f>IF(C19="","",C19-B19+D19)</f>
        <v/>
      </c>
      <c r="F19" s="89"/>
      <c r="G19" s="69">
        <f t="shared" ref="G19:G30" si="2">IF(E19="",0,ROUND(E19*F19,2))</f>
        <v>0</v>
      </c>
    </row>
    <row r="20" spans="1:7">
      <c r="A20" s="23">
        <f>A19+1</f>
        <v>5</v>
      </c>
      <c r="B20" s="92"/>
      <c r="C20" s="92"/>
      <c r="D20" s="129">
        <f t="shared" si="1"/>
        <v>0</v>
      </c>
      <c r="E20" s="25" t="str">
        <f>IF(C20="","",C20-B20+D20)</f>
        <v/>
      </c>
      <c r="F20" s="89"/>
      <c r="G20" s="69">
        <f t="shared" si="2"/>
        <v>0</v>
      </c>
    </row>
    <row r="21" spans="1:7">
      <c r="A21" s="23">
        <f>A20+1</f>
        <v>6</v>
      </c>
      <c r="B21" s="92"/>
      <c r="C21" s="92"/>
      <c r="D21" s="129">
        <f t="shared" si="1"/>
        <v>0</v>
      </c>
      <c r="E21" s="25" t="str">
        <f>IF(C21="","",C21-B21+D21)</f>
        <v/>
      </c>
      <c r="F21" s="89"/>
      <c r="G21" s="69">
        <f t="shared" si="2"/>
        <v>0</v>
      </c>
    </row>
    <row r="22" spans="1:7" s="107" customFormat="1">
      <c r="A22" s="123"/>
      <c r="B22" s="91"/>
      <c r="C22" s="124"/>
      <c r="D22" s="91"/>
      <c r="E22" s="125"/>
      <c r="F22" s="126"/>
      <c r="G22" s="127"/>
    </row>
    <row r="23" spans="1:7" s="107" customFormat="1" ht="15.75">
      <c r="A23" s="123"/>
      <c r="B23" s="128" t="s">
        <v>128</v>
      </c>
      <c r="C23" s="124"/>
      <c r="D23" s="128"/>
      <c r="E23" s="125"/>
      <c r="F23" s="126"/>
      <c r="G23" s="127"/>
    </row>
    <row r="24" spans="1:7">
      <c r="A24" s="23">
        <f>A21+1</f>
        <v>7</v>
      </c>
      <c r="B24" s="92"/>
      <c r="C24" s="92"/>
      <c r="D24" s="129">
        <f t="shared" ref="D24:D26" si="3">DAY(B24)/2</f>
        <v>0</v>
      </c>
      <c r="E24" s="25" t="str">
        <f>IF(C24="","",C24-B24+D24)</f>
        <v/>
      </c>
      <c r="F24" s="89"/>
      <c r="G24" s="69">
        <f t="shared" si="2"/>
        <v>0</v>
      </c>
    </row>
    <row r="25" spans="1:7">
      <c r="A25" s="23">
        <f>A24+1</f>
        <v>8</v>
      </c>
      <c r="B25" s="92"/>
      <c r="C25" s="92"/>
      <c r="D25" s="129">
        <f t="shared" si="3"/>
        <v>0</v>
      </c>
      <c r="E25" s="25" t="str">
        <f>IF(C25="","",C25-B25+D25)</f>
        <v/>
      </c>
      <c r="F25" s="89"/>
      <c r="G25" s="69">
        <f t="shared" si="2"/>
        <v>0</v>
      </c>
    </row>
    <row r="26" spans="1:7">
      <c r="A26" s="23">
        <f>A25+1</f>
        <v>9</v>
      </c>
      <c r="B26" s="92"/>
      <c r="C26" s="92"/>
      <c r="D26" s="129">
        <f t="shared" si="3"/>
        <v>0</v>
      </c>
      <c r="E26" s="25" t="str">
        <f>IF(C26="","",C26-B26+D26)</f>
        <v/>
      </c>
      <c r="F26" s="89"/>
      <c r="G26" s="69">
        <f t="shared" si="2"/>
        <v>0</v>
      </c>
    </row>
    <row r="27" spans="1:7" s="107" customFormat="1">
      <c r="A27" s="123"/>
      <c r="B27" s="91"/>
      <c r="C27" s="124"/>
      <c r="D27" s="91"/>
      <c r="E27" s="125"/>
      <c r="F27" s="126"/>
      <c r="G27" s="127"/>
    </row>
    <row r="28" spans="1:7" s="107" customFormat="1" ht="15.75">
      <c r="A28" s="123"/>
      <c r="B28" s="128" t="s">
        <v>129</v>
      </c>
      <c r="C28" s="124"/>
      <c r="D28" s="128"/>
      <c r="E28" s="125"/>
      <c r="F28" s="126"/>
      <c r="G28" s="127"/>
    </row>
    <row r="29" spans="1:7">
      <c r="A29" s="23">
        <f>A26+1</f>
        <v>10</v>
      </c>
      <c r="B29" s="92"/>
      <c r="C29" s="92"/>
      <c r="D29" s="129">
        <f t="shared" ref="D29:D31" si="4">DAY(B29)/2</f>
        <v>0</v>
      </c>
      <c r="E29" s="25" t="str">
        <f>IF(C29="","",C29-B29+D29)</f>
        <v/>
      </c>
      <c r="F29" s="89"/>
      <c r="G29" s="69">
        <f t="shared" si="2"/>
        <v>0</v>
      </c>
    </row>
    <row r="30" spans="1:7">
      <c r="A30" s="23">
        <f>A29+1</f>
        <v>11</v>
      </c>
      <c r="B30" s="92"/>
      <c r="C30" s="92"/>
      <c r="D30" s="129">
        <f t="shared" si="4"/>
        <v>0</v>
      </c>
      <c r="E30" s="25" t="str">
        <f>IF(C30="","",C30-B30+D30)</f>
        <v/>
      </c>
      <c r="F30" s="89"/>
      <c r="G30" s="69">
        <f t="shared" si="2"/>
        <v>0</v>
      </c>
    </row>
    <row r="31" spans="1:7">
      <c r="A31" s="23">
        <f>A30+1</f>
        <v>12</v>
      </c>
      <c r="B31" s="92"/>
      <c r="C31" s="92"/>
      <c r="D31" s="129">
        <f t="shared" si="4"/>
        <v>0</v>
      </c>
      <c r="E31" s="25" t="str">
        <f>IF(C31="","",C31-B31+D31)</f>
        <v/>
      </c>
      <c r="F31" s="89"/>
      <c r="G31" s="69">
        <f>IF(E31="",0,ROUND(E31*F31,2))</f>
        <v>0</v>
      </c>
    </row>
    <row r="32" spans="1:7" s="107" customFormat="1">
      <c r="A32" s="123"/>
      <c r="B32" s="91"/>
      <c r="C32" s="124"/>
      <c r="D32" s="91"/>
      <c r="E32" s="125"/>
      <c r="F32" s="126"/>
      <c r="G32" s="127"/>
    </row>
    <row r="33" spans="1:7" s="107" customFormat="1" ht="15.75">
      <c r="A33" s="123"/>
      <c r="B33" s="128" t="s">
        <v>137</v>
      </c>
      <c r="C33" s="124"/>
      <c r="D33" s="128"/>
      <c r="E33" s="125"/>
      <c r="F33" s="126"/>
      <c r="G33" s="127"/>
    </row>
    <row r="34" spans="1:7">
      <c r="A34" s="23">
        <f>A31+1</f>
        <v>13</v>
      </c>
      <c r="B34" s="92"/>
      <c r="C34" s="92"/>
      <c r="D34" s="129">
        <f t="shared" ref="D34:D36" si="5">DAY(B34)/2</f>
        <v>0</v>
      </c>
      <c r="E34" s="25" t="str">
        <f>IF(C34="","",C34-B34+D34)</f>
        <v/>
      </c>
      <c r="F34" s="89"/>
      <c r="G34" s="69">
        <f t="shared" ref="G34:G35" si="6">IF(E34="",0,ROUND(E34*F34,2))</f>
        <v>0</v>
      </c>
    </row>
    <row r="35" spans="1:7">
      <c r="A35" s="23">
        <f>A34+1</f>
        <v>14</v>
      </c>
      <c r="B35" s="92"/>
      <c r="C35" s="92"/>
      <c r="D35" s="129">
        <f t="shared" si="5"/>
        <v>0</v>
      </c>
      <c r="E35" s="25" t="str">
        <f>IF(C35="","",C35-B35+D35)</f>
        <v/>
      </c>
      <c r="F35" s="89"/>
      <c r="G35" s="69">
        <f t="shared" si="6"/>
        <v>0</v>
      </c>
    </row>
    <row r="36" spans="1:7">
      <c r="A36" s="23">
        <f>A35+1</f>
        <v>15</v>
      </c>
      <c r="B36" s="92"/>
      <c r="C36" s="92"/>
      <c r="D36" s="129">
        <f t="shared" si="5"/>
        <v>0</v>
      </c>
      <c r="E36" s="25" t="str">
        <f>IF(C36="","",C36-B36+D36)</f>
        <v/>
      </c>
      <c r="F36" s="89"/>
      <c r="G36" s="69">
        <f>IF(E36="",0,ROUND(E36*F36,2))</f>
        <v>0</v>
      </c>
    </row>
    <row r="37" spans="1:7" s="107" customFormat="1">
      <c r="A37" s="123"/>
      <c r="B37" s="91"/>
      <c r="C37" s="124"/>
      <c r="D37" s="91"/>
      <c r="E37" s="125"/>
      <c r="F37" s="126"/>
      <c r="G37" s="127"/>
    </row>
    <row r="38" spans="1:7" s="107" customFormat="1" ht="15.75">
      <c r="A38" s="123"/>
      <c r="B38" s="128" t="s">
        <v>130</v>
      </c>
      <c r="C38" s="124"/>
      <c r="D38" s="128"/>
      <c r="E38" s="125"/>
      <c r="F38" s="126"/>
      <c r="G38" s="127"/>
    </row>
    <row r="39" spans="1:7">
      <c r="A39" s="23">
        <f>A36+1</f>
        <v>16</v>
      </c>
      <c r="B39" s="92"/>
      <c r="C39" s="92"/>
      <c r="D39" s="129">
        <f t="shared" ref="D39:D41" si="7">DAY(B39)/2</f>
        <v>0</v>
      </c>
      <c r="E39" s="25" t="str">
        <f>IF(C39="","",C39-B39+D39)</f>
        <v/>
      </c>
      <c r="F39" s="89"/>
      <c r="G39" s="69">
        <f t="shared" ref="G39:G40" si="8">IF(E39="",0,ROUND(E39*F39,2))</f>
        <v>0</v>
      </c>
    </row>
    <row r="40" spans="1:7">
      <c r="A40" s="23">
        <f>A39+1</f>
        <v>17</v>
      </c>
      <c r="B40" s="92"/>
      <c r="C40" s="92"/>
      <c r="D40" s="129">
        <f t="shared" si="7"/>
        <v>0</v>
      </c>
      <c r="E40" s="25" t="str">
        <f>IF(C40="","",C40-B40+D40)</f>
        <v/>
      </c>
      <c r="F40" s="89"/>
      <c r="G40" s="69">
        <f t="shared" si="8"/>
        <v>0</v>
      </c>
    </row>
    <row r="41" spans="1:7">
      <c r="A41" s="23">
        <f>A40+1</f>
        <v>18</v>
      </c>
      <c r="B41" s="92"/>
      <c r="C41" s="92"/>
      <c r="D41" s="129">
        <f t="shared" si="7"/>
        <v>0</v>
      </c>
      <c r="E41" s="25" t="str">
        <f>IF(C41="","",C41-B41+D41)</f>
        <v/>
      </c>
      <c r="F41" s="89"/>
      <c r="G41" s="69">
        <f>IF(E41="",0,ROUND(E41*F41,2))</f>
        <v>0</v>
      </c>
    </row>
    <row r="42" spans="1:7" s="107" customFormat="1">
      <c r="A42" s="123"/>
      <c r="B42" s="91"/>
      <c r="C42" s="124"/>
      <c r="D42" s="91"/>
      <c r="E42" s="125"/>
      <c r="F42" s="126"/>
      <c r="G42" s="127"/>
    </row>
    <row r="43" spans="1:7" s="107" customFormat="1" ht="15.75">
      <c r="A43" s="123"/>
      <c r="B43" s="128" t="s">
        <v>131</v>
      </c>
      <c r="C43" s="124"/>
      <c r="D43" s="128"/>
      <c r="E43" s="125"/>
      <c r="F43" s="126"/>
      <c r="G43" s="127"/>
    </row>
    <row r="44" spans="1:7">
      <c r="A44" s="23">
        <f>A41+1</f>
        <v>19</v>
      </c>
      <c r="B44" s="92"/>
      <c r="C44" s="92"/>
      <c r="D44" s="129">
        <f t="shared" ref="D44:D46" si="9">DAY(B44)/2</f>
        <v>0</v>
      </c>
      <c r="E44" s="25" t="str">
        <f>IF(C44="","",C44-B44+D44)</f>
        <v/>
      </c>
      <c r="F44" s="89"/>
      <c r="G44" s="69">
        <f t="shared" ref="G44:G45" si="10">IF(E44="",0,ROUND(E44*F44,2))</f>
        <v>0</v>
      </c>
    </row>
    <row r="45" spans="1:7">
      <c r="A45" s="23">
        <f>A44+1</f>
        <v>20</v>
      </c>
      <c r="B45" s="92"/>
      <c r="C45" s="92"/>
      <c r="D45" s="129">
        <f t="shared" si="9"/>
        <v>0</v>
      </c>
      <c r="E45" s="25" t="str">
        <f>IF(C45="","",C45-B45+D45)</f>
        <v/>
      </c>
      <c r="F45" s="89"/>
      <c r="G45" s="69">
        <f t="shared" si="10"/>
        <v>0</v>
      </c>
    </row>
    <row r="46" spans="1:7">
      <c r="A46" s="23">
        <f>A45+1</f>
        <v>21</v>
      </c>
      <c r="B46" s="92"/>
      <c r="C46" s="92"/>
      <c r="D46" s="129">
        <f t="shared" si="9"/>
        <v>0</v>
      </c>
      <c r="E46" s="25" t="str">
        <f>IF(C46="","",C46-B46+D46)</f>
        <v/>
      </c>
      <c r="F46" s="89"/>
      <c r="G46" s="69">
        <f>IF(E46="",0,ROUND(E46*F46,2))</f>
        <v>0</v>
      </c>
    </row>
    <row r="47" spans="1:7" s="107" customFormat="1">
      <c r="A47" s="123"/>
      <c r="B47" s="91"/>
      <c r="C47" s="124"/>
      <c r="D47" s="91"/>
      <c r="E47" s="125"/>
      <c r="F47" s="126"/>
      <c r="G47" s="127"/>
    </row>
    <row r="48" spans="1:7" s="107" customFormat="1" ht="15.75">
      <c r="A48" s="123"/>
      <c r="B48" s="128" t="s">
        <v>132</v>
      </c>
      <c r="C48" s="124"/>
      <c r="D48" s="128"/>
      <c r="E48" s="125"/>
      <c r="F48" s="126"/>
      <c r="G48" s="127"/>
    </row>
    <row r="49" spans="1:9">
      <c r="A49" s="23">
        <f>A46+1</f>
        <v>22</v>
      </c>
      <c r="B49" s="92"/>
      <c r="C49" s="92"/>
      <c r="D49" s="129">
        <f t="shared" ref="D49:D51" si="11">DAY(B49)/2</f>
        <v>0</v>
      </c>
      <c r="E49" s="25" t="str">
        <f>IF(C49="","",C49-B49+D49)</f>
        <v/>
      </c>
      <c r="F49" s="89"/>
      <c r="G49" s="69">
        <f t="shared" ref="G49:G50" si="12">IF(E49="",0,ROUND(E49*F49,2))</f>
        <v>0</v>
      </c>
    </row>
    <row r="50" spans="1:9">
      <c r="A50" s="23">
        <f>A49+1</f>
        <v>23</v>
      </c>
      <c r="B50" s="92"/>
      <c r="C50" s="92"/>
      <c r="D50" s="129">
        <f t="shared" si="11"/>
        <v>0</v>
      </c>
      <c r="E50" s="25" t="str">
        <f>IF(C50="","",C50-B50+D50)</f>
        <v/>
      </c>
      <c r="F50" s="89"/>
      <c r="G50" s="69">
        <f t="shared" si="12"/>
        <v>0</v>
      </c>
    </row>
    <row r="51" spans="1:9">
      <c r="A51" s="23">
        <f>A50+1</f>
        <v>24</v>
      </c>
      <c r="B51" s="92"/>
      <c r="C51" s="92"/>
      <c r="D51" s="129">
        <f t="shared" si="11"/>
        <v>0</v>
      </c>
      <c r="E51" s="25" t="str">
        <f>IF(C51="","",C51-B51+D51)</f>
        <v/>
      </c>
      <c r="F51" s="89"/>
      <c r="G51" s="69">
        <f>IF(E51="",0,ROUND(E51*F51,2))</f>
        <v>0</v>
      </c>
    </row>
    <row r="52" spans="1:9" s="107" customFormat="1">
      <c r="A52" s="123"/>
      <c r="B52" s="91"/>
      <c r="C52" s="124"/>
      <c r="D52" s="91"/>
      <c r="E52" s="125"/>
      <c r="F52" s="126"/>
      <c r="G52" s="127"/>
    </row>
    <row r="53" spans="1:9" s="107" customFormat="1" ht="15.75">
      <c r="A53" s="123"/>
      <c r="B53" s="128" t="s">
        <v>133</v>
      </c>
      <c r="C53" s="124"/>
      <c r="D53" s="128"/>
      <c r="E53" s="125"/>
      <c r="F53" s="126"/>
      <c r="G53" s="127"/>
    </row>
    <row r="54" spans="1:9">
      <c r="A54" s="23">
        <f>A51+1</f>
        <v>25</v>
      </c>
      <c r="B54" s="92"/>
      <c r="C54" s="92"/>
      <c r="D54" s="129">
        <f t="shared" ref="D54:D56" si="13">DAY(B54)/2</f>
        <v>0</v>
      </c>
      <c r="E54" s="25" t="str">
        <f>IF(C54="","",C54-B54+D54)</f>
        <v/>
      </c>
      <c r="F54" s="89"/>
      <c r="G54" s="69">
        <f t="shared" ref="G54:G55" si="14">IF(E54="",0,ROUND(E54*F54,2))</f>
        <v>0</v>
      </c>
    </row>
    <row r="55" spans="1:9">
      <c r="A55" s="23">
        <f>A54+1</f>
        <v>26</v>
      </c>
      <c r="B55" s="92"/>
      <c r="C55" s="92"/>
      <c r="D55" s="129">
        <f t="shared" si="13"/>
        <v>0</v>
      </c>
      <c r="E55" s="25" t="str">
        <f>IF(C55="","",C55-B55+D55)</f>
        <v/>
      </c>
      <c r="F55" s="89"/>
      <c r="G55" s="69">
        <f t="shared" si="14"/>
        <v>0</v>
      </c>
    </row>
    <row r="56" spans="1:9">
      <c r="A56" s="23">
        <f>A55+1</f>
        <v>27</v>
      </c>
      <c r="B56" s="92"/>
      <c r="C56" s="92"/>
      <c r="D56" s="129">
        <f t="shared" si="13"/>
        <v>0</v>
      </c>
      <c r="E56" s="25" t="str">
        <f>IF(C56="","",C56-B56+D56)</f>
        <v/>
      </c>
      <c r="F56" s="89"/>
      <c r="G56" s="69">
        <f>IF(E56="",0,ROUND(E56*F56,2))</f>
        <v>0</v>
      </c>
      <c r="H56" s="91"/>
      <c r="I56" s="91"/>
    </row>
    <row r="57" spans="1:9" s="107" customFormat="1">
      <c r="A57" s="123"/>
      <c r="B57" s="91"/>
      <c r="C57" s="124"/>
      <c r="D57" s="91"/>
      <c r="E57" s="125"/>
      <c r="F57" s="126"/>
      <c r="G57" s="127"/>
      <c r="H57" s="91"/>
      <c r="I57" s="91"/>
    </row>
    <row r="58" spans="1:9" s="107" customFormat="1" ht="15.75">
      <c r="A58" s="123"/>
      <c r="B58" s="128" t="s">
        <v>134</v>
      </c>
      <c r="C58" s="124"/>
      <c r="D58" s="128"/>
      <c r="E58" s="125"/>
      <c r="F58" s="126"/>
      <c r="G58" s="127"/>
      <c r="H58" s="91"/>
      <c r="I58" s="91"/>
    </row>
    <row r="59" spans="1:9">
      <c r="A59" s="23">
        <f>A56+1</f>
        <v>28</v>
      </c>
      <c r="B59" s="92"/>
      <c r="C59" s="92"/>
      <c r="D59" s="129">
        <f t="shared" ref="D59:D61" si="15">DAY(B59)/2</f>
        <v>0</v>
      </c>
      <c r="E59" s="25" t="str">
        <f>IF(C59="","",C59-B59+D59)</f>
        <v/>
      </c>
      <c r="F59" s="89"/>
      <c r="G59" s="69">
        <f t="shared" ref="G59:G60" si="16">IF(E59="",0,ROUND(E59*F59,2))</f>
        <v>0</v>
      </c>
    </row>
    <row r="60" spans="1:9">
      <c r="A60" s="23">
        <f>A59+1</f>
        <v>29</v>
      </c>
      <c r="B60" s="92"/>
      <c r="C60" s="92"/>
      <c r="D60" s="129">
        <f t="shared" si="15"/>
        <v>0</v>
      </c>
      <c r="E60" s="25" t="str">
        <f>IF(C60="","",C60-B60+D60)</f>
        <v/>
      </c>
      <c r="F60" s="89"/>
      <c r="G60" s="69">
        <f t="shared" si="16"/>
        <v>0</v>
      </c>
    </row>
    <row r="61" spans="1:9">
      <c r="A61" s="23">
        <f>A60+1</f>
        <v>30</v>
      </c>
      <c r="B61" s="92"/>
      <c r="C61" s="92"/>
      <c r="D61" s="129">
        <f t="shared" si="15"/>
        <v>0</v>
      </c>
      <c r="E61" s="25" t="str">
        <f>IF(C61="","",C61-B61+D61)</f>
        <v/>
      </c>
      <c r="F61" s="89"/>
      <c r="G61" s="69">
        <f>IF(E61="",0,ROUND(E61*F61,2))</f>
        <v>0</v>
      </c>
    </row>
    <row r="62" spans="1:9" s="107" customFormat="1">
      <c r="A62" s="123"/>
      <c r="B62" s="91"/>
      <c r="C62" s="124"/>
      <c r="D62" s="91"/>
      <c r="E62" s="125"/>
      <c r="F62" s="126"/>
      <c r="G62" s="127"/>
    </row>
    <row r="63" spans="1:9" s="107" customFormat="1" ht="15.75">
      <c r="A63" s="123"/>
      <c r="B63" s="128" t="s">
        <v>135</v>
      </c>
      <c r="C63" s="124"/>
      <c r="D63" s="128"/>
      <c r="E63" s="125"/>
      <c r="F63" s="126"/>
      <c r="G63" s="127"/>
    </row>
    <row r="64" spans="1:9">
      <c r="A64" s="23">
        <f>A61+1</f>
        <v>31</v>
      </c>
      <c r="B64" s="92"/>
      <c r="C64" s="92"/>
      <c r="D64" s="129">
        <f t="shared" ref="D64:D66" si="17">DAY(B64)/2</f>
        <v>0</v>
      </c>
      <c r="E64" s="25" t="str">
        <f>IF(C64="","",C64-B64+D64)</f>
        <v/>
      </c>
      <c r="F64" s="89"/>
      <c r="G64" s="69">
        <f t="shared" ref="G64:G65" si="18">IF(E64="",0,ROUND(E64*F64,2))</f>
        <v>0</v>
      </c>
    </row>
    <row r="65" spans="1:7">
      <c r="A65" s="23">
        <f>A64+1</f>
        <v>32</v>
      </c>
      <c r="B65" s="92"/>
      <c r="C65" s="92"/>
      <c r="D65" s="129">
        <f t="shared" si="17"/>
        <v>0</v>
      </c>
      <c r="E65" s="25" t="str">
        <f>IF(C65="","",C65-B65+D65)</f>
        <v/>
      </c>
      <c r="F65" s="89"/>
      <c r="G65" s="69">
        <f t="shared" si="18"/>
        <v>0</v>
      </c>
    </row>
    <row r="66" spans="1:7">
      <c r="A66" s="23">
        <f>A65+1</f>
        <v>33</v>
      </c>
      <c r="B66" s="92"/>
      <c r="C66" s="92"/>
      <c r="D66" s="129">
        <f t="shared" si="17"/>
        <v>0</v>
      </c>
      <c r="E66" s="25" t="str">
        <f>IF(C66="","",C66-B66+D66)</f>
        <v/>
      </c>
      <c r="F66" s="89"/>
      <c r="G66" s="69">
        <f>IF(E66="",0,ROUND(E66*F66,2))</f>
        <v>0</v>
      </c>
    </row>
    <row r="67" spans="1:7" s="107" customFormat="1">
      <c r="A67" s="123"/>
      <c r="B67" s="91"/>
      <c r="C67" s="124"/>
      <c r="D67" s="91"/>
      <c r="E67" s="125"/>
      <c r="F67" s="126"/>
      <c r="G67" s="127"/>
    </row>
    <row r="68" spans="1:7" s="107" customFormat="1" ht="15.75">
      <c r="A68" s="123"/>
      <c r="B68" s="128" t="s">
        <v>136</v>
      </c>
      <c r="C68" s="124"/>
      <c r="D68" s="128"/>
      <c r="E68" s="125"/>
      <c r="F68" s="126"/>
      <c r="G68" s="127"/>
    </row>
    <row r="69" spans="1:7">
      <c r="A69" s="23">
        <f>A66+1</f>
        <v>34</v>
      </c>
      <c r="B69" s="92"/>
      <c r="C69" s="92"/>
      <c r="D69" s="129">
        <f t="shared" ref="D69:D71" si="19">DAY(B69)/2</f>
        <v>0</v>
      </c>
      <c r="E69" s="25" t="str">
        <f>IF(C69="","",C69-B69+D69)</f>
        <v/>
      </c>
      <c r="F69" s="89"/>
      <c r="G69" s="69">
        <f t="shared" ref="G69:G70" si="20">IF(E69="",0,ROUND(E69*F69,2))</f>
        <v>0</v>
      </c>
    </row>
    <row r="70" spans="1:7">
      <c r="A70" s="23">
        <f>A69+1</f>
        <v>35</v>
      </c>
      <c r="B70" s="92"/>
      <c r="C70" s="92"/>
      <c r="D70" s="129">
        <f t="shared" si="19"/>
        <v>0</v>
      </c>
      <c r="E70" s="25" t="str">
        <f>IF(C70="","",C70-B70+D70)</f>
        <v/>
      </c>
      <c r="F70" s="89"/>
      <c r="G70" s="69">
        <f t="shared" si="20"/>
        <v>0</v>
      </c>
    </row>
    <row r="71" spans="1:7">
      <c r="A71" s="23">
        <f>A70+1</f>
        <v>36</v>
      </c>
      <c r="B71" s="92"/>
      <c r="C71" s="92"/>
      <c r="D71" s="129">
        <f t="shared" si="19"/>
        <v>0</v>
      </c>
      <c r="E71" s="25" t="str">
        <f>IF(C71="","",C71-B71+D71)</f>
        <v/>
      </c>
      <c r="F71" s="89"/>
      <c r="G71" s="69">
        <f>IF(E71="",0,ROUND(E71*F71,2))</f>
        <v>0</v>
      </c>
    </row>
    <row r="72" spans="1:7" s="107" customFormat="1">
      <c r="A72" s="123"/>
      <c r="B72" s="91"/>
      <c r="C72" s="124"/>
      <c r="D72" s="91"/>
      <c r="E72" s="125"/>
      <c r="F72" s="126"/>
      <c r="G72" s="127"/>
    </row>
    <row r="73" spans="1:7" s="107" customFormat="1" ht="15.75">
      <c r="A73" s="123"/>
      <c r="B73" s="128" t="s">
        <v>138</v>
      </c>
      <c r="C73" s="124"/>
      <c r="D73" s="128"/>
      <c r="E73" s="125"/>
      <c r="F73" s="126"/>
      <c r="G73" s="127"/>
    </row>
    <row r="74" spans="1:7">
      <c r="A74" s="23">
        <f>A71+1</f>
        <v>37</v>
      </c>
      <c r="B74" s="92"/>
      <c r="C74" s="92"/>
      <c r="D74" s="129">
        <f t="shared" ref="D74:D76" si="21">DAY(B74)/2</f>
        <v>0</v>
      </c>
      <c r="E74" s="25" t="str">
        <f>IF(C74="","",C74-B74+D74)</f>
        <v/>
      </c>
      <c r="F74" s="89"/>
      <c r="G74" s="69">
        <f t="shared" ref="G74:G75" si="22">IF(E74="",0,ROUND(E74*F74,2))</f>
        <v>0</v>
      </c>
    </row>
    <row r="75" spans="1:7">
      <c r="A75" s="23">
        <f>A74+1</f>
        <v>38</v>
      </c>
      <c r="B75" s="92"/>
      <c r="C75" s="92"/>
      <c r="D75" s="129">
        <f t="shared" si="21"/>
        <v>0</v>
      </c>
      <c r="E75" s="25" t="str">
        <f>IF(C75="","",C75-B75+D75)</f>
        <v/>
      </c>
      <c r="F75" s="89"/>
      <c r="G75" s="69">
        <f t="shared" si="22"/>
        <v>0</v>
      </c>
    </row>
    <row r="76" spans="1:7">
      <c r="A76" s="23">
        <f>A75+1</f>
        <v>39</v>
      </c>
      <c r="B76" s="92"/>
      <c r="C76" s="92"/>
      <c r="D76" s="129">
        <f t="shared" si="21"/>
        <v>0</v>
      </c>
      <c r="E76" s="25" t="str">
        <f>IF(C76="","",C76-B76+D76)</f>
        <v/>
      </c>
      <c r="F76" s="89"/>
      <c r="G76" s="69">
        <f>IF(E76="",0,ROUND(E76*F76,2))</f>
        <v>0</v>
      </c>
    </row>
    <row r="77" spans="1:7" s="107" customFormat="1">
      <c r="A77" s="123"/>
      <c r="B77" s="91"/>
      <c r="C77" s="124"/>
      <c r="D77" s="91"/>
      <c r="E77" s="125"/>
      <c r="F77" s="126"/>
      <c r="G77" s="127"/>
    </row>
    <row r="78" spans="1:7" s="107" customFormat="1" ht="15.75">
      <c r="A78" s="123"/>
      <c r="B78" s="128" t="s">
        <v>139</v>
      </c>
      <c r="C78" s="124"/>
      <c r="D78" s="128"/>
      <c r="E78" s="125"/>
      <c r="F78" s="126"/>
      <c r="G78" s="127"/>
    </row>
    <row r="79" spans="1:7">
      <c r="A79" s="23">
        <f>A76+1</f>
        <v>40</v>
      </c>
      <c r="B79" s="92"/>
      <c r="C79" s="92"/>
      <c r="D79" s="129">
        <f t="shared" ref="D79:D81" si="23">DAY(B79)/2</f>
        <v>0</v>
      </c>
      <c r="E79" s="25" t="str">
        <f>IF(C79="","",C79-B79+D79)</f>
        <v/>
      </c>
      <c r="F79" s="89"/>
      <c r="G79" s="69">
        <f t="shared" ref="G79:G80" si="24">IF(E79="",0,ROUND(E79*F79,2))</f>
        <v>0</v>
      </c>
    </row>
    <row r="80" spans="1:7">
      <c r="A80" s="23">
        <f>A79+1</f>
        <v>41</v>
      </c>
      <c r="B80" s="92"/>
      <c r="C80" s="92"/>
      <c r="D80" s="129">
        <f t="shared" si="23"/>
        <v>0</v>
      </c>
      <c r="E80" s="25" t="str">
        <f>IF(C80="","",C80-B80+D80)</f>
        <v/>
      </c>
      <c r="F80" s="89"/>
      <c r="G80" s="69">
        <f t="shared" si="24"/>
        <v>0</v>
      </c>
    </row>
    <row r="81" spans="1:7">
      <c r="A81" s="23">
        <f>A80+1</f>
        <v>42</v>
      </c>
      <c r="B81" s="92"/>
      <c r="C81" s="92"/>
      <c r="D81" s="129">
        <f t="shared" si="23"/>
        <v>0</v>
      </c>
      <c r="E81" s="25" t="str">
        <f>IF(C81="","",C81-B81+D81)</f>
        <v/>
      </c>
      <c r="F81" s="89"/>
      <c r="G81" s="69">
        <f>IF(E81="",0,ROUND(E81*F81,2))</f>
        <v>0</v>
      </c>
    </row>
    <row r="82" spans="1:7">
      <c r="A82" s="23"/>
      <c r="B82" s="27"/>
      <c r="C82" s="27"/>
      <c r="D82" s="27"/>
      <c r="E82" s="27"/>
      <c r="F82" s="42"/>
      <c r="G82" s="27"/>
    </row>
    <row r="83" spans="1:7" ht="16.5" thickBot="1">
      <c r="A83" s="23">
        <f>A81+1</f>
        <v>43</v>
      </c>
      <c r="B83" s="70" t="s">
        <v>203</v>
      </c>
      <c r="C83" s="27"/>
      <c r="D83" s="70"/>
      <c r="E83" s="170">
        <f>IF(F83=0,0,G83/F83)</f>
        <v>0</v>
      </c>
      <c r="F83" s="38">
        <f>SUM(F14:F81)</f>
        <v>0</v>
      </c>
      <c r="G83" s="38">
        <f>SUM(G14:G81)</f>
        <v>0</v>
      </c>
    </row>
    <row r="84" spans="1:7" ht="15.75" thickTop="1">
      <c r="A84" s="23"/>
      <c r="B84" s="27"/>
      <c r="C84" s="27"/>
      <c r="D84" s="27"/>
      <c r="E84" s="27"/>
      <c r="F84" s="27"/>
      <c r="G84" s="27"/>
    </row>
    <row r="86" spans="1:7">
      <c r="A86" s="107" t="s">
        <v>205</v>
      </c>
      <c r="B86" s="107"/>
      <c r="D86" s="107"/>
    </row>
    <row r="87" spans="1:7">
      <c r="A87" s="16" t="s">
        <v>240</v>
      </c>
    </row>
    <row r="88" spans="1:7">
      <c r="A88" s="107" t="s">
        <v>241</v>
      </c>
      <c r="B88" s="107"/>
      <c r="C88" s="107"/>
      <c r="D88" s="107"/>
      <c r="E88" s="107"/>
      <c r="F88" s="107"/>
      <c r="G88" s="107"/>
    </row>
    <row r="90" spans="1:7">
      <c r="B90" s="168" t="s">
        <v>200</v>
      </c>
      <c r="C90" s="93"/>
    </row>
  </sheetData>
  <mergeCells count="4"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93" fitToHeight="0" orientation="portrait" r:id="rId1"/>
  <rowBreaks count="1" manualBreakCount="1">
    <brk id="4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1">
    <tabColor theme="4" tint="0.39997558519241921"/>
    <pageSetUpPr fitToPage="1"/>
  </sheetPr>
  <dimension ref="A1:I95"/>
  <sheetViews>
    <sheetView showGridLines="0" zoomScale="85" zoomScaleNormal="85" workbookViewId="0">
      <selection activeCell="D1" sqref="D1"/>
    </sheetView>
  </sheetViews>
  <sheetFormatPr defaultColWidth="8.88671875" defaultRowHeight="15"/>
  <cols>
    <col min="1" max="1" width="9" style="16" bestFit="1" customWidth="1"/>
    <col min="2" max="3" width="12.77734375" style="16" customWidth="1"/>
    <col min="4" max="4" width="13.77734375" style="16" customWidth="1"/>
    <col min="5" max="5" width="9.5546875" style="16" customWidth="1"/>
    <col min="6" max="6" width="10.109375" style="16" customWidth="1"/>
    <col min="7" max="7" width="11.77734375" style="16" customWidth="1"/>
    <col min="8" max="9" width="9.88671875" style="16" bestFit="1" customWidth="1"/>
    <col min="10" max="16384" width="8.88671875" style="16"/>
  </cols>
  <sheetData>
    <row r="1" spans="1:9" ht="15.75">
      <c r="D1" s="251" t="s">
        <v>323</v>
      </c>
    </row>
    <row r="2" spans="1:9" ht="15.75">
      <c r="A2" s="434" t="str">
        <f>'General Inputs'!$B$2</f>
        <v>Delta Natural Gas Company</v>
      </c>
      <c r="B2" s="434"/>
      <c r="C2" s="434"/>
      <c r="D2" s="434"/>
      <c r="E2" s="434"/>
      <c r="F2" s="434"/>
      <c r="G2" s="434"/>
    </row>
    <row r="3" spans="1:9" ht="15.75">
      <c r="A3" s="434" t="str">
        <f>'General Inputs'!$D$34&amp;" "&amp;'General Inputs'!$E$34</f>
        <v>Case No. 2021-00185</v>
      </c>
      <c r="B3" s="434"/>
      <c r="C3" s="434"/>
      <c r="D3" s="434"/>
      <c r="E3" s="434"/>
      <c r="F3" s="434"/>
      <c r="G3" s="434"/>
    </row>
    <row r="4" spans="1:9" ht="15.75">
      <c r="A4" s="434" t="str">
        <f>"For the Test Year Ended "&amp;TEXT('General Inputs'!E28,"Mmmm dd, yyyy")</f>
        <v>For the Test Year Ended December 31, 2020</v>
      </c>
      <c r="B4" s="434"/>
      <c r="C4" s="434"/>
      <c r="D4" s="434"/>
      <c r="E4" s="434"/>
      <c r="F4" s="434"/>
      <c r="G4" s="434"/>
    </row>
    <row r="5" spans="1:9" ht="16.5" thickBot="1">
      <c r="A5" s="435" t="s">
        <v>87</v>
      </c>
      <c r="B5" s="435"/>
      <c r="C5" s="435"/>
      <c r="D5" s="435"/>
      <c r="E5" s="435"/>
      <c r="F5" s="435"/>
      <c r="G5" s="435"/>
    </row>
    <row r="8" spans="1:9" ht="15.75">
      <c r="D8" s="55" t="s">
        <v>67</v>
      </c>
    </row>
    <row r="9" spans="1:9" ht="15.75">
      <c r="A9" s="18" t="s">
        <v>29</v>
      </c>
      <c r="B9" s="55" t="s">
        <v>79</v>
      </c>
      <c r="C9" s="18" t="s">
        <v>39</v>
      </c>
      <c r="D9" s="55" t="s">
        <v>140</v>
      </c>
      <c r="E9" s="18" t="s">
        <v>30</v>
      </c>
      <c r="F9" s="18" t="s">
        <v>15</v>
      </c>
      <c r="G9" s="18" t="s">
        <v>28</v>
      </c>
    </row>
    <row r="10" spans="1:9" ht="20.25">
      <c r="A10" s="185" t="s">
        <v>24</v>
      </c>
      <c r="B10" s="192" t="s">
        <v>41</v>
      </c>
      <c r="C10" s="194" t="s">
        <v>40</v>
      </c>
      <c r="D10" s="192" t="s">
        <v>41</v>
      </c>
      <c r="E10" s="185" t="s">
        <v>33</v>
      </c>
      <c r="F10" s="185" t="s">
        <v>31</v>
      </c>
      <c r="G10" s="185" t="s">
        <v>71</v>
      </c>
    </row>
    <row r="11" spans="1:9" ht="15.75">
      <c r="A11" s="18"/>
      <c r="B11" s="18" t="s">
        <v>34</v>
      </c>
      <c r="C11" s="18" t="s">
        <v>35</v>
      </c>
      <c r="D11" s="18" t="s">
        <v>141</v>
      </c>
      <c r="E11" s="18" t="s">
        <v>42</v>
      </c>
      <c r="F11" s="36" t="s">
        <v>43</v>
      </c>
      <c r="G11" s="18" t="s">
        <v>44</v>
      </c>
    </row>
    <row r="13" spans="1:9" ht="15.75">
      <c r="B13" s="103" t="s">
        <v>126</v>
      </c>
      <c r="D13" s="103"/>
    </row>
    <row r="14" spans="1:9">
      <c r="A14" s="23">
        <v>1</v>
      </c>
      <c r="B14" s="92"/>
      <c r="C14" s="92"/>
      <c r="D14" s="129">
        <f>DAY(B14)/2</f>
        <v>0</v>
      </c>
      <c r="E14" s="25" t="str">
        <f>IF(C14="","",C14-B14+D14)</f>
        <v/>
      </c>
      <c r="F14" s="88"/>
      <c r="G14" s="69">
        <f>IF(E14="",0,ROUND(E14*F14,2))</f>
        <v>0</v>
      </c>
    </row>
    <row r="15" spans="1:9">
      <c r="A15" s="23">
        <f>A14+1</f>
        <v>2</v>
      </c>
      <c r="B15" s="92"/>
      <c r="C15" s="92"/>
      <c r="D15" s="129">
        <f t="shared" ref="D15:D16" si="0">DAY(B15)/2</f>
        <v>0</v>
      </c>
      <c r="E15" s="25" t="str">
        <f>IF(C15="","",C15-B15+D15)</f>
        <v/>
      </c>
      <c r="F15" s="89"/>
      <c r="G15" s="69">
        <f>IF(E15="",0,ROUND(E15*F15,2))</f>
        <v>0</v>
      </c>
      <c r="I15" s="91"/>
    </row>
    <row r="16" spans="1:9">
      <c r="A16" s="23">
        <f>A15+1</f>
        <v>3</v>
      </c>
      <c r="B16" s="92"/>
      <c r="C16" s="92"/>
      <c r="D16" s="129">
        <f t="shared" si="0"/>
        <v>0</v>
      </c>
      <c r="E16" s="25" t="str">
        <f>IF(C16="","",C16-B16+D16)</f>
        <v/>
      </c>
      <c r="F16" s="89"/>
      <c r="G16" s="69">
        <f>IF(E16="",0,ROUND(E16*F16,2))</f>
        <v>0</v>
      </c>
      <c r="I16" s="91"/>
    </row>
    <row r="17" spans="1:9" s="107" customFormat="1">
      <c r="A17" s="123"/>
      <c r="B17" s="91"/>
      <c r="C17" s="124"/>
      <c r="D17" s="91"/>
      <c r="E17" s="125"/>
      <c r="F17" s="126"/>
      <c r="G17" s="127"/>
      <c r="I17" s="91"/>
    </row>
    <row r="18" spans="1:9" s="107" customFormat="1" ht="15.75">
      <c r="A18" s="123"/>
      <c r="B18" s="128" t="s">
        <v>127</v>
      </c>
      <c r="C18" s="124"/>
      <c r="D18" s="128"/>
      <c r="E18" s="125"/>
      <c r="F18" s="126"/>
      <c r="G18" s="127"/>
      <c r="I18" s="91"/>
    </row>
    <row r="19" spans="1:9">
      <c r="A19" s="23">
        <f>A16+1</f>
        <v>4</v>
      </c>
      <c r="B19" s="92"/>
      <c r="C19" s="92"/>
      <c r="D19" s="129">
        <f t="shared" ref="D19:D21" si="1">DAY(B19)/2</f>
        <v>0</v>
      </c>
      <c r="E19" s="25" t="str">
        <f>IF(C19="","",C19-B19+D19)</f>
        <v/>
      </c>
      <c r="F19" s="89"/>
      <c r="G19" s="69">
        <f t="shared" ref="G19:G30" si="2">IF(E19="",0,ROUND(E19*F19,2))</f>
        <v>0</v>
      </c>
      <c r="I19" s="91"/>
    </row>
    <row r="20" spans="1:9">
      <c r="A20" s="23">
        <f>A19+1</f>
        <v>5</v>
      </c>
      <c r="B20" s="92"/>
      <c r="C20" s="92"/>
      <c r="D20" s="129">
        <f t="shared" si="1"/>
        <v>0</v>
      </c>
      <c r="E20" s="25" t="str">
        <f>IF(C20="","",C20-B20+D20)</f>
        <v/>
      </c>
      <c r="F20" s="89"/>
      <c r="G20" s="69">
        <f t="shared" si="2"/>
        <v>0</v>
      </c>
      <c r="I20" s="91"/>
    </row>
    <row r="21" spans="1:9">
      <c r="A21" s="23">
        <f>A20+1</f>
        <v>6</v>
      </c>
      <c r="B21" s="92"/>
      <c r="C21" s="92"/>
      <c r="D21" s="129">
        <f t="shared" si="1"/>
        <v>0</v>
      </c>
      <c r="E21" s="25" t="str">
        <f>IF(C21="","",C21-B21+D21)</f>
        <v/>
      </c>
      <c r="F21" s="89"/>
      <c r="G21" s="69">
        <f t="shared" si="2"/>
        <v>0</v>
      </c>
      <c r="I21" s="91"/>
    </row>
    <row r="22" spans="1:9" s="107" customFormat="1">
      <c r="A22" s="123"/>
      <c r="B22" s="91"/>
      <c r="C22" s="124"/>
      <c r="D22" s="91"/>
      <c r="E22" s="125"/>
      <c r="F22" s="126"/>
      <c r="G22" s="127"/>
      <c r="I22" s="91"/>
    </row>
    <row r="23" spans="1:9" s="107" customFormat="1" ht="15.75">
      <c r="A23" s="123"/>
      <c r="B23" s="128" t="s">
        <v>128</v>
      </c>
      <c r="C23" s="124"/>
      <c r="D23" s="128"/>
      <c r="E23" s="125"/>
      <c r="F23" s="126"/>
      <c r="G23" s="127"/>
      <c r="I23" s="91"/>
    </row>
    <row r="24" spans="1:9">
      <c r="A24" s="23">
        <f>A21+1</f>
        <v>7</v>
      </c>
      <c r="B24" s="92"/>
      <c r="C24" s="92"/>
      <c r="D24" s="129">
        <f t="shared" ref="D24:D26" si="3">DAY(B24)/2</f>
        <v>0</v>
      </c>
      <c r="E24" s="25" t="str">
        <f>IF(C24="","",C24-B24+D24)</f>
        <v/>
      </c>
      <c r="F24" s="89"/>
      <c r="G24" s="69">
        <f t="shared" si="2"/>
        <v>0</v>
      </c>
      <c r="I24" s="91"/>
    </row>
    <row r="25" spans="1:9">
      <c r="A25" s="23">
        <f>A24+1</f>
        <v>8</v>
      </c>
      <c r="B25" s="92"/>
      <c r="C25" s="92"/>
      <c r="D25" s="129">
        <f t="shared" si="3"/>
        <v>0</v>
      </c>
      <c r="E25" s="25" t="str">
        <f>IF(C25="","",C25-B25+D25)</f>
        <v/>
      </c>
      <c r="F25" s="89"/>
      <c r="G25" s="69">
        <f t="shared" si="2"/>
        <v>0</v>
      </c>
      <c r="I25" s="91"/>
    </row>
    <row r="26" spans="1:9">
      <c r="A26" s="23">
        <f>A25+1</f>
        <v>9</v>
      </c>
      <c r="B26" s="92"/>
      <c r="C26" s="92"/>
      <c r="D26" s="129">
        <f t="shared" si="3"/>
        <v>0</v>
      </c>
      <c r="E26" s="25" t="str">
        <f>IF(C26="","",C26-B26+D26)</f>
        <v/>
      </c>
      <c r="F26" s="89"/>
      <c r="G26" s="69">
        <f t="shared" si="2"/>
        <v>0</v>
      </c>
      <c r="I26" s="91"/>
    </row>
    <row r="27" spans="1:9" s="107" customFormat="1">
      <c r="A27" s="123"/>
      <c r="B27" s="91"/>
      <c r="C27" s="124"/>
      <c r="D27" s="91"/>
      <c r="E27" s="125"/>
      <c r="F27" s="126"/>
      <c r="G27" s="127"/>
    </row>
    <row r="28" spans="1:9" s="107" customFormat="1" ht="15.75">
      <c r="A28" s="123"/>
      <c r="B28" s="128" t="s">
        <v>129</v>
      </c>
      <c r="C28" s="124"/>
      <c r="D28" s="128"/>
      <c r="E28" s="125"/>
      <c r="F28" s="126"/>
      <c r="G28" s="127"/>
    </row>
    <row r="29" spans="1:9">
      <c r="A29" s="23">
        <f>A26+1</f>
        <v>10</v>
      </c>
      <c r="B29" s="92"/>
      <c r="C29" s="92"/>
      <c r="D29" s="129">
        <f t="shared" ref="D29:D31" si="4">DAY(B29)/2</f>
        <v>0</v>
      </c>
      <c r="E29" s="25" t="str">
        <f>IF(C29="","",C29-B29+D29)</f>
        <v/>
      </c>
      <c r="F29" s="89"/>
      <c r="G29" s="69">
        <f t="shared" si="2"/>
        <v>0</v>
      </c>
    </row>
    <row r="30" spans="1:9">
      <c r="A30" s="23">
        <f>A29+1</f>
        <v>11</v>
      </c>
      <c r="B30" s="92"/>
      <c r="C30" s="92"/>
      <c r="D30" s="129">
        <f t="shared" si="4"/>
        <v>0</v>
      </c>
      <c r="E30" s="25" t="str">
        <f>IF(C30="","",C30-B30+D30)</f>
        <v/>
      </c>
      <c r="F30" s="89"/>
      <c r="G30" s="69">
        <f t="shared" si="2"/>
        <v>0</v>
      </c>
    </row>
    <row r="31" spans="1:9">
      <c r="A31" s="23">
        <f>A30+1</f>
        <v>12</v>
      </c>
      <c r="B31" s="92"/>
      <c r="C31" s="92"/>
      <c r="D31" s="129">
        <f t="shared" si="4"/>
        <v>0</v>
      </c>
      <c r="E31" s="25" t="str">
        <f>IF(C31="","",C31-B31+D31)</f>
        <v/>
      </c>
      <c r="F31" s="89"/>
      <c r="G31" s="69">
        <f>IF(E31="",0,ROUND(E31*F31,2))</f>
        <v>0</v>
      </c>
    </row>
    <row r="32" spans="1:9" s="107" customFormat="1">
      <c r="A32" s="123"/>
      <c r="B32" s="91"/>
      <c r="C32" s="124"/>
      <c r="D32" s="91"/>
      <c r="E32" s="125"/>
      <c r="F32" s="126"/>
      <c r="G32" s="127"/>
    </row>
    <row r="33" spans="1:7" s="107" customFormat="1" ht="15.75">
      <c r="A33" s="123"/>
      <c r="B33" s="128" t="s">
        <v>137</v>
      </c>
      <c r="C33" s="124"/>
      <c r="D33" s="128"/>
      <c r="E33" s="125"/>
      <c r="F33" s="126"/>
      <c r="G33" s="127"/>
    </row>
    <row r="34" spans="1:7">
      <c r="A34" s="23">
        <f>A31+1</f>
        <v>13</v>
      </c>
      <c r="B34" s="92"/>
      <c r="C34" s="92"/>
      <c r="D34" s="129">
        <f t="shared" ref="D34:D36" si="5">DAY(B34)/2</f>
        <v>0</v>
      </c>
      <c r="E34" s="25" t="str">
        <f>IF(C34="","",C34-B34+D34)</f>
        <v/>
      </c>
      <c r="F34" s="89"/>
      <c r="G34" s="69">
        <f t="shared" ref="G34:G35" si="6">IF(E34="",0,ROUND(E34*F34,2))</f>
        <v>0</v>
      </c>
    </row>
    <row r="35" spans="1:7">
      <c r="A35" s="23">
        <f>A34+1</f>
        <v>14</v>
      </c>
      <c r="B35" s="92"/>
      <c r="C35" s="92"/>
      <c r="D35" s="129">
        <f t="shared" si="5"/>
        <v>0</v>
      </c>
      <c r="E35" s="25" t="str">
        <f>IF(C35="","",C35-B35+D35)</f>
        <v/>
      </c>
      <c r="F35" s="89"/>
      <c r="G35" s="69">
        <f t="shared" si="6"/>
        <v>0</v>
      </c>
    </row>
    <row r="36" spans="1:7">
      <c r="A36" s="23">
        <f>A35+1</f>
        <v>15</v>
      </c>
      <c r="B36" s="92"/>
      <c r="C36" s="92"/>
      <c r="D36" s="129">
        <f t="shared" si="5"/>
        <v>0</v>
      </c>
      <c r="E36" s="25" t="str">
        <f>IF(C36="","",C36-B36+D36)</f>
        <v/>
      </c>
      <c r="F36" s="89"/>
      <c r="G36" s="69">
        <f>IF(E36="",0,ROUND(E36*F36,2))</f>
        <v>0</v>
      </c>
    </row>
    <row r="37" spans="1:7" s="107" customFormat="1">
      <c r="A37" s="123"/>
      <c r="B37" s="91"/>
      <c r="C37" s="124"/>
      <c r="D37" s="91"/>
      <c r="E37" s="125"/>
      <c r="F37" s="126"/>
      <c r="G37" s="127"/>
    </row>
    <row r="38" spans="1:7" s="107" customFormat="1" ht="15.75">
      <c r="A38" s="123"/>
      <c r="B38" s="128" t="s">
        <v>130</v>
      </c>
      <c r="C38" s="124"/>
      <c r="D38" s="128"/>
      <c r="E38" s="125"/>
      <c r="F38" s="126"/>
      <c r="G38" s="127"/>
    </row>
    <row r="39" spans="1:7">
      <c r="A39" s="23">
        <f>A36+1</f>
        <v>16</v>
      </c>
      <c r="B39" s="92"/>
      <c r="C39" s="92"/>
      <c r="D39" s="129">
        <f t="shared" ref="D39:D41" si="7">DAY(B39)/2</f>
        <v>0</v>
      </c>
      <c r="E39" s="25" t="str">
        <f>IF(C39="","",C39-B39+D39)</f>
        <v/>
      </c>
      <c r="F39" s="89"/>
      <c r="G39" s="69">
        <f t="shared" ref="G39:G40" si="8">IF(E39="",0,ROUND(E39*F39,2))</f>
        <v>0</v>
      </c>
    </row>
    <row r="40" spans="1:7">
      <c r="A40" s="23">
        <f>A39+1</f>
        <v>17</v>
      </c>
      <c r="B40" s="92"/>
      <c r="C40" s="92"/>
      <c r="D40" s="129">
        <f t="shared" si="7"/>
        <v>0</v>
      </c>
      <c r="E40" s="25" t="str">
        <f>IF(C40="","",C40-B40+D40)</f>
        <v/>
      </c>
      <c r="F40" s="89"/>
      <c r="G40" s="69">
        <f t="shared" si="8"/>
        <v>0</v>
      </c>
    </row>
    <row r="41" spans="1:7">
      <c r="A41" s="23">
        <f>A40+1</f>
        <v>18</v>
      </c>
      <c r="B41" s="92"/>
      <c r="C41" s="92"/>
      <c r="D41" s="129">
        <f t="shared" si="7"/>
        <v>0</v>
      </c>
      <c r="E41" s="25" t="str">
        <f>IF(C41="","",C41-B41+D41)</f>
        <v/>
      </c>
      <c r="F41" s="89"/>
      <c r="G41" s="69">
        <f>IF(E41="",0,ROUND(E41*F41,2))</f>
        <v>0</v>
      </c>
    </row>
    <row r="42" spans="1:7" s="107" customFormat="1">
      <c r="A42" s="123"/>
      <c r="B42" s="91"/>
      <c r="C42" s="124"/>
      <c r="D42" s="91"/>
      <c r="E42" s="125"/>
      <c r="F42" s="126"/>
      <c r="G42" s="127"/>
    </row>
    <row r="43" spans="1:7" s="107" customFormat="1" ht="15.75">
      <c r="A43" s="123"/>
      <c r="B43" s="128" t="s">
        <v>131</v>
      </c>
      <c r="C43" s="124"/>
      <c r="D43" s="128"/>
      <c r="E43" s="125"/>
      <c r="F43" s="126"/>
      <c r="G43" s="127"/>
    </row>
    <row r="44" spans="1:7">
      <c r="A44" s="23">
        <f>A41+1</f>
        <v>19</v>
      </c>
      <c r="B44" s="92"/>
      <c r="C44" s="92"/>
      <c r="D44" s="129">
        <f t="shared" ref="D44:D46" si="9">DAY(B44)/2</f>
        <v>0</v>
      </c>
      <c r="E44" s="25" t="str">
        <f>IF(C44="","",C44-B44+D44)</f>
        <v/>
      </c>
      <c r="F44" s="89"/>
      <c r="G44" s="69">
        <f t="shared" ref="G44:G45" si="10">IF(E44="",0,ROUND(E44*F44,2))</f>
        <v>0</v>
      </c>
    </row>
    <row r="45" spans="1:7">
      <c r="A45" s="23">
        <f>A44+1</f>
        <v>20</v>
      </c>
      <c r="B45" s="92"/>
      <c r="C45" s="92"/>
      <c r="D45" s="129">
        <f t="shared" si="9"/>
        <v>0</v>
      </c>
      <c r="E45" s="25" t="str">
        <f>IF(C45="","",C45-B45+D45)</f>
        <v/>
      </c>
      <c r="F45" s="89"/>
      <c r="G45" s="69">
        <f t="shared" si="10"/>
        <v>0</v>
      </c>
    </row>
    <row r="46" spans="1:7">
      <c r="A46" s="23">
        <f>A45+1</f>
        <v>21</v>
      </c>
      <c r="B46" s="92"/>
      <c r="C46" s="92"/>
      <c r="D46" s="129">
        <f t="shared" si="9"/>
        <v>0</v>
      </c>
      <c r="E46" s="25" t="str">
        <f>IF(C46="","",C46-B46+D46)</f>
        <v/>
      </c>
      <c r="F46" s="89"/>
      <c r="G46" s="69">
        <f>IF(E46="",0,ROUND(E46*F46,2))</f>
        <v>0</v>
      </c>
    </row>
    <row r="47" spans="1:7" s="107" customFormat="1">
      <c r="A47" s="123"/>
      <c r="B47" s="91"/>
      <c r="C47" s="124"/>
      <c r="D47" s="91"/>
      <c r="E47" s="125"/>
      <c r="F47" s="126"/>
      <c r="G47" s="127"/>
    </row>
    <row r="48" spans="1:7" s="107" customFormat="1" ht="15.75">
      <c r="A48" s="123"/>
      <c r="B48" s="128" t="s">
        <v>132</v>
      </c>
      <c r="C48" s="124"/>
      <c r="D48" s="128"/>
      <c r="E48" s="125"/>
      <c r="F48" s="126"/>
      <c r="G48" s="127"/>
    </row>
    <row r="49" spans="1:9">
      <c r="A49" s="23">
        <f>A46+1</f>
        <v>22</v>
      </c>
      <c r="B49" s="92"/>
      <c r="C49" s="92"/>
      <c r="D49" s="129">
        <f t="shared" ref="D49:D51" si="11">DAY(B49)/2</f>
        <v>0</v>
      </c>
      <c r="E49" s="25" t="str">
        <f>IF(C49="","",C49-B49+D49)</f>
        <v/>
      </c>
      <c r="F49" s="89"/>
      <c r="G49" s="69">
        <f t="shared" ref="G49:G50" si="12">IF(E49="",0,ROUND(E49*F49,2))</f>
        <v>0</v>
      </c>
    </row>
    <row r="50" spans="1:9">
      <c r="A50" s="23">
        <f>A49+1</f>
        <v>23</v>
      </c>
      <c r="B50" s="92"/>
      <c r="C50" s="92"/>
      <c r="D50" s="129">
        <f t="shared" si="11"/>
        <v>0</v>
      </c>
      <c r="E50" s="25" t="str">
        <f>IF(C50="","",C50-B50+D50)</f>
        <v/>
      </c>
      <c r="F50" s="89"/>
      <c r="G50" s="69">
        <f t="shared" si="12"/>
        <v>0</v>
      </c>
    </row>
    <row r="51" spans="1:9">
      <c r="A51" s="23">
        <f>A50+1</f>
        <v>24</v>
      </c>
      <c r="B51" s="92"/>
      <c r="C51" s="92"/>
      <c r="D51" s="129">
        <f t="shared" si="11"/>
        <v>0</v>
      </c>
      <c r="E51" s="25" t="str">
        <f>IF(C51="","",C51-B51+D51)</f>
        <v/>
      </c>
      <c r="F51" s="89"/>
      <c r="G51" s="69">
        <f>IF(E51="",0,ROUND(E51*F51,2))</f>
        <v>0</v>
      </c>
    </row>
    <row r="52" spans="1:9" s="107" customFormat="1">
      <c r="A52" s="123"/>
      <c r="B52" s="91"/>
      <c r="C52" s="124"/>
      <c r="D52" s="91"/>
      <c r="E52" s="125"/>
      <c r="F52" s="126"/>
      <c r="G52" s="127"/>
    </row>
    <row r="53" spans="1:9" s="107" customFormat="1" ht="15.75">
      <c r="A53" s="123"/>
      <c r="B53" s="128" t="s">
        <v>133</v>
      </c>
      <c r="C53" s="124"/>
      <c r="D53" s="128"/>
      <c r="E53" s="125"/>
      <c r="F53" s="126"/>
      <c r="G53" s="127"/>
    </row>
    <row r="54" spans="1:9">
      <c r="A54" s="23">
        <f>A51+1</f>
        <v>25</v>
      </c>
      <c r="B54" s="92"/>
      <c r="C54" s="92"/>
      <c r="D54" s="129">
        <f t="shared" ref="D54:D56" si="13">DAY(B54)/2</f>
        <v>0</v>
      </c>
      <c r="E54" s="25" t="str">
        <f>IF(C54="","",C54-B54+D54)</f>
        <v/>
      </c>
      <c r="F54" s="89"/>
      <c r="G54" s="69">
        <f t="shared" ref="G54:G55" si="14">IF(E54="",0,ROUND(E54*F54,2))</f>
        <v>0</v>
      </c>
    </row>
    <row r="55" spans="1:9">
      <c r="A55" s="23">
        <f>A54+1</f>
        <v>26</v>
      </c>
      <c r="B55" s="92"/>
      <c r="C55" s="92"/>
      <c r="D55" s="129">
        <f t="shared" si="13"/>
        <v>0</v>
      </c>
      <c r="E55" s="25" t="str">
        <f>IF(C55="","",C55-B55+D55)</f>
        <v/>
      </c>
      <c r="F55" s="89"/>
      <c r="G55" s="69">
        <f t="shared" si="14"/>
        <v>0</v>
      </c>
    </row>
    <row r="56" spans="1:9">
      <c r="A56" s="23">
        <f>A55+1</f>
        <v>27</v>
      </c>
      <c r="B56" s="92"/>
      <c r="C56" s="92"/>
      <c r="D56" s="129">
        <f t="shared" si="13"/>
        <v>0</v>
      </c>
      <c r="E56" s="25" t="str">
        <f>IF(C56="","",C56-B56+D56)</f>
        <v/>
      </c>
      <c r="F56" s="89"/>
      <c r="G56" s="69">
        <f>IF(E56="",0,ROUND(E56*F56,2))</f>
        <v>0</v>
      </c>
      <c r="H56" s="91"/>
      <c r="I56" s="91"/>
    </row>
    <row r="57" spans="1:9" s="107" customFormat="1">
      <c r="A57" s="123"/>
      <c r="B57" s="91"/>
      <c r="C57" s="124"/>
      <c r="D57" s="91"/>
      <c r="E57" s="125"/>
      <c r="F57" s="126"/>
      <c r="G57" s="127"/>
      <c r="H57" s="91"/>
      <c r="I57" s="91"/>
    </row>
    <row r="58" spans="1:9" s="107" customFormat="1" ht="15.75">
      <c r="A58" s="123"/>
      <c r="B58" s="128" t="s">
        <v>134</v>
      </c>
      <c r="C58" s="124"/>
      <c r="D58" s="128"/>
      <c r="E58" s="125"/>
      <c r="F58" s="126"/>
      <c r="G58" s="127"/>
      <c r="H58" s="91"/>
      <c r="I58" s="91"/>
    </row>
    <row r="59" spans="1:9">
      <c r="A59" s="23">
        <f>A56+1</f>
        <v>28</v>
      </c>
      <c r="B59" s="92"/>
      <c r="C59" s="92"/>
      <c r="D59" s="129">
        <f t="shared" ref="D59:D61" si="15">DAY(B59)/2</f>
        <v>0</v>
      </c>
      <c r="E59" s="25" t="str">
        <f>IF(C59="","",C59-B59+D59)</f>
        <v/>
      </c>
      <c r="F59" s="89"/>
      <c r="G59" s="69">
        <f t="shared" ref="G59:G60" si="16">IF(E59="",0,ROUND(E59*F59,2))</f>
        <v>0</v>
      </c>
    </row>
    <row r="60" spans="1:9">
      <c r="A60" s="23">
        <f>A59+1</f>
        <v>29</v>
      </c>
      <c r="B60" s="92"/>
      <c r="C60" s="92"/>
      <c r="D60" s="129">
        <f t="shared" si="15"/>
        <v>0</v>
      </c>
      <c r="E60" s="25" t="str">
        <f>IF(C60="","",C60-B60+D60)</f>
        <v/>
      </c>
      <c r="F60" s="89"/>
      <c r="G60" s="69">
        <f t="shared" si="16"/>
        <v>0</v>
      </c>
    </row>
    <row r="61" spans="1:9">
      <c r="A61" s="23">
        <f>A60+1</f>
        <v>30</v>
      </c>
      <c r="B61" s="92"/>
      <c r="C61" s="92"/>
      <c r="D61" s="129">
        <f t="shared" si="15"/>
        <v>0</v>
      </c>
      <c r="E61" s="25" t="str">
        <f>IF(C61="","",C61-B61+D61)</f>
        <v/>
      </c>
      <c r="F61" s="89"/>
      <c r="G61" s="69">
        <f>IF(E61="",0,ROUND(E61*F61,2))</f>
        <v>0</v>
      </c>
    </row>
    <row r="62" spans="1:9" s="107" customFormat="1">
      <c r="A62" s="123"/>
      <c r="B62" s="91"/>
      <c r="C62" s="124"/>
      <c r="D62" s="91"/>
      <c r="E62" s="125"/>
      <c r="F62" s="126"/>
      <c r="G62" s="127"/>
    </row>
    <row r="63" spans="1:9" s="107" customFormat="1" ht="15.75">
      <c r="A63" s="123"/>
      <c r="B63" s="128" t="s">
        <v>135</v>
      </c>
      <c r="C63" s="124"/>
      <c r="D63" s="128"/>
      <c r="E63" s="125"/>
      <c r="F63" s="126"/>
      <c r="G63" s="127"/>
    </row>
    <row r="64" spans="1:9">
      <c r="A64" s="23">
        <f>A61+1</f>
        <v>31</v>
      </c>
      <c r="B64" s="92"/>
      <c r="C64" s="92"/>
      <c r="D64" s="129">
        <f t="shared" ref="D64:D66" si="17">DAY(B64)/2</f>
        <v>0</v>
      </c>
      <c r="E64" s="25" t="str">
        <f>IF(C64="","",C64-B64+D64)</f>
        <v/>
      </c>
      <c r="F64" s="89"/>
      <c r="G64" s="69">
        <f t="shared" ref="G64:G65" si="18">IF(E64="",0,ROUND(E64*F64,2))</f>
        <v>0</v>
      </c>
    </row>
    <row r="65" spans="1:7">
      <c r="A65" s="23">
        <f>A64+1</f>
        <v>32</v>
      </c>
      <c r="B65" s="92"/>
      <c r="C65" s="92"/>
      <c r="D65" s="129">
        <f t="shared" si="17"/>
        <v>0</v>
      </c>
      <c r="E65" s="25" t="str">
        <f>IF(C65="","",C65-B65+D65)</f>
        <v/>
      </c>
      <c r="F65" s="89"/>
      <c r="G65" s="69">
        <f t="shared" si="18"/>
        <v>0</v>
      </c>
    </row>
    <row r="66" spans="1:7">
      <c r="A66" s="23">
        <f>A65+1</f>
        <v>33</v>
      </c>
      <c r="B66" s="92"/>
      <c r="C66" s="92"/>
      <c r="D66" s="129">
        <f t="shared" si="17"/>
        <v>0</v>
      </c>
      <c r="E66" s="25" t="str">
        <f>IF(C66="","",C66-B66+D66)</f>
        <v/>
      </c>
      <c r="F66" s="89"/>
      <c r="G66" s="69">
        <f>IF(E66="",0,ROUND(E66*F66,2))</f>
        <v>0</v>
      </c>
    </row>
    <row r="67" spans="1:7" s="107" customFormat="1">
      <c r="A67" s="123"/>
      <c r="B67" s="91"/>
      <c r="C67" s="124"/>
      <c r="D67" s="91"/>
      <c r="E67" s="125"/>
      <c r="F67" s="126"/>
      <c r="G67" s="127"/>
    </row>
    <row r="68" spans="1:7" s="107" customFormat="1" ht="15.75">
      <c r="A68" s="123"/>
      <c r="B68" s="128" t="s">
        <v>136</v>
      </c>
      <c r="C68" s="124"/>
      <c r="D68" s="128"/>
      <c r="E68" s="125"/>
      <c r="F68" s="126"/>
      <c r="G68" s="127"/>
    </row>
    <row r="69" spans="1:7">
      <c r="A69" s="23">
        <f>A66+1</f>
        <v>34</v>
      </c>
      <c r="B69" s="92"/>
      <c r="C69" s="92"/>
      <c r="D69" s="129">
        <f t="shared" ref="D69:D71" si="19">DAY(B69)/2</f>
        <v>0</v>
      </c>
      <c r="E69" s="25" t="str">
        <f>IF(C69="","",C69-B69+D69)</f>
        <v/>
      </c>
      <c r="F69" s="89"/>
      <c r="G69" s="69">
        <f t="shared" ref="G69:G70" si="20">IF(E69="",0,ROUND(E69*F69,2))</f>
        <v>0</v>
      </c>
    </row>
    <row r="70" spans="1:7">
      <c r="A70" s="23">
        <f>A69+1</f>
        <v>35</v>
      </c>
      <c r="B70" s="92"/>
      <c r="C70" s="92"/>
      <c r="D70" s="129">
        <f t="shared" si="19"/>
        <v>0</v>
      </c>
      <c r="E70" s="25" t="str">
        <f>IF(C70="","",C70-B70+D70)</f>
        <v/>
      </c>
      <c r="F70" s="89"/>
      <c r="G70" s="69">
        <f t="shared" si="20"/>
        <v>0</v>
      </c>
    </row>
    <row r="71" spans="1:7">
      <c r="A71" s="23">
        <f>A70+1</f>
        <v>36</v>
      </c>
      <c r="B71" s="92"/>
      <c r="C71" s="92"/>
      <c r="D71" s="129">
        <f t="shared" si="19"/>
        <v>0</v>
      </c>
      <c r="E71" s="25" t="str">
        <f>IF(C71="","",C71-B71+D71)</f>
        <v/>
      </c>
      <c r="F71" s="89"/>
      <c r="G71" s="69">
        <f>IF(E71="",0,ROUND(E71*F71,2))</f>
        <v>0</v>
      </c>
    </row>
    <row r="72" spans="1:7" s="107" customFormat="1">
      <c r="A72" s="123"/>
      <c r="B72" s="91"/>
      <c r="C72" s="124"/>
      <c r="D72" s="91"/>
      <c r="E72" s="125"/>
      <c r="F72" s="126"/>
      <c r="G72" s="127"/>
    </row>
    <row r="73" spans="1:7" s="107" customFormat="1" ht="15.75">
      <c r="A73" s="123"/>
      <c r="B73" s="128" t="s">
        <v>138</v>
      </c>
      <c r="C73" s="124"/>
      <c r="D73" s="128"/>
      <c r="E73" s="125"/>
      <c r="F73" s="126"/>
      <c r="G73" s="127"/>
    </row>
    <row r="74" spans="1:7">
      <c r="A74" s="23">
        <f>A71+1</f>
        <v>37</v>
      </c>
      <c r="B74" s="92"/>
      <c r="C74" s="92"/>
      <c r="D74" s="129">
        <f t="shared" ref="D74:D76" si="21">DAY(B74)/2</f>
        <v>0</v>
      </c>
      <c r="E74" s="25" t="str">
        <f>IF(C74="","",C74-B74+D74)</f>
        <v/>
      </c>
      <c r="F74" s="89"/>
      <c r="G74" s="69">
        <f t="shared" ref="G74:G75" si="22">IF(E74="",0,ROUND(E74*F74,2))</f>
        <v>0</v>
      </c>
    </row>
    <row r="75" spans="1:7">
      <c r="A75" s="23">
        <f>A74+1</f>
        <v>38</v>
      </c>
      <c r="B75" s="92"/>
      <c r="C75" s="92"/>
      <c r="D75" s="129">
        <f t="shared" si="21"/>
        <v>0</v>
      </c>
      <c r="E75" s="25" t="str">
        <f>IF(C75="","",C75-B75+D75)</f>
        <v/>
      </c>
      <c r="F75" s="89"/>
      <c r="G75" s="69">
        <f t="shared" si="22"/>
        <v>0</v>
      </c>
    </row>
    <row r="76" spans="1:7">
      <c r="A76" s="23">
        <f>A75+1</f>
        <v>39</v>
      </c>
      <c r="B76" s="92"/>
      <c r="C76" s="92"/>
      <c r="D76" s="129">
        <f t="shared" si="21"/>
        <v>0</v>
      </c>
      <c r="E76" s="25" t="str">
        <f>IF(C76="","",C76-B76+D76)</f>
        <v/>
      </c>
      <c r="F76" s="89"/>
      <c r="G76" s="69">
        <f>IF(E76="",0,ROUND(E76*F76,2))</f>
        <v>0</v>
      </c>
    </row>
    <row r="77" spans="1:7" s="107" customFormat="1">
      <c r="A77" s="123"/>
      <c r="B77" s="91"/>
      <c r="C77" s="124"/>
      <c r="D77" s="91"/>
      <c r="E77" s="125"/>
      <c r="F77" s="126"/>
      <c r="G77" s="127"/>
    </row>
    <row r="78" spans="1:7" s="107" customFormat="1" ht="15.75">
      <c r="A78" s="123"/>
      <c r="B78" s="128" t="s">
        <v>139</v>
      </c>
      <c r="C78" s="124"/>
      <c r="D78" s="128"/>
      <c r="E78" s="125"/>
      <c r="F78" s="126"/>
      <c r="G78" s="127"/>
    </row>
    <row r="79" spans="1:7">
      <c r="A79" s="23">
        <f>A76+1</f>
        <v>40</v>
      </c>
      <c r="B79" s="92"/>
      <c r="C79" s="92"/>
      <c r="D79" s="129">
        <f t="shared" ref="D79:D81" si="23">DAY(B79)/2</f>
        <v>0</v>
      </c>
      <c r="E79" s="25" t="str">
        <f>IF(C79="","",C79-B79+D79)</f>
        <v/>
      </c>
      <c r="F79" s="89"/>
      <c r="G79" s="69">
        <f t="shared" ref="G79:G80" si="24">IF(E79="",0,ROUND(E79*F79,2))</f>
        <v>0</v>
      </c>
    </row>
    <row r="80" spans="1:7">
      <c r="A80" s="23">
        <f>A79+1</f>
        <v>41</v>
      </c>
      <c r="B80" s="92"/>
      <c r="C80" s="92"/>
      <c r="D80" s="129">
        <f t="shared" si="23"/>
        <v>0</v>
      </c>
      <c r="E80" s="25" t="str">
        <f>IF(C80="","",C80-B80+D80)</f>
        <v/>
      </c>
      <c r="F80" s="89"/>
      <c r="G80" s="69">
        <f t="shared" si="24"/>
        <v>0</v>
      </c>
    </row>
    <row r="81" spans="1:7">
      <c r="A81" s="23">
        <f>A80+1</f>
        <v>42</v>
      </c>
      <c r="B81" s="92"/>
      <c r="C81" s="92"/>
      <c r="D81" s="129">
        <f t="shared" si="23"/>
        <v>0</v>
      </c>
      <c r="E81" s="25" t="str">
        <f>IF(C81="","",C81-B81+D81)</f>
        <v/>
      </c>
      <c r="F81" s="89"/>
      <c r="G81" s="69">
        <f>IF(E81="",0,ROUND(E81*F81,2))</f>
        <v>0</v>
      </c>
    </row>
    <row r="82" spans="1:7">
      <c r="A82" s="23"/>
      <c r="B82" s="27"/>
      <c r="C82" s="27"/>
      <c r="D82" s="27"/>
      <c r="E82" s="27"/>
      <c r="F82" s="42"/>
      <c r="G82" s="27"/>
    </row>
    <row r="83" spans="1:7" s="107" customFormat="1" ht="15.75">
      <c r="A83" s="123"/>
      <c r="B83" s="128" t="s">
        <v>142</v>
      </c>
      <c r="C83" s="124"/>
      <c r="D83" s="128"/>
      <c r="E83" s="125"/>
      <c r="F83" s="126"/>
      <c r="G83" s="127"/>
    </row>
    <row r="84" spans="1:7">
      <c r="A84" s="23">
        <f>A81+1</f>
        <v>43</v>
      </c>
      <c r="B84" s="92"/>
      <c r="C84" s="92"/>
      <c r="D84" s="129">
        <f t="shared" ref="D84:D86" si="25">DAY(B84)/2</f>
        <v>0</v>
      </c>
      <c r="E84" s="25" t="str">
        <f>IF(C84="","",C84-B84+D84)</f>
        <v/>
      </c>
      <c r="F84" s="89"/>
      <c r="G84" s="69">
        <f t="shared" ref="G84:G85" si="26">IF(E84="",0,ROUND(E84*F84,2))</f>
        <v>0</v>
      </c>
    </row>
    <row r="85" spans="1:7">
      <c r="A85" s="23">
        <f>A84+1</f>
        <v>44</v>
      </c>
      <c r="B85" s="92"/>
      <c r="C85" s="92"/>
      <c r="D85" s="129">
        <f t="shared" si="25"/>
        <v>0</v>
      </c>
      <c r="E85" s="25" t="str">
        <f>IF(C85="","",C85-B85+D85)</f>
        <v/>
      </c>
      <c r="F85" s="89"/>
      <c r="G85" s="69">
        <f t="shared" si="26"/>
        <v>0</v>
      </c>
    </row>
    <row r="86" spans="1:7">
      <c r="A86" s="23">
        <f>A85+1</f>
        <v>45</v>
      </c>
      <c r="B86" s="92"/>
      <c r="C86" s="92"/>
      <c r="D86" s="129">
        <f t="shared" si="25"/>
        <v>0</v>
      </c>
      <c r="E86" s="25" t="str">
        <f>IF(C86="","",C86-B86+D86)</f>
        <v/>
      </c>
      <c r="F86" s="89"/>
      <c r="G86" s="69">
        <f>IF(E86="",0,ROUND(E86*F86,2))</f>
        <v>0</v>
      </c>
    </row>
    <row r="87" spans="1:7">
      <c r="A87" s="23"/>
      <c r="B87" s="27"/>
      <c r="C87" s="27"/>
      <c r="D87" s="27"/>
      <c r="E87" s="27"/>
      <c r="F87" s="42"/>
      <c r="G87" s="27"/>
    </row>
    <row r="88" spans="1:7" ht="16.5" thickBot="1">
      <c r="A88" s="23">
        <f>A86+1</f>
        <v>46</v>
      </c>
      <c r="B88" s="70" t="s">
        <v>204</v>
      </c>
      <c r="C88" s="27"/>
      <c r="D88" s="70"/>
      <c r="E88" s="170">
        <f>IF(F88=0,0,G88/F88)</f>
        <v>0</v>
      </c>
      <c r="F88" s="38">
        <f>SUM(F14:F86)</f>
        <v>0</v>
      </c>
      <c r="G88" s="38">
        <f>SUM(G14:G86)</f>
        <v>0</v>
      </c>
    </row>
    <row r="89" spans="1:7" ht="15.75" thickTop="1">
      <c r="A89" s="23"/>
      <c r="B89" s="27"/>
      <c r="C89" s="27"/>
      <c r="D89" s="27"/>
      <c r="E89" s="27"/>
      <c r="F89" s="27"/>
      <c r="G89" s="27"/>
    </row>
    <row r="91" spans="1:7">
      <c r="A91" s="107" t="s">
        <v>206</v>
      </c>
      <c r="B91" s="107"/>
      <c r="D91" s="107"/>
    </row>
    <row r="92" spans="1:7">
      <c r="A92" s="16" t="s">
        <v>242</v>
      </c>
    </row>
    <row r="93" spans="1:7">
      <c r="A93" s="107" t="s">
        <v>241</v>
      </c>
      <c r="B93" s="107"/>
      <c r="C93" s="107"/>
      <c r="D93" s="107"/>
      <c r="E93" s="107"/>
      <c r="F93" s="107"/>
      <c r="G93" s="107"/>
    </row>
    <row r="95" spans="1:7">
      <c r="B95" s="168" t="s">
        <v>200</v>
      </c>
      <c r="C95" s="93"/>
    </row>
  </sheetData>
  <mergeCells count="4">
    <mergeCell ref="A2:G2"/>
    <mergeCell ref="A3:G3"/>
    <mergeCell ref="A4:G4"/>
    <mergeCell ref="A5:G5"/>
  </mergeCells>
  <printOptions horizontalCentered="1"/>
  <pageMargins left="0.7" right="0.7" top="0.75" bottom="0.75" header="0.3" footer="0.3"/>
  <pageSetup scale="93" fitToHeight="0" orientation="portrait" r:id="rId1"/>
  <rowBreaks count="1" manualBreakCount="1">
    <brk id="4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2">
    <tabColor theme="4" tint="0.39997558519241921"/>
    <pageSetUpPr fitToPage="1"/>
  </sheetPr>
  <dimension ref="A1:G45"/>
  <sheetViews>
    <sheetView showGridLines="0" zoomScale="85" zoomScaleNormal="85" workbookViewId="0"/>
  </sheetViews>
  <sheetFormatPr defaultColWidth="8.88671875" defaultRowHeight="15"/>
  <cols>
    <col min="1" max="1" width="8.88671875" style="16"/>
    <col min="2" max="2" width="40.77734375" style="16" customWidth="1"/>
    <col min="3" max="5" width="14.77734375" style="16" customWidth="1"/>
    <col min="6" max="16384" width="8.88671875" style="16"/>
  </cols>
  <sheetData>
    <row r="1" spans="1:5" ht="15.75">
      <c r="B1" s="251" t="s">
        <v>324</v>
      </c>
    </row>
    <row r="2" spans="1:5" ht="15.75">
      <c r="A2" s="434" t="str">
        <f>'General Inputs'!$B$2</f>
        <v>Delta Natural Gas Company</v>
      </c>
      <c r="B2" s="434"/>
      <c r="C2" s="434"/>
      <c r="D2" s="434"/>
      <c r="E2" s="434"/>
    </row>
    <row r="3" spans="1:5" ht="15.75">
      <c r="A3" s="434" t="str">
        <f>'General Inputs'!$D$34&amp;" "&amp;'General Inputs'!$E$34</f>
        <v>Case No. 2021-00185</v>
      </c>
      <c r="B3" s="434"/>
      <c r="C3" s="434"/>
      <c r="D3" s="434"/>
      <c r="E3" s="434"/>
    </row>
    <row r="4" spans="1:5" ht="15.75">
      <c r="A4" s="434" t="str">
        <f>"For the Test Year Ended "&amp;TEXT('General Inputs'!E28,"Mmmm dd, yyyy")</f>
        <v>For the Test Year Ended December 31, 2020</v>
      </c>
      <c r="B4" s="434"/>
      <c r="C4" s="434"/>
      <c r="D4" s="434"/>
      <c r="E4" s="434"/>
    </row>
    <row r="5" spans="1:5" ht="15.75">
      <c r="A5" s="433" t="s">
        <v>85</v>
      </c>
      <c r="B5" s="433"/>
      <c r="C5" s="433"/>
      <c r="D5" s="433"/>
      <c r="E5" s="433"/>
    </row>
    <row r="9" spans="1:5" ht="15.75">
      <c r="A9" s="18" t="s">
        <v>29</v>
      </c>
      <c r="B9" s="18"/>
      <c r="C9" s="56" t="s">
        <v>191</v>
      </c>
      <c r="D9" s="56" t="s">
        <v>192</v>
      </c>
      <c r="E9" s="56" t="s">
        <v>28</v>
      </c>
    </row>
    <row r="10" spans="1:5" ht="20.25">
      <c r="A10" s="185" t="s">
        <v>24</v>
      </c>
      <c r="B10" s="192" t="s">
        <v>25</v>
      </c>
      <c r="C10" s="193" t="s">
        <v>30</v>
      </c>
      <c r="D10" s="193" t="s">
        <v>194</v>
      </c>
      <c r="E10" s="193" t="s">
        <v>30</v>
      </c>
    </row>
    <row r="11" spans="1:5" ht="15.75">
      <c r="A11" s="20"/>
      <c r="B11" s="20"/>
      <c r="C11" s="41" t="s">
        <v>34</v>
      </c>
      <c r="D11" s="36" t="s">
        <v>35</v>
      </c>
      <c r="E11" s="36" t="s">
        <v>195</v>
      </c>
    </row>
    <row r="12" spans="1:5">
      <c r="A12" s="27"/>
      <c r="B12" s="27"/>
      <c r="C12" s="31"/>
      <c r="D12" s="31"/>
      <c r="E12" s="31"/>
    </row>
    <row r="13" spans="1:5">
      <c r="A13" s="23">
        <v>1</v>
      </c>
      <c r="B13" s="45">
        <f>EOMONTH('General Inputs'!$E$26,0)</f>
        <v>43861</v>
      </c>
      <c r="C13" s="161"/>
      <c r="D13" s="163"/>
      <c r="E13" s="164">
        <f>C13*D13</f>
        <v>0</v>
      </c>
    </row>
    <row r="14" spans="1:5">
      <c r="A14" s="23">
        <f>A13+1</f>
        <v>2</v>
      </c>
      <c r="B14" s="45">
        <f>EOMONTH('General Inputs'!$E$26,1)</f>
        <v>43890</v>
      </c>
      <c r="C14" s="161"/>
      <c r="D14" s="163"/>
      <c r="E14" s="164">
        <f>C14*D14</f>
        <v>0</v>
      </c>
    </row>
    <row r="15" spans="1:5">
      <c r="A15" s="23">
        <f t="shared" ref="A15:A24" si="0">A14+1</f>
        <v>3</v>
      </c>
      <c r="B15" s="45">
        <f>EOMONTH('General Inputs'!$E$26,2)</f>
        <v>43921</v>
      </c>
      <c r="C15" s="161"/>
      <c r="D15" s="163"/>
      <c r="E15" s="164">
        <f t="shared" ref="E15:E24" si="1">C15*D15</f>
        <v>0</v>
      </c>
    </row>
    <row r="16" spans="1:5">
      <c r="A16" s="23">
        <f t="shared" si="0"/>
        <v>4</v>
      </c>
      <c r="B16" s="45">
        <f>EOMONTH('General Inputs'!$E$26,3)</f>
        <v>43951</v>
      </c>
      <c r="C16" s="161"/>
      <c r="D16" s="163"/>
      <c r="E16" s="164">
        <f t="shared" si="1"/>
        <v>0</v>
      </c>
    </row>
    <row r="17" spans="1:7">
      <c r="A17" s="23">
        <f t="shared" si="0"/>
        <v>5</v>
      </c>
      <c r="B17" s="45">
        <f>EOMONTH('General Inputs'!$E$26,4)</f>
        <v>43982</v>
      </c>
      <c r="C17" s="161"/>
      <c r="D17" s="163"/>
      <c r="E17" s="164">
        <f t="shared" si="1"/>
        <v>0</v>
      </c>
    </row>
    <row r="18" spans="1:7">
      <c r="A18" s="23">
        <f t="shared" si="0"/>
        <v>6</v>
      </c>
      <c r="B18" s="45">
        <f>EOMONTH('General Inputs'!$E$26,5)</f>
        <v>44012</v>
      </c>
      <c r="C18" s="161"/>
      <c r="D18" s="163"/>
      <c r="E18" s="164">
        <f t="shared" si="1"/>
        <v>0</v>
      </c>
    </row>
    <row r="19" spans="1:7">
      <c r="A19" s="23">
        <f t="shared" si="0"/>
        <v>7</v>
      </c>
      <c r="B19" s="45">
        <f>EOMONTH('General Inputs'!$E$26,6)</f>
        <v>44043</v>
      </c>
      <c r="C19" s="161"/>
      <c r="D19" s="163"/>
      <c r="E19" s="164">
        <f t="shared" si="1"/>
        <v>0</v>
      </c>
    </row>
    <row r="20" spans="1:7">
      <c r="A20" s="23">
        <f t="shared" si="0"/>
        <v>8</v>
      </c>
      <c r="B20" s="45">
        <f>EOMONTH('General Inputs'!$E$26,7)</f>
        <v>44074</v>
      </c>
      <c r="C20" s="161"/>
      <c r="D20" s="163"/>
      <c r="E20" s="164">
        <f t="shared" si="1"/>
        <v>0</v>
      </c>
    </row>
    <row r="21" spans="1:7">
      <c r="A21" s="23">
        <f t="shared" si="0"/>
        <v>9</v>
      </c>
      <c r="B21" s="45">
        <f>EOMONTH('General Inputs'!$E$26,8)</f>
        <v>44104</v>
      </c>
      <c r="C21" s="161"/>
      <c r="D21" s="163"/>
      <c r="E21" s="164">
        <f t="shared" si="1"/>
        <v>0</v>
      </c>
    </row>
    <row r="22" spans="1:7">
      <c r="A22" s="23">
        <f t="shared" si="0"/>
        <v>10</v>
      </c>
      <c r="B22" s="45">
        <f>EOMONTH('General Inputs'!$E$26,9)</f>
        <v>44135</v>
      </c>
      <c r="C22" s="161"/>
      <c r="D22" s="163"/>
      <c r="E22" s="164">
        <f t="shared" si="1"/>
        <v>0</v>
      </c>
    </row>
    <row r="23" spans="1:7">
      <c r="A23" s="23">
        <f t="shared" si="0"/>
        <v>11</v>
      </c>
      <c r="B23" s="45">
        <f>EOMONTH('General Inputs'!$E$26,10)</f>
        <v>44165</v>
      </c>
      <c r="C23" s="161"/>
      <c r="D23" s="163"/>
      <c r="E23" s="164">
        <f t="shared" si="1"/>
        <v>0</v>
      </c>
    </row>
    <row r="24" spans="1:7">
      <c r="A24" s="23">
        <f t="shared" si="0"/>
        <v>12</v>
      </c>
      <c r="B24" s="45">
        <f>EOMONTH('General Inputs'!$E$26,11)</f>
        <v>44196</v>
      </c>
      <c r="C24" s="161"/>
      <c r="D24" s="163"/>
      <c r="E24" s="164">
        <f t="shared" si="1"/>
        <v>0</v>
      </c>
    </row>
    <row r="25" spans="1:7">
      <c r="A25" s="23"/>
      <c r="B25" s="23"/>
      <c r="C25" s="160"/>
      <c r="D25" s="165"/>
      <c r="E25" s="165"/>
    </row>
    <row r="26" spans="1:7" ht="16.5" thickBot="1">
      <c r="A26" s="23">
        <v>13</v>
      </c>
      <c r="B26" s="150" t="s">
        <v>193</v>
      </c>
      <c r="C26" s="162">
        <f>IF(D26=0,0,E26/D26)</f>
        <v>0</v>
      </c>
      <c r="D26" s="166">
        <f>SUM(D13:D24)</f>
        <v>0</v>
      </c>
      <c r="E26" s="166">
        <f>SUM(E13:E24)</f>
        <v>0</v>
      </c>
    </row>
    <row r="27" spans="1:7" ht="15.75" thickTop="1">
      <c r="A27" s="23"/>
      <c r="B27" s="23"/>
      <c r="C27" s="160"/>
      <c r="D27" s="94"/>
      <c r="E27" s="94"/>
    </row>
    <row r="29" spans="1:7">
      <c r="A29" s="16" t="s">
        <v>157</v>
      </c>
      <c r="C29" s="107"/>
      <c r="D29" s="107"/>
      <c r="E29" s="107"/>
      <c r="F29" s="107"/>
      <c r="G29" s="107"/>
    </row>
    <row r="30" spans="1:7">
      <c r="A30" s="143" t="s">
        <v>243</v>
      </c>
      <c r="C30" s="107"/>
      <c r="D30" s="107"/>
      <c r="E30" s="107"/>
      <c r="F30" s="107"/>
      <c r="G30" s="107"/>
    </row>
    <row r="31" spans="1:7">
      <c r="A31" s="143" t="s">
        <v>158</v>
      </c>
      <c r="C31" s="107"/>
      <c r="D31" s="107"/>
      <c r="E31" s="107"/>
      <c r="F31" s="107"/>
      <c r="G31" s="107"/>
    </row>
    <row r="32" spans="1:7">
      <c r="A32" s="143" t="s">
        <v>159</v>
      </c>
    </row>
    <row r="33" spans="1:1">
      <c r="A33" s="143" t="s">
        <v>160</v>
      </c>
    </row>
    <row r="34" spans="1:1">
      <c r="A34" s="143" t="s">
        <v>161</v>
      </c>
    </row>
    <row r="35" spans="1:1">
      <c r="A35" s="143" t="s">
        <v>162</v>
      </c>
    </row>
    <row r="36" spans="1:1">
      <c r="A36" s="143" t="s">
        <v>163</v>
      </c>
    </row>
    <row r="37" spans="1:1">
      <c r="A37" s="143"/>
    </row>
    <row r="38" spans="1:1">
      <c r="A38" s="16" t="s">
        <v>156</v>
      </c>
    </row>
    <row r="39" spans="1:1">
      <c r="A39" s="143" t="s">
        <v>244</v>
      </c>
    </row>
    <row r="40" spans="1:1">
      <c r="A40" s="143" t="s">
        <v>153</v>
      </c>
    </row>
    <row r="41" spans="1:1">
      <c r="A41" s="143" t="s">
        <v>245</v>
      </c>
    </row>
    <row r="42" spans="1:1">
      <c r="A42" s="143" t="s">
        <v>325</v>
      </c>
    </row>
    <row r="43" spans="1:1">
      <c r="A43" s="143" t="s">
        <v>154</v>
      </c>
    </row>
    <row r="44" spans="1:1">
      <c r="A44" s="143" t="s">
        <v>246</v>
      </c>
    </row>
    <row r="45" spans="1:1">
      <c r="A45" s="143" t="s">
        <v>155</v>
      </c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6"/>
    <pageSetUpPr fitToPage="1"/>
  </sheetPr>
  <dimension ref="B1:T66"/>
  <sheetViews>
    <sheetView showGridLines="0" tabSelected="1" zoomScale="85" zoomScaleNormal="85" workbookViewId="0">
      <pane ySplit="9" topLeftCell="A22" activePane="bottomLeft" state="frozen"/>
      <selection pane="bottomLeft" activeCell="M6" sqref="M6"/>
    </sheetView>
  </sheetViews>
  <sheetFormatPr defaultColWidth="8.88671875" defaultRowHeight="15" outlineLevelRow="2"/>
  <cols>
    <col min="1" max="1" width="2.109375" style="202" customWidth="1"/>
    <col min="2" max="3" width="1.33203125" style="202" customWidth="1"/>
    <col min="4" max="4" width="47.21875" style="202" customWidth="1"/>
    <col min="5" max="6" width="13" style="202" customWidth="1"/>
    <col min="7" max="9" width="1.33203125" style="202" customWidth="1"/>
    <col min="10" max="16384" width="8.88671875" style="202"/>
  </cols>
  <sheetData>
    <row r="1" spans="2:20" s="217" customFormat="1" ht="15.75">
      <c r="E1" s="262"/>
      <c r="F1" s="262"/>
      <c r="I1" s="430" t="s">
        <v>614</v>
      </c>
    </row>
    <row r="2" spans="2:20" ht="15.75">
      <c r="B2" s="232" t="str">
        <f>'General Inputs'!B2</f>
        <v>Delta Natural Gas Company</v>
      </c>
      <c r="C2" s="200"/>
      <c r="D2" s="200"/>
      <c r="G2" s="200"/>
      <c r="H2" s="200"/>
      <c r="I2" s="430" t="s">
        <v>615</v>
      </c>
    </row>
    <row r="3" spans="2:20">
      <c r="B3" s="200" t="str">
        <f>'General Inputs'!B3</f>
        <v>Cash Working Capital Analysis</v>
      </c>
      <c r="C3" s="200"/>
      <c r="D3" s="200"/>
      <c r="G3" s="200"/>
      <c r="H3" s="200"/>
    </row>
    <row r="4" spans="2:20">
      <c r="B4" s="201" t="str">
        <f>'General Inputs'!B4</f>
        <v>2021 Rate Case</v>
      </c>
      <c r="C4" s="201"/>
      <c r="D4" s="201"/>
      <c r="G4" s="200"/>
      <c r="H4" s="200"/>
    </row>
    <row r="5" spans="2:20">
      <c r="B5" s="201" t="str">
        <f>'General Inputs'!B5</f>
        <v>Revenue Lag Days Based on the Year Ended December 31, 2020</v>
      </c>
      <c r="C5" s="231"/>
      <c r="D5" s="231"/>
      <c r="E5" s="203"/>
      <c r="F5" s="203"/>
      <c r="G5" s="200"/>
      <c r="H5" s="200"/>
    </row>
    <row r="6" spans="2:20">
      <c r="B6" s="201" t="str">
        <f>'General Inputs'!B6</f>
        <v>Expense Lead Days Based on the Year Ended December 31, 2020</v>
      </c>
      <c r="C6" s="231"/>
      <c r="D6" s="231"/>
      <c r="E6" s="203"/>
      <c r="F6" s="203"/>
      <c r="G6" s="200"/>
      <c r="H6" s="200"/>
    </row>
    <row r="7" spans="2:20">
      <c r="B7" s="200"/>
      <c r="C7" s="200"/>
      <c r="D7" s="200"/>
      <c r="E7" s="200"/>
      <c r="F7" s="200"/>
      <c r="G7" s="200"/>
      <c r="H7" s="200"/>
    </row>
    <row r="8" spans="2:20" ht="15.75">
      <c r="B8" s="205" t="s">
        <v>233</v>
      </c>
      <c r="C8" s="206"/>
      <c r="D8" s="206"/>
      <c r="E8" s="206"/>
      <c r="F8" s="206"/>
      <c r="G8" s="206"/>
      <c r="H8" s="208"/>
    </row>
    <row r="9" spans="2:20" ht="8.1" customHeight="1">
      <c r="B9" s="412"/>
      <c r="C9" s="413"/>
      <c r="D9" s="413"/>
      <c r="E9" s="413"/>
      <c r="F9" s="413"/>
      <c r="G9" s="413"/>
      <c r="H9" s="414"/>
    </row>
    <row r="10" spans="2:20" ht="8.1" customHeight="1">
      <c r="B10" s="412"/>
      <c r="C10" s="413"/>
      <c r="D10" s="413"/>
      <c r="E10" s="413"/>
      <c r="F10" s="413"/>
      <c r="G10" s="413"/>
      <c r="H10" s="414"/>
      <c r="J10" s="217"/>
      <c r="K10" s="217"/>
      <c r="L10" s="217"/>
      <c r="M10" s="217"/>
      <c r="N10" s="217"/>
      <c r="O10" s="217"/>
    </row>
    <row r="11" spans="2:20" ht="20.25">
      <c r="B11" s="412"/>
      <c r="C11" s="413"/>
      <c r="D11" s="415" t="s">
        <v>236</v>
      </c>
      <c r="E11" s="416"/>
      <c r="F11" s="416"/>
      <c r="G11" s="413"/>
      <c r="H11" s="414"/>
      <c r="J11" s="217"/>
      <c r="K11" s="217"/>
      <c r="L11" s="217"/>
      <c r="M11" s="217"/>
      <c r="N11" s="217"/>
      <c r="O11" s="217"/>
    </row>
    <row r="12" spans="2:20" ht="20.25">
      <c r="B12" s="412"/>
      <c r="C12" s="413"/>
      <c r="D12" s="417" t="s">
        <v>9</v>
      </c>
      <c r="E12" s="416"/>
      <c r="F12" s="425">
        <f>'Revenue Lag'!C12</f>
        <v>15.21</v>
      </c>
      <c r="G12" s="413"/>
      <c r="H12" s="414"/>
      <c r="J12" s="217"/>
      <c r="K12" s="217"/>
      <c r="L12" s="217"/>
      <c r="M12" s="217"/>
      <c r="N12" s="217"/>
      <c r="O12" s="217"/>
    </row>
    <row r="13" spans="2:20" ht="20.25">
      <c r="B13" s="412"/>
      <c r="C13" s="413"/>
      <c r="D13" s="417" t="s">
        <v>11</v>
      </c>
      <c r="E13" s="416"/>
      <c r="F13" s="426">
        <f>'Revenue Lag'!C13</f>
        <v>7</v>
      </c>
      <c r="G13" s="413"/>
      <c r="H13" s="414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</row>
    <row r="14" spans="2:20" ht="20.25">
      <c r="B14" s="412"/>
      <c r="C14" s="413"/>
      <c r="D14" s="417" t="s">
        <v>10</v>
      </c>
      <c r="E14" s="416"/>
      <c r="F14" s="426">
        <f>'Revenue Lag'!C14</f>
        <v>10.72</v>
      </c>
      <c r="G14" s="413"/>
      <c r="H14" s="414"/>
      <c r="J14" s="217"/>
      <c r="K14" s="217"/>
      <c r="L14" s="217"/>
      <c r="M14" s="217"/>
      <c r="N14" s="217"/>
      <c r="O14" s="217"/>
    </row>
    <row r="15" spans="2:20" ht="20.25">
      <c r="B15" s="412"/>
      <c r="C15" s="413"/>
      <c r="D15" s="417" t="s">
        <v>238</v>
      </c>
      <c r="E15" s="416"/>
      <c r="F15" s="423">
        <f>'Revenue Lag'!C15</f>
        <v>1</v>
      </c>
      <c r="G15" s="413"/>
      <c r="H15" s="414"/>
      <c r="J15" s="217"/>
      <c r="K15" s="217"/>
      <c r="L15" s="217"/>
      <c r="M15" s="217"/>
      <c r="N15" s="217"/>
      <c r="O15" s="217"/>
    </row>
    <row r="16" spans="2:20" ht="20.25">
      <c r="B16" s="412"/>
      <c r="C16" s="413"/>
      <c r="D16" s="418" t="s">
        <v>19</v>
      </c>
      <c r="E16" s="416"/>
      <c r="F16" s="427">
        <f>SUM(F12:F15)</f>
        <v>33.93</v>
      </c>
      <c r="G16" s="413"/>
      <c r="H16" s="414"/>
    </row>
    <row r="17" spans="2:16" ht="8.1" customHeight="1">
      <c r="B17" s="412"/>
      <c r="C17" s="413"/>
      <c r="D17" s="418"/>
      <c r="E17" s="413"/>
      <c r="F17" s="413"/>
      <c r="G17" s="413"/>
      <c r="H17" s="414"/>
    </row>
    <row r="18" spans="2:16" ht="20.25">
      <c r="B18" s="412"/>
      <c r="C18" s="413"/>
      <c r="D18" s="418"/>
      <c r="E18" s="428"/>
      <c r="F18" s="424" t="s">
        <v>32</v>
      </c>
      <c r="G18" s="413"/>
      <c r="H18" s="414"/>
    </row>
    <row r="19" spans="2:16" ht="15.75">
      <c r="B19" s="412"/>
      <c r="C19" s="413"/>
      <c r="D19" s="415" t="s">
        <v>237</v>
      </c>
      <c r="E19" s="413"/>
      <c r="F19" s="413"/>
      <c r="G19" s="413"/>
      <c r="H19" s="414"/>
      <c r="J19" s="217"/>
      <c r="K19" s="217"/>
      <c r="L19" s="217"/>
      <c r="M19" s="217"/>
      <c r="N19" s="217"/>
      <c r="O19" s="217"/>
    </row>
    <row r="20" spans="2:16" ht="20.25">
      <c r="B20" s="412"/>
      <c r="C20" s="413"/>
      <c r="D20" s="417" t="s">
        <v>383</v>
      </c>
      <c r="E20" s="416"/>
      <c r="F20" s="429">
        <f>'Purchased Gas and Transportatio'!H32</f>
        <v>45.5748781173723</v>
      </c>
      <c r="G20" s="413"/>
      <c r="H20" s="414"/>
      <c r="J20" s="217"/>
      <c r="K20" s="217"/>
      <c r="L20" s="217"/>
      <c r="M20" s="217"/>
      <c r="N20" s="217"/>
      <c r="O20" s="217"/>
    </row>
    <row r="21" spans="2:16" ht="20.25">
      <c r="B21" s="412"/>
      <c r="C21" s="413"/>
      <c r="D21" s="417" t="s">
        <v>96</v>
      </c>
      <c r="E21" s="416"/>
      <c r="F21" s="429">
        <f>Payroll!G73</f>
        <v>9.899380536560999</v>
      </c>
      <c r="G21" s="413"/>
      <c r="H21" s="414"/>
    </row>
    <row r="22" spans="2:16" ht="20.25">
      <c r="B22" s="412"/>
      <c r="C22" s="413"/>
      <c r="D22" s="417" t="s">
        <v>531</v>
      </c>
      <c r="E22" s="416"/>
      <c r="F22" s="429">
        <f>'Perf Incentives'!J19</f>
        <v>230.04286627494758</v>
      </c>
      <c r="G22" s="413"/>
      <c r="H22" s="414"/>
    </row>
    <row r="23" spans="2:16" ht="20.25">
      <c r="B23" s="412"/>
      <c r="C23" s="413"/>
      <c r="D23" s="417" t="s">
        <v>201</v>
      </c>
      <c r="E23" s="416"/>
      <c r="F23" s="429">
        <f>Payroll!G73</f>
        <v>9.899380536560999</v>
      </c>
      <c r="G23" s="413"/>
      <c r="H23" s="414"/>
    </row>
    <row r="24" spans="2:16" ht="20.25">
      <c r="B24" s="412"/>
      <c r="C24" s="413"/>
      <c r="D24" s="417" t="s">
        <v>197</v>
      </c>
      <c r="E24" s="416"/>
      <c r="F24" s="429">
        <f>Uncollectibles!C32</f>
        <v>19.562940289036803</v>
      </c>
      <c r="G24" s="413"/>
      <c r="H24" s="414"/>
      <c r="J24" s="217"/>
      <c r="K24" s="217"/>
      <c r="L24" s="217"/>
      <c r="M24" s="217"/>
      <c r="N24" s="217"/>
      <c r="O24" s="217"/>
      <c r="P24" s="217"/>
    </row>
    <row r="25" spans="2:16" ht="20.25">
      <c r="B25" s="412"/>
      <c r="C25" s="413"/>
      <c r="D25" s="417" t="s">
        <v>218</v>
      </c>
      <c r="E25" s="416"/>
      <c r="F25" s="429">
        <f>'Affiliate Lead Days'!G45</f>
        <v>33.368411320868958</v>
      </c>
      <c r="G25" s="413"/>
      <c r="H25" s="414"/>
    </row>
    <row r="26" spans="2:16" ht="20.25">
      <c r="B26" s="412"/>
      <c r="C26" s="413"/>
      <c r="D26" s="417" t="s">
        <v>217</v>
      </c>
      <c r="E26" s="416"/>
      <c r="F26" s="429">
        <f>'Other O&amp;M'!L204</f>
        <v>13.999795308393791</v>
      </c>
      <c r="G26" s="413"/>
      <c r="H26" s="414"/>
    </row>
    <row r="27" spans="2:16" ht="8.1" customHeight="1" outlineLevel="1">
      <c r="B27" s="412"/>
      <c r="C27" s="413"/>
      <c r="D27" s="417"/>
      <c r="E27" s="416"/>
      <c r="F27" s="413"/>
      <c r="G27" s="413"/>
      <c r="H27" s="414"/>
    </row>
    <row r="28" spans="2:16" ht="20.25">
      <c r="B28" s="412"/>
      <c r="C28" s="413"/>
      <c r="D28" s="415" t="s">
        <v>235</v>
      </c>
      <c r="E28" s="416"/>
      <c r="F28" s="413"/>
      <c r="G28" s="413"/>
      <c r="H28" s="414"/>
    </row>
    <row r="29" spans="2:16" ht="20.25">
      <c r="B29" s="412"/>
      <c r="C29" s="413"/>
      <c r="D29" s="417" t="s">
        <v>613</v>
      </c>
      <c r="E29" s="416"/>
      <c r="F29" s="429">
        <f>'Income Tax'!G19</f>
        <v>38</v>
      </c>
      <c r="G29" s="413"/>
      <c r="H29" s="414"/>
    </row>
    <row r="30" spans="2:16" ht="20.25">
      <c r="B30" s="412"/>
      <c r="C30" s="413"/>
      <c r="D30" s="417" t="s">
        <v>210</v>
      </c>
      <c r="E30" s="416"/>
      <c r="F30" s="429">
        <v>0</v>
      </c>
      <c r="G30" s="413"/>
      <c r="H30" s="414"/>
    </row>
    <row r="31" spans="2:16" ht="8.1" customHeight="1">
      <c r="B31" s="412"/>
      <c r="C31" s="413"/>
      <c r="D31" s="418"/>
      <c r="E31" s="416"/>
      <c r="F31" s="413"/>
      <c r="G31" s="413"/>
      <c r="H31" s="414"/>
    </row>
    <row r="32" spans="2:16" ht="20.25">
      <c r="B32" s="412"/>
      <c r="C32" s="413"/>
      <c r="D32" s="415" t="s">
        <v>2</v>
      </c>
      <c r="E32" s="416"/>
      <c r="F32" s="413"/>
      <c r="G32" s="413"/>
      <c r="H32" s="414"/>
    </row>
    <row r="33" spans="2:8" ht="20.25">
      <c r="B33" s="412"/>
      <c r="C33" s="413"/>
      <c r="D33" s="417" t="s">
        <v>4</v>
      </c>
      <c r="E33" s="416"/>
      <c r="F33" s="429">
        <f>'Property Tax'!F56</f>
        <v>301.20965193013575</v>
      </c>
      <c r="G33" s="413"/>
      <c r="H33" s="414"/>
    </row>
    <row r="34" spans="2:8" ht="20.25">
      <c r="B34" s="412"/>
      <c r="C34" s="413"/>
      <c r="D34" s="417" t="s">
        <v>3</v>
      </c>
      <c r="E34" s="416"/>
      <c r="F34" s="429">
        <f>Payroll!G73</f>
        <v>9.899380536560999</v>
      </c>
      <c r="G34" s="413"/>
      <c r="H34" s="414"/>
    </row>
    <row r="35" spans="2:8" ht="20.25">
      <c r="B35" s="412"/>
      <c r="C35" s="413"/>
      <c r="D35" s="417" t="s">
        <v>5</v>
      </c>
      <c r="E35" s="416"/>
      <c r="F35" s="429">
        <f>'Misc Tax'!H40</f>
        <v>-186.43994790023709</v>
      </c>
      <c r="G35" s="413"/>
      <c r="H35" s="414"/>
    </row>
    <row r="36" spans="2:8" ht="8.1" customHeight="1">
      <c r="B36" s="412"/>
      <c r="C36" s="413"/>
      <c r="D36" s="418"/>
      <c r="E36" s="416"/>
      <c r="F36" s="413"/>
      <c r="G36" s="413"/>
      <c r="H36" s="414"/>
    </row>
    <row r="37" spans="2:8" ht="20.25" hidden="1" outlineLevel="1">
      <c r="B37" s="412"/>
      <c r="C37" s="413"/>
      <c r="D37" s="419" t="s">
        <v>209</v>
      </c>
      <c r="E37" s="416"/>
      <c r="F37" s="429">
        <f>E37</f>
        <v>0</v>
      </c>
      <c r="G37" s="413"/>
      <c r="H37" s="414"/>
    </row>
    <row r="38" spans="2:8" ht="8.1" hidden="1" customHeight="1" outlineLevel="1">
      <c r="B38" s="412"/>
      <c r="C38" s="413"/>
      <c r="D38" s="418"/>
      <c r="E38" s="416"/>
      <c r="F38" s="413"/>
      <c r="G38" s="413"/>
      <c r="H38" s="414"/>
    </row>
    <row r="39" spans="2:8" ht="20.25" hidden="1" outlineLevel="1">
      <c r="B39" s="412"/>
      <c r="C39" s="413"/>
      <c r="D39" s="419" t="s">
        <v>198</v>
      </c>
      <c r="E39" s="416"/>
      <c r="F39" s="429">
        <f>E39</f>
        <v>0</v>
      </c>
      <c r="G39" s="413"/>
      <c r="H39" s="414"/>
    </row>
    <row r="40" spans="2:8" ht="8.1" hidden="1" customHeight="1" outlineLevel="1">
      <c r="B40" s="412"/>
      <c r="C40" s="413"/>
      <c r="D40" s="418"/>
      <c r="E40" s="416"/>
      <c r="F40" s="413"/>
      <c r="G40" s="413"/>
      <c r="H40" s="414"/>
    </row>
    <row r="41" spans="2:8" ht="20.25" hidden="1" outlineLevel="1">
      <c r="B41" s="412"/>
      <c r="C41" s="413"/>
      <c r="D41" s="419" t="s">
        <v>199</v>
      </c>
      <c r="E41" s="416"/>
      <c r="F41" s="429">
        <f>E41</f>
        <v>0</v>
      </c>
      <c r="G41" s="413"/>
      <c r="H41" s="414"/>
    </row>
    <row r="42" spans="2:8" ht="8.1" hidden="1" customHeight="1" outlineLevel="1">
      <c r="B42" s="412"/>
      <c r="C42" s="413"/>
      <c r="D42" s="418"/>
      <c r="E42" s="416"/>
      <c r="F42" s="413"/>
      <c r="G42" s="413"/>
      <c r="H42" s="414"/>
    </row>
    <row r="43" spans="2:8" ht="20.25" hidden="1" outlineLevel="1">
      <c r="B43" s="412"/>
      <c r="C43" s="413"/>
      <c r="D43" s="419" t="s">
        <v>88</v>
      </c>
      <c r="E43" s="416"/>
      <c r="F43" s="429">
        <f>E43</f>
        <v>0</v>
      </c>
      <c r="G43" s="413"/>
      <c r="H43" s="414"/>
    </row>
    <row r="44" spans="2:8" ht="8.1" hidden="1" customHeight="1" outlineLevel="2">
      <c r="B44" s="412"/>
      <c r="C44" s="413"/>
      <c r="D44" s="418"/>
      <c r="E44" s="416"/>
      <c r="F44" s="413"/>
      <c r="G44" s="413"/>
      <c r="H44" s="414"/>
    </row>
    <row r="45" spans="2:8" ht="20.25" hidden="1" outlineLevel="2">
      <c r="B45" s="412"/>
      <c r="C45" s="413"/>
      <c r="D45" s="419" t="s">
        <v>89</v>
      </c>
      <c r="E45" s="416"/>
      <c r="F45" s="429">
        <f>'Interest on Cust Deposits'!D26</f>
        <v>0</v>
      </c>
      <c r="G45" s="413"/>
      <c r="H45" s="414"/>
    </row>
    <row r="46" spans="2:8" ht="8.1" hidden="1" customHeight="1" outlineLevel="1" collapsed="1">
      <c r="B46" s="412"/>
      <c r="C46" s="413"/>
      <c r="D46" s="418"/>
      <c r="E46" s="416"/>
      <c r="F46" s="413"/>
      <c r="G46" s="413"/>
      <c r="H46" s="414"/>
    </row>
    <row r="47" spans="2:8" ht="20.25" hidden="1" outlineLevel="1">
      <c r="B47" s="412"/>
      <c r="C47" s="413"/>
      <c r="D47" s="419" t="s">
        <v>215</v>
      </c>
      <c r="E47" s="416"/>
      <c r="F47" s="429">
        <f>E47</f>
        <v>0</v>
      </c>
      <c r="G47" s="413"/>
      <c r="H47" s="414"/>
    </row>
    <row r="48" spans="2:8" ht="8.1" hidden="1" customHeight="1" outlineLevel="1">
      <c r="B48" s="412"/>
      <c r="C48" s="413"/>
      <c r="D48" s="418"/>
      <c r="E48" s="416"/>
      <c r="F48" s="413"/>
      <c r="G48" s="413"/>
      <c r="H48" s="414"/>
    </row>
    <row r="49" spans="2:8" ht="20.25" hidden="1" outlineLevel="1">
      <c r="B49" s="412"/>
      <c r="C49" s="413"/>
      <c r="D49" s="419" t="s">
        <v>216</v>
      </c>
      <c r="E49" s="416"/>
      <c r="F49" s="429">
        <f>E49</f>
        <v>0</v>
      </c>
      <c r="G49" s="413"/>
      <c r="H49" s="414"/>
    </row>
    <row r="50" spans="2:8" ht="8.1" hidden="1" customHeight="1" outlineLevel="1">
      <c r="B50" s="412"/>
      <c r="C50" s="413"/>
      <c r="D50" s="418"/>
      <c r="E50" s="416"/>
      <c r="F50" s="413"/>
      <c r="G50" s="413"/>
      <c r="H50" s="414"/>
    </row>
    <row r="51" spans="2:8" ht="20.25" collapsed="1">
      <c r="B51" s="412"/>
      <c r="C51" s="413"/>
      <c r="D51" s="419" t="s">
        <v>90</v>
      </c>
      <c r="E51" s="416"/>
      <c r="F51" s="429">
        <f>'Interest on Debt'!BA25</f>
        <v>35.432050154971634</v>
      </c>
      <c r="G51" s="413"/>
      <c r="H51" s="414"/>
    </row>
    <row r="52" spans="2:8" ht="8.1" customHeight="1">
      <c r="B52" s="412"/>
      <c r="C52" s="413"/>
      <c r="D52" s="418"/>
      <c r="E52" s="416"/>
      <c r="F52" s="413"/>
      <c r="G52" s="413"/>
      <c r="H52" s="414"/>
    </row>
    <row r="53" spans="2:8" ht="20.25" hidden="1" outlineLevel="1">
      <c r="B53" s="412"/>
      <c r="C53" s="413"/>
      <c r="D53" s="419" t="s">
        <v>196</v>
      </c>
      <c r="E53" s="416"/>
      <c r="F53" s="429">
        <f>E53</f>
        <v>0</v>
      </c>
      <c r="G53" s="413"/>
      <c r="H53" s="414"/>
    </row>
    <row r="54" spans="2:8" ht="8.1" hidden="1" customHeight="1" outlineLevel="1">
      <c r="B54" s="412"/>
      <c r="C54" s="413"/>
      <c r="D54" s="418"/>
      <c r="E54" s="416"/>
      <c r="F54" s="413"/>
      <c r="G54" s="413"/>
      <c r="H54" s="414"/>
    </row>
    <row r="55" spans="2:8" ht="20.25" collapsed="1">
      <c r="B55" s="412"/>
      <c r="C55" s="413"/>
      <c r="D55" s="419" t="s">
        <v>364</v>
      </c>
      <c r="E55" s="416"/>
      <c r="F55" s="429">
        <f>'Sales Tax (Pass-through)'!G26</f>
        <v>35.970067879586239</v>
      </c>
      <c r="G55" s="413"/>
      <c r="H55" s="414"/>
    </row>
    <row r="56" spans="2:8" ht="8.1" customHeight="1">
      <c r="B56" s="412"/>
      <c r="C56" s="413"/>
      <c r="D56" s="418"/>
      <c r="E56" s="416"/>
      <c r="F56" s="413"/>
      <c r="G56" s="413"/>
      <c r="H56" s="414"/>
    </row>
    <row r="57" spans="2:8" ht="20.25">
      <c r="B57" s="412"/>
      <c r="C57" s="413"/>
      <c r="D57" s="419" t="s">
        <v>365</v>
      </c>
      <c r="E57" s="416"/>
      <c r="F57" s="429">
        <f>'School Tax (Pass-through)'!G26</f>
        <v>36.471107914166353</v>
      </c>
      <c r="G57" s="413"/>
      <c r="H57" s="414"/>
    </row>
    <row r="58" spans="2:8" ht="8.1" customHeight="1">
      <c r="B58" s="412"/>
      <c r="C58" s="413"/>
      <c r="D58" s="418"/>
      <c r="E58" s="416"/>
      <c r="F58" s="413"/>
      <c r="G58" s="413"/>
      <c r="H58" s="414"/>
    </row>
    <row r="59" spans="2:8" ht="20.25">
      <c r="B59" s="412"/>
      <c r="C59" s="413"/>
      <c r="D59" s="419" t="s">
        <v>352</v>
      </c>
      <c r="E59" s="416"/>
      <c r="F59" s="429">
        <f>'Franchise Fees (Pass-through)'!H68</f>
        <v>55.621147613835767</v>
      </c>
      <c r="G59" s="413"/>
      <c r="H59" s="414"/>
    </row>
    <row r="60" spans="2:8" ht="8.1" hidden="1" customHeight="1" outlineLevel="1">
      <c r="B60" s="412"/>
      <c r="C60" s="413"/>
      <c r="D60" s="418"/>
      <c r="E60" s="413"/>
      <c r="F60" s="413"/>
      <c r="G60" s="413"/>
      <c r="H60" s="414"/>
    </row>
    <row r="61" spans="2:8" ht="15.75" hidden="1" outlineLevel="1">
      <c r="B61" s="412"/>
      <c r="C61" s="413"/>
      <c r="D61" s="419" t="s">
        <v>359</v>
      </c>
      <c r="E61" s="429">
        <f>'Cust Utility Tax (Pass-through)'!E83</f>
        <v>0</v>
      </c>
      <c r="F61" s="429">
        <f>'Cust Utility Tax (Pass-through)'!F83</f>
        <v>0</v>
      </c>
      <c r="G61" s="413"/>
      <c r="H61" s="414"/>
    </row>
    <row r="62" spans="2:8" ht="8.1" hidden="1" customHeight="1" outlineLevel="1">
      <c r="B62" s="412"/>
      <c r="C62" s="413"/>
      <c r="D62" s="418"/>
      <c r="E62" s="413"/>
      <c r="F62" s="413"/>
      <c r="G62" s="413"/>
      <c r="H62" s="414"/>
    </row>
    <row r="63" spans="2:8" ht="15.75" hidden="1" outlineLevel="1">
      <c r="B63" s="412"/>
      <c r="C63" s="413"/>
      <c r="D63" s="419" t="s">
        <v>360</v>
      </c>
      <c r="E63" s="429">
        <f>'Consumption Tax (Pass-through)'!E88</f>
        <v>0</v>
      </c>
      <c r="F63" s="429">
        <f>'Consumption Tax (Pass-through)'!F88</f>
        <v>0</v>
      </c>
      <c r="G63" s="413"/>
      <c r="H63" s="414"/>
    </row>
    <row r="64" spans="2:8" ht="8.1" customHeight="1" collapsed="1">
      <c r="B64" s="412"/>
      <c r="C64" s="413"/>
      <c r="D64" s="413"/>
      <c r="E64" s="413"/>
      <c r="F64" s="413"/>
      <c r="G64" s="413"/>
      <c r="H64" s="414"/>
    </row>
    <row r="65" spans="2:8" ht="8.1" customHeight="1">
      <c r="B65" s="420"/>
      <c r="C65" s="421"/>
      <c r="D65" s="421"/>
      <c r="E65" s="421"/>
      <c r="F65" s="421"/>
      <c r="G65" s="421"/>
      <c r="H65" s="422"/>
    </row>
    <row r="66" spans="2:8">
      <c r="B66" s="200"/>
      <c r="C66" s="200"/>
      <c r="D66" s="200"/>
      <c r="E66" s="200"/>
      <c r="F66" s="200"/>
      <c r="G66" s="200"/>
      <c r="H66" s="200"/>
    </row>
  </sheetData>
  <printOptions horizontalCentered="1"/>
  <pageMargins left="0.7" right="0.7" top="0.75" bottom="0.75" header="0.3" footer="0.3"/>
  <pageSetup scale="92" orientation="portrait" blackAndWhite="1" r:id="rId1"/>
  <headerFooter>
    <oddHeader>&amp;R&amp;"Arial,Bold"Exhibit WSS-36
Page 2 of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5" tint="0.39997558519241921"/>
    <pageSetUpPr fitToPage="1"/>
  </sheetPr>
  <dimension ref="A1:J23"/>
  <sheetViews>
    <sheetView showGridLines="0" zoomScale="85" zoomScaleNormal="85" workbookViewId="0">
      <pane ySplit="5" topLeftCell="A6" activePane="bottomLeft" state="frozen"/>
      <selection pane="bottomLeft" activeCell="C13" sqref="C13"/>
    </sheetView>
  </sheetViews>
  <sheetFormatPr defaultRowHeight="15"/>
  <cols>
    <col min="2" max="2" width="33" customWidth="1"/>
    <col min="3" max="3" width="16.6640625" customWidth="1"/>
  </cols>
  <sheetData>
    <row r="1" spans="1:10" s="76" customFormat="1" ht="15.75">
      <c r="C1" s="246"/>
    </row>
    <row r="2" spans="1:10" ht="15.75">
      <c r="A2" s="434" t="str">
        <f>'General Inputs'!$B$2</f>
        <v>Delta Natural Gas Company</v>
      </c>
      <c r="B2" s="434"/>
      <c r="C2" s="434"/>
    </row>
    <row r="3" spans="1:10" ht="15.75">
      <c r="A3" s="434" t="str">
        <f>IF('General Inputs'!E19="","",'General Inputs'!$D$19&amp;" "&amp;'General Inputs'!$E$19)</f>
        <v>Case No. 2021-00185</v>
      </c>
      <c r="B3" s="434"/>
      <c r="C3" s="434"/>
    </row>
    <row r="4" spans="1:10" ht="15.75">
      <c r="A4" s="434" t="str">
        <f>"For the Year Ended "&amp;TEXT('General Inputs'!$E$13,"Mmmm dd, yyyy")</f>
        <v>For the Year Ended December 31, 2020</v>
      </c>
      <c r="B4" s="434"/>
      <c r="C4" s="434"/>
    </row>
    <row r="5" spans="1:10" ht="15.75">
      <c r="A5" s="433" t="s">
        <v>6</v>
      </c>
      <c r="B5" s="433"/>
      <c r="C5" s="433"/>
    </row>
    <row r="8" spans="1:10" ht="20.25">
      <c r="C8" s="281"/>
    </row>
    <row r="9" spans="1:10" ht="20.25">
      <c r="A9" s="198" t="s">
        <v>0</v>
      </c>
      <c r="B9" s="198" t="s">
        <v>7</v>
      </c>
      <c r="C9" s="286" t="s">
        <v>8</v>
      </c>
      <c r="D9" s="286"/>
    </row>
    <row r="10" spans="1:10" ht="15.75">
      <c r="B10" s="253" t="s">
        <v>34</v>
      </c>
      <c r="C10" s="256" t="s">
        <v>36</v>
      </c>
    </row>
    <row r="11" spans="1:10" ht="15.75">
      <c r="B11" s="253"/>
      <c r="C11" s="98"/>
    </row>
    <row r="12" spans="1:10">
      <c r="A12" s="6">
        <v>1</v>
      </c>
      <c r="B12" t="s">
        <v>9</v>
      </c>
      <c r="C12" s="4">
        <f>ROUND(365/12/2,2)</f>
        <v>15.21</v>
      </c>
      <c r="D12" s="76"/>
      <c r="E12" s="76"/>
      <c r="F12" s="76"/>
      <c r="G12" s="76"/>
      <c r="H12" s="76"/>
      <c r="I12" s="76"/>
      <c r="J12" s="76"/>
    </row>
    <row r="13" spans="1:10">
      <c r="A13" s="6">
        <f>A12+1</f>
        <v>2</v>
      </c>
      <c r="B13" t="s">
        <v>11</v>
      </c>
      <c r="C13" s="183">
        <f>'Billing Lag'!C12</f>
        <v>7</v>
      </c>
    </row>
    <row r="14" spans="1:10">
      <c r="A14" s="153">
        <f>A13+1</f>
        <v>3</v>
      </c>
      <c r="B14" t="s">
        <v>10</v>
      </c>
      <c r="C14" s="183">
        <f>'Collection Lag'!C34</f>
        <v>10.72</v>
      </c>
    </row>
    <row r="15" spans="1:10">
      <c r="A15" s="153">
        <f>A14+1</f>
        <v>4</v>
      </c>
      <c r="B15" t="s">
        <v>12</v>
      </c>
      <c r="C15" s="12">
        <v>1</v>
      </c>
    </row>
    <row r="16" spans="1:10">
      <c r="A16" s="6"/>
      <c r="C16" s="4"/>
    </row>
    <row r="17" spans="1:3" ht="16.5" thickBot="1">
      <c r="A17" s="6">
        <f>A15+1</f>
        <v>5</v>
      </c>
      <c r="B17" t="s">
        <v>26</v>
      </c>
      <c r="C17" s="259">
        <f>SUM(C12:C15)</f>
        <v>33.93</v>
      </c>
    </row>
    <row r="18" spans="1:3" ht="15.75" thickTop="1"/>
    <row r="20" spans="1:3">
      <c r="A20" t="s">
        <v>221</v>
      </c>
    </row>
    <row r="21" spans="1:3">
      <c r="A21" t="s">
        <v>202</v>
      </c>
    </row>
    <row r="22" spans="1:3">
      <c r="A22" t="s">
        <v>377</v>
      </c>
    </row>
    <row r="23" spans="1:3">
      <c r="A23" t="s">
        <v>222</v>
      </c>
    </row>
  </sheetData>
  <mergeCells count="4">
    <mergeCell ref="A5:C5"/>
    <mergeCell ref="A4:C4"/>
    <mergeCell ref="A3:C3"/>
    <mergeCell ref="A2:C2"/>
  </mergeCells>
  <printOptions horizontalCentered="1"/>
  <pageMargins left="0.7" right="0.7" top="0.75" bottom="0.75" header="0.3" footer="0.3"/>
  <pageSetup fitToHeight="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theme="5" tint="0.39997558519241921"/>
    <pageSetUpPr fitToPage="1"/>
  </sheetPr>
  <dimension ref="A1:F16"/>
  <sheetViews>
    <sheetView showGridLines="0" zoomScale="85" zoomScaleNormal="85" workbookViewId="0">
      <pane ySplit="5" topLeftCell="A6" activePane="bottomLeft" state="frozen"/>
      <selection pane="bottomLeft" activeCell="B19" sqref="B19"/>
    </sheetView>
  </sheetViews>
  <sheetFormatPr defaultRowHeight="15"/>
  <cols>
    <col min="1" max="1" width="9" bestFit="1" customWidth="1"/>
    <col min="2" max="2" width="70.77734375" customWidth="1"/>
    <col min="3" max="3" width="14.77734375" customWidth="1"/>
    <col min="4" max="4" width="9" bestFit="1" customWidth="1"/>
    <col min="5" max="5" width="11.77734375" customWidth="1"/>
    <col min="6" max="6" width="10.5546875" customWidth="1"/>
    <col min="7" max="7" width="15.109375" bestFit="1" customWidth="1"/>
  </cols>
  <sheetData>
    <row r="1" spans="1:6" s="76" customFormat="1" ht="15.75">
      <c r="A1" s="240"/>
      <c r="C1" s="240"/>
      <c r="D1" s="240"/>
      <c r="E1" s="240"/>
      <c r="F1" s="240"/>
    </row>
    <row r="2" spans="1:6" ht="15.75">
      <c r="A2" s="434" t="str">
        <f>'General Inputs'!$B$2</f>
        <v>Delta Natural Gas Company</v>
      </c>
      <c r="B2" s="434"/>
      <c r="C2" s="434"/>
    </row>
    <row r="3" spans="1:6" ht="15.75">
      <c r="A3" s="434" t="str">
        <f>IF('General Inputs'!E19="","",'General Inputs'!$D$19&amp;" "&amp;'General Inputs'!$E$19)</f>
        <v>Case No. 2021-00185</v>
      </c>
      <c r="B3" s="434" t="str">
        <f>'General Inputs'!$D$19&amp;" "&amp;'General Inputs'!$E$19</f>
        <v>Case No. 2021-00185</v>
      </c>
      <c r="C3" s="434" t="str">
        <f>'General Inputs'!$D$19&amp;" "&amp;'General Inputs'!$E$19</f>
        <v>Case No. 2021-00185</v>
      </c>
    </row>
    <row r="4" spans="1:6" ht="15.75">
      <c r="A4" s="434" t="str">
        <f>"For the Year Ended "&amp;TEXT('General Inputs'!$E$13,"Mmmm dd, yyyy")</f>
        <v>For the Year Ended December 31, 2020</v>
      </c>
      <c r="B4" s="434"/>
      <c r="C4" s="434"/>
    </row>
    <row r="5" spans="1:6" s="255" customFormat="1" ht="16.5" thickBot="1">
      <c r="A5" s="435" t="s">
        <v>22</v>
      </c>
      <c r="B5" s="435"/>
      <c r="C5" s="435"/>
    </row>
    <row r="7" spans="1:6" ht="15.75">
      <c r="B7" s="156"/>
      <c r="C7" s="72" t="s">
        <v>27</v>
      </c>
      <c r="D7" s="7"/>
    </row>
    <row r="8" spans="1:6" ht="15.75">
      <c r="A8" s="72" t="s">
        <v>23</v>
      </c>
      <c r="B8" s="154"/>
      <c r="C8" s="72" t="s">
        <v>188</v>
      </c>
      <c r="D8" s="7"/>
    </row>
    <row r="9" spans="1:6" ht="20.25">
      <c r="A9" s="197" t="s">
        <v>24</v>
      </c>
      <c r="B9" s="197" t="s">
        <v>1</v>
      </c>
      <c r="C9" s="197" t="s">
        <v>59</v>
      </c>
    </row>
    <row r="10" spans="1:6" ht="15.75">
      <c r="A10" s="8"/>
      <c r="B10" s="253" t="s">
        <v>34</v>
      </c>
      <c r="C10" s="98" t="s">
        <v>35</v>
      </c>
    </row>
    <row r="11" spans="1:6" ht="15.75">
      <c r="A11" s="8"/>
      <c r="B11" s="253"/>
      <c r="C11" s="98"/>
    </row>
    <row r="12" spans="1:6" ht="16.5" thickBot="1">
      <c r="A12" s="9">
        <v>1</v>
      </c>
      <c r="B12" s="10" t="s">
        <v>525</v>
      </c>
      <c r="C12" s="397">
        <v>7</v>
      </c>
    </row>
    <row r="13" spans="1:6" ht="15.75" thickTop="1">
      <c r="A13" s="9"/>
      <c r="B13" s="10"/>
    </row>
    <row r="14" spans="1:6">
      <c r="A14" s="76"/>
      <c r="B14" s="76"/>
    </row>
    <row r="15" spans="1:6">
      <c r="D15" s="76"/>
      <c r="E15" s="76"/>
    </row>
    <row r="16" spans="1:6">
      <c r="A16" s="155"/>
      <c r="C16" s="76"/>
    </row>
  </sheetData>
  <mergeCells count="4">
    <mergeCell ref="A5:C5"/>
    <mergeCell ref="A4:C4"/>
    <mergeCell ref="A3:C3"/>
    <mergeCell ref="A2:C2"/>
  </mergeCells>
  <printOptions horizontalCentered="1"/>
  <pageMargins left="0.7" right="0.7" top="0.75" bottom="0.75" header="0.3" footer="0.3"/>
  <pageSetup scale="99" fitToHeight="0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theme="5" tint="0.39997558519241921"/>
    <pageSetUpPr fitToPage="1"/>
  </sheetPr>
  <dimension ref="A1:F38"/>
  <sheetViews>
    <sheetView showGridLines="0" zoomScale="85" zoomScaleNormal="85" workbookViewId="0">
      <pane ySplit="5" topLeftCell="A18" activePane="bottomLeft" state="frozen"/>
      <selection pane="bottomLeft" activeCell="F26" sqref="F26"/>
    </sheetView>
  </sheetViews>
  <sheetFormatPr defaultRowHeight="15"/>
  <cols>
    <col min="2" max="2" width="66.77734375" customWidth="1"/>
    <col min="3" max="3" width="16.77734375" style="3" customWidth="1"/>
  </cols>
  <sheetData>
    <row r="1" spans="1:6" s="76" customFormat="1" ht="15.75">
      <c r="C1" s="246"/>
      <c r="D1" s="74"/>
      <c r="E1" s="74"/>
      <c r="F1" s="74"/>
    </row>
    <row r="2" spans="1:6" ht="15.75">
      <c r="A2" s="434" t="str">
        <f>'General Inputs'!$B$2</f>
        <v>Delta Natural Gas Company</v>
      </c>
      <c r="B2" s="434"/>
      <c r="C2" s="434"/>
    </row>
    <row r="3" spans="1:6" ht="15.75">
      <c r="A3" s="434" t="str">
        <f>IF('General Inputs'!E19="","",'General Inputs'!$D$19&amp;" "&amp;'General Inputs'!$E$19)</f>
        <v>Case No. 2021-00185</v>
      </c>
      <c r="B3" s="434" t="str">
        <f>'General Inputs'!$D$19&amp;" "&amp;'General Inputs'!$E$19</f>
        <v>Case No. 2021-00185</v>
      </c>
      <c r="C3" s="434" t="str">
        <f>'General Inputs'!$D$19&amp;" "&amp;'General Inputs'!$E$19</f>
        <v>Case No. 2021-00185</v>
      </c>
    </row>
    <row r="4" spans="1:6" ht="15.75">
      <c r="A4" s="434" t="str">
        <f>"For the Year Ended "&amp;TEXT('General Inputs'!$E$13,"Mmmm dd, yyyy")</f>
        <v>For the Year Ended December 31, 2020</v>
      </c>
      <c r="B4" s="434"/>
      <c r="C4" s="434"/>
    </row>
    <row r="5" spans="1:6" ht="16.5" thickBot="1">
      <c r="A5" s="435" t="s">
        <v>13</v>
      </c>
      <c r="B5" s="435"/>
      <c r="C5" s="435"/>
    </row>
    <row r="8" spans="1:6" ht="15.75">
      <c r="C8" s="98"/>
    </row>
    <row r="9" spans="1:6" ht="20.25">
      <c r="A9" s="198" t="s">
        <v>0</v>
      </c>
      <c r="B9" s="198" t="s">
        <v>14</v>
      </c>
      <c r="C9" s="199" t="s">
        <v>19</v>
      </c>
    </row>
    <row r="10" spans="1:6" ht="15.75">
      <c r="B10" s="253" t="s">
        <v>34</v>
      </c>
      <c r="C10" s="256" t="s">
        <v>35</v>
      </c>
    </row>
    <row r="11" spans="1:6" ht="15.75">
      <c r="B11" s="253"/>
      <c r="C11" s="98"/>
    </row>
    <row r="12" spans="1:6">
      <c r="A12" s="6">
        <v>1</v>
      </c>
      <c r="B12" t="s">
        <v>16</v>
      </c>
    </row>
    <row r="13" spans="1:6">
      <c r="A13" s="6">
        <f>A12+1</f>
        <v>2</v>
      </c>
      <c r="B13" s="1" t="s">
        <v>344</v>
      </c>
      <c r="C13" s="287">
        <v>22662092</v>
      </c>
    </row>
    <row r="14" spans="1:6">
      <c r="A14" s="153">
        <f t="shared" ref="A14:A25" si="0">A13+1</f>
        <v>3</v>
      </c>
      <c r="B14" s="1" t="s">
        <v>345</v>
      </c>
      <c r="C14" s="287">
        <v>6587910</v>
      </c>
    </row>
    <row r="15" spans="1:6">
      <c r="A15" s="153">
        <f t="shared" si="0"/>
        <v>4</v>
      </c>
      <c r="B15" s="1" t="s">
        <v>346</v>
      </c>
      <c r="C15" s="287">
        <v>8280960</v>
      </c>
    </row>
    <row r="16" spans="1:6">
      <c r="A16" s="153">
        <f t="shared" si="0"/>
        <v>5</v>
      </c>
      <c r="B16" s="1" t="s">
        <v>374</v>
      </c>
      <c r="C16" s="287">
        <v>-2607436</v>
      </c>
    </row>
    <row r="17" spans="1:3">
      <c r="A17" s="153">
        <f t="shared" si="0"/>
        <v>6</v>
      </c>
      <c r="B17" s="1" t="s">
        <v>372</v>
      </c>
      <c r="C17" s="287">
        <v>5203228</v>
      </c>
    </row>
    <row r="18" spans="1:3">
      <c r="A18" s="153">
        <f t="shared" si="0"/>
        <v>7</v>
      </c>
      <c r="B18" s="1" t="s">
        <v>373</v>
      </c>
      <c r="C18" s="287">
        <v>2699723</v>
      </c>
    </row>
    <row r="19" spans="1:3">
      <c r="A19" s="153">
        <f t="shared" si="0"/>
        <v>8</v>
      </c>
      <c r="B19" s="5" t="s">
        <v>348</v>
      </c>
      <c r="C19" s="288">
        <f>SUM(C13:C18)</f>
        <v>42826477</v>
      </c>
    </row>
    <row r="20" spans="1:3">
      <c r="A20" s="153"/>
      <c r="B20" s="5"/>
      <c r="C20" s="277"/>
    </row>
    <row r="21" spans="1:3">
      <c r="A21" s="153">
        <f>A19+1</f>
        <v>9</v>
      </c>
      <c r="B21" t="s">
        <v>17</v>
      </c>
      <c r="C21" s="289"/>
    </row>
    <row r="22" spans="1:3">
      <c r="A22" s="153">
        <f t="shared" si="0"/>
        <v>10</v>
      </c>
      <c r="B22" s="1" t="s">
        <v>347</v>
      </c>
      <c r="C22" s="287">
        <v>125705</v>
      </c>
    </row>
    <row r="23" spans="1:3">
      <c r="A23" s="153">
        <f t="shared" si="0"/>
        <v>11</v>
      </c>
      <c r="B23" s="99" t="s">
        <v>375</v>
      </c>
      <c r="C23" s="287">
        <v>20145</v>
      </c>
    </row>
    <row r="24" spans="1:3">
      <c r="A24" s="153">
        <f t="shared" si="0"/>
        <v>12</v>
      </c>
      <c r="B24" s="99" t="s">
        <v>376</v>
      </c>
      <c r="C24" s="287">
        <v>-11490646</v>
      </c>
    </row>
    <row r="25" spans="1:3">
      <c r="A25" s="153">
        <f t="shared" si="0"/>
        <v>13</v>
      </c>
      <c r="B25" s="5" t="s">
        <v>349</v>
      </c>
      <c r="C25" s="290">
        <f>SUM(C22:C24)</f>
        <v>-11344796</v>
      </c>
    </row>
    <row r="26" spans="1:3">
      <c r="C26" s="74"/>
    </row>
    <row r="27" spans="1:3">
      <c r="A27" s="6">
        <f>A25+1</f>
        <v>14</v>
      </c>
      <c r="B27" s="2" t="s">
        <v>350</v>
      </c>
      <c r="C27" s="291">
        <f>C19+C25</f>
        <v>31481681</v>
      </c>
    </row>
    <row r="28" spans="1:3">
      <c r="C28" s="74"/>
    </row>
    <row r="29" spans="1:3">
      <c r="A29" s="76"/>
      <c r="B29" s="184"/>
      <c r="C29" s="74"/>
    </row>
    <row r="30" spans="1:3">
      <c r="A30" s="153">
        <f>A27</f>
        <v>14</v>
      </c>
      <c r="B30" s="76" t="s">
        <v>526</v>
      </c>
      <c r="C30" s="272">
        <f>(C27)/365</f>
        <v>86251.180821917806</v>
      </c>
    </row>
    <row r="31" spans="1:3">
      <c r="A31" s="76"/>
      <c r="B31" s="76"/>
      <c r="C31" s="74"/>
    </row>
    <row r="32" spans="1:3">
      <c r="A32" s="153">
        <f>A30+1</f>
        <v>15</v>
      </c>
      <c r="B32" s="76" t="s">
        <v>21</v>
      </c>
      <c r="C32" s="108">
        <f>'Avg Daily AR Balance'!C28</f>
        <v>924293.44846153865</v>
      </c>
    </row>
    <row r="33" spans="1:3">
      <c r="A33" s="76"/>
      <c r="B33" s="76"/>
      <c r="C33" s="74"/>
    </row>
    <row r="34" spans="1:3" ht="16.5" thickBot="1">
      <c r="A34" s="153">
        <f>A32+1</f>
        <v>16</v>
      </c>
      <c r="B34" s="76" t="s">
        <v>353</v>
      </c>
      <c r="C34" s="260">
        <f>IF(C30=0,0,ROUND(C32/C30,2))</f>
        <v>10.72</v>
      </c>
    </row>
    <row r="35" spans="1:3" ht="15.75" thickTop="1">
      <c r="A35" s="6"/>
    </row>
    <row r="36" spans="1:3">
      <c r="A36" s="257" t="s">
        <v>378</v>
      </c>
      <c r="B36" s="76"/>
    </row>
    <row r="37" spans="1:3">
      <c r="A37" s="6"/>
    </row>
    <row r="38" spans="1:3">
      <c r="A38" s="6"/>
    </row>
  </sheetData>
  <mergeCells count="4">
    <mergeCell ref="A5:C5"/>
    <mergeCell ref="A4:C4"/>
    <mergeCell ref="A3:C3"/>
    <mergeCell ref="A2:C2"/>
  </mergeCells>
  <printOptions horizontalCentered="1"/>
  <pageMargins left="0.7" right="0.7" top="0.75" bottom="0.75" header="0.3" footer="0.3"/>
  <pageSetup scale="81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theme="5" tint="0.39997558519241921"/>
    <pageSetUpPr fitToPage="1"/>
  </sheetPr>
  <dimension ref="A1:G33"/>
  <sheetViews>
    <sheetView showGridLines="0" zoomScale="85" zoomScaleNormal="85" workbookViewId="0">
      <pane ySplit="5" topLeftCell="A6" activePane="bottomLeft" state="frozen"/>
      <selection pane="bottomLeft" activeCell="F21" sqref="F21"/>
    </sheetView>
  </sheetViews>
  <sheetFormatPr defaultRowHeight="15"/>
  <cols>
    <col min="2" max="2" width="26.88671875" customWidth="1"/>
    <col min="3" max="3" width="16.77734375" style="3" customWidth="1"/>
    <col min="5" max="5" width="13.88671875" customWidth="1"/>
  </cols>
  <sheetData>
    <row r="1" spans="1:7" s="76" customFormat="1" ht="15.75">
      <c r="C1" s="74"/>
      <c r="G1" s="246"/>
    </row>
    <row r="2" spans="1:7" ht="15.75">
      <c r="A2" s="434" t="str">
        <f>'General Inputs'!$B$2</f>
        <v>Delta Natural Gas Company</v>
      </c>
      <c r="B2" s="434"/>
      <c r="C2" s="434"/>
      <c r="D2" s="434"/>
      <c r="E2" s="434"/>
      <c r="F2" s="434"/>
      <c r="G2" s="434"/>
    </row>
    <row r="3" spans="1:7" ht="15.75">
      <c r="A3" s="434" t="str">
        <f>IF('General Inputs'!E19="","",'General Inputs'!$D$19&amp;" "&amp;'General Inputs'!$E$19)</f>
        <v>Case No. 2021-00185</v>
      </c>
      <c r="B3" s="434"/>
      <c r="C3" s="434"/>
      <c r="D3" s="434"/>
      <c r="E3" s="434"/>
      <c r="F3" s="434"/>
      <c r="G3" s="434"/>
    </row>
    <row r="4" spans="1:7" ht="15.75">
      <c r="A4" s="434" t="str">
        <f>"For the Year Ended "&amp;TEXT('General Inputs'!$E$13,"Mmmm dd, yyyy")</f>
        <v>For the Year Ended December 31, 2020</v>
      </c>
      <c r="B4" s="434"/>
      <c r="C4" s="434"/>
      <c r="D4" s="434"/>
      <c r="E4" s="434"/>
      <c r="F4" s="434"/>
      <c r="G4" s="434"/>
    </row>
    <row r="5" spans="1:7" ht="15.75">
      <c r="A5" s="433" t="s">
        <v>18</v>
      </c>
      <c r="B5" s="433"/>
      <c r="C5" s="433"/>
      <c r="D5" s="433"/>
      <c r="E5" s="433"/>
      <c r="F5" s="433"/>
      <c r="G5" s="433"/>
    </row>
    <row r="8" spans="1:7" ht="15.75">
      <c r="C8" s="98"/>
    </row>
    <row r="9" spans="1:7" s="255" customFormat="1" ht="20.25">
      <c r="A9" s="198" t="s">
        <v>0</v>
      </c>
      <c r="B9" s="198" t="s">
        <v>25</v>
      </c>
      <c r="C9" s="199" t="s">
        <v>19</v>
      </c>
    </row>
    <row r="10" spans="1:7" ht="15.75">
      <c r="B10" s="253" t="s">
        <v>34</v>
      </c>
      <c r="C10" s="98" t="s">
        <v>35</v>
      </c>
    </row>
    <row r="11" spans="1:7" ht="15.75">
      <c r="B11" s="273"/>
      <c r="C11" s="98"/>
    </row>
    <row r="12" spans="1:7">
      <c r="A12" s="6">
        <v>1</v>
      </c>
      <c r="B12" s="45">
        <f>EOMONTH('General Inputs'!$E$11-1,0)</f>
        <v>43830</v>
      </c>
      <c r="C12" s="274">
        <v>1419969.26</v>
      </c>
    </row>
    <row r="13" spans="1:7">
      <c r="A13" s="6">
        <v>2</v>
      </c>
      <c r="B13" s="45">
        <f>EOMONTH('General Inputs'!$E$11,0)</f>
        <v>43861</v>
      </c>
      <c r="C13" s="274">
        <v>761248.78</v>
      </c>
      <c r="D13" s="76"/>
      <c r="E13" s="276"/>
    </row>
    <row r="14" spans="1:7">
      <c r="A14" s="6">
        <v>3</v>
      </c>
      <c r="B14" s="45">
        <f>EOMONTH('General Inputs'!$E$11,1)</f>
        <v>43890</v>
      </c>
      <c r="C14" s="274">
        <v>987695.31</v>
      </c>
      <c r="E14" s="276"/>
    </row>
    <row r="15" spans="1:7">
      <c r="A15" s="6">
        <v>4</v>
      </c>
      <c r="B15" s="45">
        <f>EOMONTH('General Inputs'!$E$11,2)</f>
        <v>43921</v>
      </c>
      <c r="C15" s="274">
        <v>1685656.44</v>
      </c>
      <c r="E15" s="276"/>
    </row>
    <row r="16" spans="1:7">
      <c r="A16" s="6">
        <v>5</v>
      </c>
      <c r="B16" s="45">
        <f>EOMONTH('General Inputs'!$E$11,3)</f>
        <v>43951</v>
      </c>
      <c r="C16" s="274">
        <v>1139503.23</v>
      </c>
      <c r="E16" s="276"/>
    </row>
    <row r="17" spans="1:5">
      <c r="A17" s="6">
        <v>6</v>
      </c>
      <c r="B17" s="45">
        <f>EOMONTH('General Inputs'!$E$11,4)</f>
        <v>43982</v>
      </c>
      <c r="C17" s="274">
        <v>987892.71</v>
      </c>
      <c r="E17" s="276"/>
    </row>
    <row r="18" spans="1:5">
      <c r="A18" s="6">
        <v>7</v>
      </c>
      <c r="B18" s="45">
        <f>EOMONTH('General Inputs'!$E$11,5)</f>
        <v>44012</v>
      </c>
      <c r="C18" s="274">
        <v>1273367.96</v>
      </c>
      <c r="E18" s="276"/>
    </row>
    <row r="19" spans="1:5">
      <c r="A19" s="6">
        <v>8</v>
      </c>
      <c r="B19" s="45">
        <f>EOMONTH('General Inputs'!$E$11,6)</f>
        <v>44043</v>
      </c>
      <c r="C19" s="274">
        <v>545440.13</v>
      </c>
      <c r="E19" s="276"/>
    </row>
    <row r="20" spans="1:5">
      <c r="A20" s="6">
        <v>9</v>
      </c>
      <c r="B20" s="45">
        <f>EOMONTH('General Inputs'!$E$11,7)</f>
        <v>44074</v>
      </c>
      <c r="C20" s="274">
        <v>434835.20000000001</v>
      </c>
      <c r="E20" s="276"/>
    </row>
    <row r="21" spans="1:5">
      <c r="A21" s="6">
        <v>10</v>
      </c>
      <c r="B21" s="45">
        <f>EOMONTH('General Inputs'!$E$11,8)</f>
        <v>44104</v>
      </c>
      <c r="C21" s="274">
        <v>1185313.6399999999</v>
      </c>
      <c r="E21" s="276"/>
    </row>
    <row r="22" spans="1:5">
      <c r="A22" s="6">
        <v>11</v>
      </c>
      <c r="B22" s="45">
        <f>EOMONTH('General Inputs'!$E$11,9)</f>
        <v>44135</v>
      </c>
      <c r="C22" s="274">
        <v>-21600.29</v>
      </c>
      <c r="E22" s="276"/>
    </row>
    <row r="23" spans="1:5">
      <c r="A23" s="6">
        <v>12</v>
      </c>
      <c r="B23" s="45">
        <f>EOMONTH('General Inputs'!$E$11,10)</f>
        <v>44165</v>
      </c>
      <c r="C23" s="274">
        <v>62025</v>
      </c>
      <c r="E23" s="276"/>
    </row>
    <row r="24" spans="1:5">
      <c r="A24" s="153">
        <v>13</v>
      </c>
      <c r="B24" s="45">
        <f>EOMONTH('General Inputs'!$E$11,11)</f>
        <v>44196</v>
      </c>
      <c r="C24" s="274">
        <v>1554467.46</v>
      </c>
      <c r="E24" s="276"/>
    </row>
    <row r="25" spans="1:5">
      <c r="E25" s="76"/>
    </row>
    <row r="26" spans="1:5">
      <c r="A26" s="6">
        <v>14</v>
      </c>
      <c r="B26" t="s">
        <v>19</v>
      </c>
      <c r="C26" s="97">
        <f>SUM(C12:C24)</f>
        <v>12015814.830000002</v>
      </c>
      <c r="E26" s="277"/>
    </row>
    <row r="27" spans="1:5">
      <c r="E27" s="278"/>
    </row>
    <row r="28" spans="1:5" ht="15.75" thickBot="1">
      <c r="A28" s="6">
        <v>15</v>
      </c>
      <c r="B28" t="s">
        <v>20</v>
      </c>
      <c r="C28" s="275">
        <f>C26/13</f>
        <v>924293.44846153865</v>
      </c>
      <c r="E28" s="279"/>
    </row>
    <row r="29" spans="1:5" ht="15.75" thickTop="1">
      <c r="E29" s="76"/>
    </row>
    <row r="30" spans="1:5">
      <c r="A30" s="76"/>
      <c r="B30" s="76"/>
    </row>
    <row r="31" spans="1:5">
      <c r="A31" s="76"/>
      <c r="B31" s="76"/>
    </row>
    <row r="32" spans="1:5">
      <c r="A32" s="76"/>
    </row>
    <row r="33" spans="1:1">
      <c r="A33" s="2"/>
    </row>
  </sheetData>
  <mergeCells count="4">
    <mergeCell ref="A2:G2"/>
    <mergeCell ref="A3:G3"/>
    <mergeCell ref="A4:G4"/>
    <mergeCell ref="A5:G5"/>
  </mergeCells>
  <printOptions horizontalCentered="1"/>
  <pageMargins left="0.7" right="0.7" top="0.75" bottom="0.75" header="0.3" footer="0.3"/>
  <pageSetup scale="84" fitToHeight="0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4" tint="0.39997558519241921"/>
    <pageSetUpPr fitToPage="1"/>
  </sheetPr>
  <dimension ref="A1:C34"/>
  <sheetViews>
    <sheetView showGridLines="0" zoomScale="85" zoomScaleNormal="85" workbookViewId="0">
      <pane ySplit="5" topLeftCell="A15" activePane="bottomLeft" state="frozen"/>
      <selection pane="bottomLeft" activeCell="C28" sqref="C28"/>
    </sheetView>
  </sheetViews>
  <sheetFormatPr defaultColWidth="8.88671875" defaultRowHeight="15"/>
  <cols>
    <col min="1" max="1" width="8.88671875" style="16"/>
    <col min="2" max="2" width="60.77734375" style="16" customWidth="1"/>
    <col min="3" max="3" width="14.77734375" style="16" customWidth="1"/>
    <col min="4" max="16384" width="8.88671875" style="16"/>
  </cols>
  <sheetData>
    <row r="1" spans="1:3" s="107" customFormat="1" ht="15.75">
      <c r="C1" s="246"/>
    </row>
    <row r="2" spans="1:3" ht="15.75">
      <c r="A2" s="434" t="str">
        <f>'General Inputs'!$B$2</f>
        <v>Delta Natural Gas Company</v>
      </c>
      <c r="B2" s="434"/>
      <c r="C2" s="434"/>
    </row>
    <row r="3" spans="1:3" ht="15.75">
      <c r="A3" s="434" t="str">
        <f>'General Inputs'!$D$34&amp;" "&amp;'General Inputs'!$E$34</f>
        <v>Case No. 2021-00185</v>
      </c>
      <c r="B3" s="434"/>
      <c r="C3" s="434"/>
    </row>
    <row r="4" spans="1:3" ht="15.75">
      <c r="A4" s="434" t="str">
        <f>"For the Year Ended "&amp;TEXT('General Inputs'!E28,"Mmmm dd, yyyy")</f>
        <v>For the Year Ended December 31, 2020</v>
      </c>
      <c r="B4" s="434"/>
      <c r="C4" s="434"/>
    </row>
    <row r="5" spans="1:3" ht="16.5" thickBot="1">
      <c r="A5" s="435" t="s">
        <v>81</v>
      </c>
      <c r="B5" s="435"/>
      <c r="C5" s="435"/>
    </row>
    <row r="8" spans="1:3" ht="20.25">
      <c r="C8" s="182"/>
    </row>
    <row r="9" spans="1:3" ht="20.25">
      <c r="A9" s="193" t="s">
        <v>0</v>
      </c>
      <c r="B9" s="193" t="s">
        <v>25</v>
      </c>
      <c r="C9" s="182" t="s">
        <v>338</v>
      </c>
    </row>
    <row r="10" spans="1:3" ht="15.75">
      <c r="A10" s="43"/>
      <c r="B10" s="44" t="s">
        <v>34</v>
      </c>
      <c r="C10" s="44" t="s">
        <v>36</v>
      </c>
    </row>
    <row r="11" spans="1:3">
      <c r="A11" s="27"/>
      <c r="B11" s="27"/>
      <c r="C11" s="28"/>
    </row>
    <row r="12" spans="1:3">
      <c r="A12" s="23">
        <v>1</v>
      </c>
      <c r="B12" s="45">
        <f>EOMONTH('General Inputs'!$E$26,0)</f>
        <v>43861</v>
      </c>
      <c r="C12" s="339">
        <v>19553</v>
      </c>
    </row>
    <row r="13" spans="1:3">
      <c r="A13" s="23">
        <v>2</v>
      </c>
      <c r="B13" s="45">
        <f>EOMONTH('General Inputs'!$E$26,1)</f>
        <v>43890</v>
      </c>
      <c r="C13" s="339">
        <v>19238</v>
      </c>
    </row>
    <row r="14" spans="1:3">
      <c r="A14" s="23">
        <v>3</v>
      </c>
      <c r="B14" s="45">
        <f>EOMONTH('General Inputs'!$E$26,2)</f>
        <v>43921</v>
      </c>
      <c r="C14" s="339">
        <v>5576</v>
      </c>
    </row>
    <row r="15" spans="1:3">
      <c r="A15" s="23">
        <v>4</v>
      </c>
      <c r="B15" s="45">
        <f>EOMONTH('General Inputs'!$E$26,3)</f>
        <v>43951</v>
      </c>
      <c r="C15" s="339">
        <v>27320</v>
      </c>
    </row>
    <row r="16" spans="1:3">
      <c r="A16" s="23">
        <v>5</v>
      </c>
      <c r="B16" s="45">
        <f>EOMONTH('General Inputs'!$E$26,4)</f>
        <v>43982</v>
      </c>
      <c r="C16" s="339">
        <v>13841</v>
      </c>
    </row>
    <row r="17" spans="1:3">
      <c r="A17" s="23">
        <v>6</v>
      </c>
      <c r="B17" s="45">
        <f>EOMONTH('General Inputs'!$E$26,5)</f>
        <v>44012</v>
      </c>
      <c r="C17" s="339">
        <v>0</v>
      </c>
    </row>
    <row r="18" spans="1:3">
      <c r="A18" s="23">
        <v>7</v>
      </c>
      <c r="B18" s="45">
        <f>EOMONTH('General Inputs'!$E$26,6)</f>
        <v>44043</v>
      </c>
      <c r="C18" s="339">
        <v>4082</v>
      </c>
    </row>
    <row r="19" spans="1:3">
      <c r="A19" s="23">
        <v>8</v>
      </c>
      <c r="B19" s="45">
        <f>EOMONTH('General Inputs'!$E$26,7)</f>
        <v>44074</v>
      </c>
      <c r="C19" s="339">
        <v>2647</v>
      </c>
    </row>
    <row r="20" spans="1:3">
      <c r="A20" s="23">
        <v>9</v>
      </c>
      <c r="B20" s="45">
        <f>EOMONTH('General Inputs'!$E$26,8)</f>
        <v>44104</v>
      </c>
      <c r="C20" s="339">
        <v>0</v>
      </c>
    </row>
    <row r="21" spans="1:3">
      <c r="A21" s="23">
        <v>10</v>
      </c>
      <c r="B21" s="45">
        <f>EOMONTH('General Inputs'!$E$26,9)</f>
        <v>44135</v>
      </c>
      <c r="C21" s="339">
        <v>3599</v>
      </c>
    </row>
    <row r="22" spans="1:3">
      <c r="A22" s="23">
        <v>11</v>
      </c>
      <c r="B22" s="45">
        <f>EOMONTH('General Inputs'!$E$26,10)</f>
        <v>44165</v>
      </c>
      <c r="C22" s="339">
        <v>3477</v>
      </c>
    </row>
    <row r="23" spans="1:3">
      <c r="A23" s="23">
        <v>12</v>
      </c>
      <c r="B23" s="45">
        <f>EOMONTH('General Inputs'!$E$26,11)</f>
        <v>44196</v>
      </c>
      <c r="C23" s="339"/>
    </row>
    <row r="24" spans="1:3" ht="15.75" thickBot="1">
      <c r="A24" s="23">
        <v>13</v>
      </c>
      <c r="B24" s="27" t="s">
        <v>19</v>
      </c>
      <c r="C24" s="95">
        <f>SUM(C12:C23)</f>
        <v>99333</v>
      </c>
    </row>
    <row r="25" spans="1:3" ht="15.75" thickTop="1">
      <c r="A25" s="23"/>
      <c r="B25" s="27"/>
      <c r="C25" s="28"/>
    </row>
    <row r="26" spans="1:3" ht="15.75" thickBot="1">
      <c r="A26" s="23">
        <v>14</v>
      </c>
      <c r="B26" s="27" t="s">
        <v>105</v>
      </c>
      <c r="C26" s="46">
        <f>C24/12</f>
        <v>8277.75</v>
      </c>
    </row>
    <row r="27" spans="1:3" ht="15.75" thickTop="1">
      <c r="A27" s="23"/>
      <c r="B27" s="27"/>
      <c r="C27" s="28"/>
    </row>
    <row r="28" spans="1:3" ht="15.75" thickBot="1">
      <c r="A28" s="23">
        <v>15</v>
      </c>
      <c r="B28" s="27" t="s">
        <v>57</v>
      </c>
      <c r="C28" s="398">
        <v>154444</v>
      </c>
    </row>
    <row r="29" spans="1:3" ht="15.75" thickTop="1">
      <c r="A29" s="23"/>
      <c r="B29" s="27"/>
      <c r="C29" s="28"/>
    </row>
    <row r="30" spans="1:3" ht="15.75" thickBot="1">
      <c r="A30" s="23">
        <v>16</v>
      </c>
      <c r="B30" s="27" t="s">
        <v>106</v>
      </c>
      <c r="C30" s="47">
        <f>IF(C28=0,0,C28/365)</f>
        <v>423.13424657534244</v>
      </c>
    </row>
    <row r="31" spans="1:3" ht="15.75" thickTop="1">
      <c r="A31" s="23"/>
      <c r="B31" s="27"/>
      <c r="C31" s="28"/>
    </row>
    <row r="32" spans="1:3" ht="16.5" thickBot="1">
      <c r="A32" s="23">
        <v>17</v>
      </c>
      <c r="B32" s="27" t="s">
        <v>91</v>
      </c>
      <c r="C32" s="269">
        <f>IF(C26=0,0,C26/C30)</f>
        <v>19.562940289036803</v>
      </c>
    </row>
    <row r="33" spans="1:2" ht="15.75" thickTop="1"/>
    <row r="34" spans="1:2">
      <c r="A34" s="76" t="s">
        <v>220</v>
      </c>
      <c r="B34" s="107"/>
    </row>
  </sheetData>
  <mergeCells count="4">
    <mergeCell ref="A2:C2"/>
    <mergeCell ref="A3:C3"/>
    <mergeCell ref="A4:C4"/>
    <mergeCell ref="A5:C5"/>
  </mergeCells>
  <printOptions horizontalCentered="1"/>
  <pageMargins left="0.7" right="0.7" top="0.75" bottom="0.75" header="0.3" footer="0.3"/>
  <pageSetup scale="90" fitToHeight="0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tabColor theme="4" tint="0.39997558519241921"/>
    <pageSetUpPr fitToPage="1"/>
  </sheetPr>
  <dimension ref="A1:J58"/>
  <sheetViews>
    <sheetView showGridLines="0" topLeftCell="B1" zoomScale="85" zoomScaleNormal="85" workbookViewId="0">
      <pane ySplit="5" topLeftCell="A15" activePane="bottomLeft" state="frozen"/>
      <selection pane="bottomLeft" activeCell="H32" sqref="H32"/>
    </sheetView>
  </sheetViews>
  <sheetFormatPr defaultColWidth="8.88671875" defaultRowHeight="15"/>
  <cols>
    <col min="1" max="1" width="9.77734375" style="16" customWidth="1"/>
    <col min="2" max="2" width="33.77734375" style="16" customWidth="1"/>
    <col min="3" max="3" width="22.88671875" style="16" bestFit="1" customWidth="1"/>
    <col min="4" max="4" width="14.77734375" style="16" customWidth="1"/>
    <col min="5" max="5" width="11.77734375" style="16" customWidth="1"/>
    <col min="6" max="6" width="12.77734375" style="16" customWidth="1"/>
    <col min="7" max="7" width="13.77734375" style="16" customWidth="1"/>
    <col min="8" max="8" width="18.77734375" style="16" customWidth="1"/>
    <col min="9" max="10" width="14.77734375" style="16" customWidth="1"/>
    <col min="11" max="16384" width="8.88671875" style="16"/>
  </cols>
  <sheetData>
    <row r="1" spans="1:10" s="107" customFormat="1" ht="15.75">
      <c r="D1" s="240"/>
      <c r="E1" s="240"/>
      <c r="F1" s="240"/>
      <c r="I1" s="240"/>
    </row>
    <row r="2" spans="1:10" ht="15.75">
      <c r="A2" s="434" t="str">
        <f>'General Inputs'!$B$2</f>
        <v>Delta Natural Gas Company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 ht="15.75">
      <c r="A3" s="434" t="str">
        <f>'General Inputs'!$D$34&amp;" "&amp;'General Inputs'!$E$34</f>
        <v>Case No. 2021-00185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10" ht="15.75">
      <c r="A4" s="434" t="str">
        <f>"For the Year Ended "&amp;TEXT('General Inputs'!E28,"Mmmm dd, yyyy")</f>
        <v>For the Year Ended December 31, 2020</v>
      </c>
      <c r="B4" s="434"/>
      <c r="C4" s="434"/>
      <c r="D4" s="434"/>
      <c r="E4" s="434"/>
      <c r="F4" s="434"/>
      <c r="G4" s="434"/>
      <c r="H4" s="434"/>
      <c r="I4" s="434"/>
      <c r="J4" s="434"/>
    </row>
    <row r="5" spans="1:10" ht="16.5" thickBot="1">
      <c r="A5" s="435" t="s">
        <v>382</v>
      </c>
      <c r="B5" s="435"/>
      <c r="C5" s="435"/>
      <c r="D5" s="435"/>
      <c r="E5" s="435"/>
      <c r="F5" s="435"/>
      <c r="G5" s="435"/>
      <c r="H5" s="435"/>
      <c r="I5" s="435"/>
      <c r="J5" s="435"/>
    </row>
    <row r="9" spans="1:10" ht="15.75">
      <c r="A9" s="13"/>
      <c r="B9" s="13"/>
      <c r="C9" s="13"/>
      <c r="D9" s="17"/>
      <c r="E9" s="18" t="s">
        <v>172</v>
      </c>
      <c r="F9" s="18" t="s">
        <v>380</v>
      </c>
      <c r="G9" s="20"/>
      <c r="H9" s="20"/>
      <c r="I9" s="15"/>
      <c r="J9" s="21"/>
    </row>
    <row r="10" spans="1:10" ht="15.75">
      <c r="A10" s="18" t="s">
        <v>23</v>
      </c>
      <c r="B10" s="17" t="s">
        <v>169</v>
      </c>
      <c r="C10" s="17" t="s">
        <v>173</v>
      </c>
      <c r="D10" s="17" t="s">
        <v>38</v>
      </c>
      <c r="E10" s="18" t="s">
        <v>38</v>
      </c>
      <c r="F10" s="18" t="s">
        <v>39</v>
      </c>
      <c r="G10" s="18" t="s">
        <v>39</v>
      </c>
      <c r="H10" s="18" t="s">
        <v>19</v>
      </c>
      <c r="I10" s="19" t="s">
        <v>381</v>
      </c>
      <c r="J10" s="18" t="s">
        <v>28</v>
      </c>
    </row>
    <row r="11" spans="1:10" ht="20.25">
      <c r="A11" s="185" t="s">
        <v>24</v>
      </c>
      <c r="B11" s="185" t="s">
        <v>170</v>
      </c>
      <c r="C11" s="185" t="s">
        <v>174</v>
      </c>
      <c r="D11" s="185" t="s">
        <v>25</v>
      </c>
      <c r="E11" s="185" t="s">
        <v>30</v>
      </c>
      <c r="F11" s="185" t="s">
        <v>40</v>
      </c>
      <c r="G11" s="185" t="s">
        <v>30</v>
      </c>
      <c r="H11" s="185" t="s">
        <v>30</v>
      </c>
      <c r="I11" s="185" t="s">
        <v>15</v>
      </c>
      <c r="J11" s="185" t="s">
        <v>33</v>
      </c>
    </row>
    <row r="12" spans="1:10" ht="15.75">
      <c r="A12" s="14"/>
      <c r="B12" s="22" t="s">
        <v>34</v>
      </c>
      <c r="C12" s="22" t="s">
        <v>35</v>
      </c>
      <c r="D12" s="22" t="s">
        <v>36</v>
      </c>
      <c r="E12" s="145" t="s">
        <v>175</v>
      </c>
      <c r="F12" s="22" t="s">
        <v>43</v>
      </c>
      <c r="G12" s="22" t="s">
        <v>176</v>
      </c>
      <c r="H12" s="22" t="s">
        <v>177</v>
      </c>
      <c r="I12" s="22" t="s">
        <v>78</v>
      </c>
      <c r="J12" s="22" t="s">
        <v>178</v>
      </c>
    </row>
    <row r="14" spans="1:10">
      <c r="B14" s="146" t="s">
        <v>334</v>
      </c>
      <c r="C14" s="146"/>
      <c r="F14" s="107"/>
    </row>
    <row r="15" spans="1:10">
      <c r="A15" s="23">
        <v>1</v>
      </c>
      <c r="B15" t="s">
        <v>379</v>
      </c>
      <c r="C15">
        <v>3129</v>
      </c>
      <c r="D15" s="280">
        <v>43800</v>
      </c>
      <c r="E15" s="96">
        <f>(EOMONTH(D15,0)-D15+1)/2</f>
        <v>15.5</v>
      </c>
      <c r="F15" s="280">
        <v>43861</v>
      </c>
      <c r="G15" s="25">
        <f>F15-EOMONTH(D15,0)</f>
        <v>31</v>
      </c>
      <c r="H15" s="25">
        <f t="shared" ref="H15:H30" si="0">E15+G15</f>
        <v>46.5</v>
      </c>
      <c r="I15" s="4">
        <v>80.7</v>
      </c>
      <c r="J15" s="93">
        <f>ROUND(H15*I15,2)</f>
        <v>3752.55</v>
      </c>
    </row>
    <row r="16" spans="1:10">
      <c r="A16" s="23">
        <f>A15+1</f>
        <v>2</v>
      </c>
      <c r="B16" t="s">
        <v>379</v>
      </c>
      <c r="C16">
        <v>3075</v>
      </c>
      <c r="D16" s="280">
        <v>43800</v>
      </c>
      <c r="E16" s="96">
        <f t="shared" ref="E16:E30" si="1">(EOMONTH(D16,0)-D16+1)/2</f>
        <v>15.5</v>
      </c>
      <c r="F16" s="280">
        <v>43861</v>
      </c>
      <c r="G16" s="25">
        <f t="shared" ref="G16:G30" si="2">F16-EOMONTH(D16,0)</f>
        <v>31</v>
      </c>
      <c r="H16" s="25">
        <f t="shared" si="0"/>
        <v>46.5</v>
      </c>
      <c r="I16" s="4">
        <v>47348.95</v>
      </c>
      <c r="J16" s="93">
        <f t="shared" ref="J16:J30" si="3">ROUND(H16*I16,2)</f>
        <v>2201726.1800000002</v>
      </c>
    </row>
    <row r="17" spans="1:10">
      <c r="A17" s="23">
        <f t="shared" ref="A17:A30" si="4">A16+1</f>
        <v>3</v>
      </c>
      <c r="B17" t="s">
        <v>379</v>
      </c>
      <c r="C17">
        <v>3395</v>
      </c>
      <c r="D17" s="280">
        <v>43831</v>
      </c>
      <c r="E17" s="96">
        <f t="shared" si="1"/>
        <v>15.5</v>
      </c>
      <c r="F17" s="280">
        <v>43890</v>
      </c>
      <c r="G17" s="25">
        <f t="shared" si="2"/>
        <v>29</v>
      </c>
      <c r="H17" s="25">
        <f t="shared" si="0"/>
        <v>44.5</v>
      </c>
      <c r="I17" s="4">
        <v>111892.97</v>
      </c>
      <c r="J17" s="93">
        <f t="shared" si="3"/>
        <v>4979237.17</v>
      </c>
    </row>
    <row r="18" spans="1:10">
      <c r="A18" s="23">
        <f t="shared" si="4"/>
        <v>4</v>
      </c>
      <c r="B18" t="s">
        <v>379</v>
      </c>
      <c r="C18">
        <v>3367</v>
      </c>
      <c r="D18" s="280">
        <v>43831</v>
      </c>
      <c r="E18" s="96">
        <f t="shared" si="1"/>
        <v>15.5</v>
      </c>
      <c r="F18" s="280">
        <v>43890</v>
      </c>
      <c r="G18" s="25">
        <f t="shared" si="2"/>
        <v>29</v>
      </c>
      <c r="H18" s="25">
        <f t="shared" si="0"/>
        <v>44.5</v>
      </c>
      <c r="I18" s="4">
        <v>264.22000000000003</v>
      </c>
      <c r="J18" s="93">
        <f t="shared" si="3"/>
        <v>11757.79</v>
      </c>
    </row>
    <row r="19" spans="1:10">
      <c r="A19" s="23">
        <f t="shared" si="4"/>
        <v>5</v>
      </c>
      <c r="B19" t="s">
        <v>379</v>
      </c>
      <c r="C19">
        <v>3579</v>
      </c>
      <c r="D19" s="280">
        <v>43862</v>
      </c>
      <c r="E19" s="96">
        <f t="shared" si="1"/>
        <v>14.5</v>
      </c>
      <c r="F19" s="280">
        <v>43921</v>
      </c>
      <c r="G19" s="25">
        <f t="shared" si="2"/>
        <v>31</v>
      </c>
      <c r="H19" s="25">
        <f t="shared" si="0"/>
        <v>45.5</v>
      </c>
      <c r="I19" s="4">
        <v>282.92</v>
      </c>
      <c r="J19" s="93">
        <f t="shared" si="3"/>
        <v>12872.86</v>
      </c>
    </row>
    <row r="20" spans="1:10">
      <c r="A20" s="23">
        <f t="shared" si="4"/>
        <v>6</v>
      </c>
      <c r="B20" t="s">
        <v>379</v>
      </c>
      <c r="C20">
        <v>3570</v>
      </c>
      <c r="D20" s="280">
        <v>43862</v>
      </c>
      <c r="E20" s="96">
        <f t="shared" si="1"/>
        <v>14.5</v>
      </c>
      <c r="F20" s="280">
        <v>43921</v>
      </c>
      <c r="G20" s="25">
        <f t="shared" si="2"/>
        <v>31</v>
      </c>
      <c r="H20" s="25">
        <f t="shared" si="0"/>
        <v>45.5</v>
      </c>
      <c r="I20" s="4">
        <v>112630.01</v>
      </c>
      <c r="J20" s="93">
        <f t="shared" si="3"/>
        <v>5124665.46</v>
      </c>
    </row>
    <row r="21" spans="1:10">
      <c r="A21" s="23">
        <f t="shared" si="4"/>
        <v>7</v>
      </c>
      <c r="B21" t="s">
        <v>379</v>
      </c>
      <c r="C21">
        <v>3804</v>
      </c>
      <c r="D21" s="280">
        <v>43891</v>
      </c>
      <c r="E21" s="96">
        <f t="shared" si="1"/>
        <v>15.5</v>
      </c>
      <c r="F21" s="280">
        <v>43951</v>
      </c>
      <c r="G21" s="25">
        <f t="shared" si="2"/>
        <v>30</v>
      </c>
      <c r="H21" s="25">
        <f t="shared" si="0"/>
        <v>45.5</v>
      </c>
      <c r="I21" s="4">
        <v>101708.13</v>
      </c>
      <c r="J21" s="93">
        <f t="shared" si="3"/>
        <v>4627719.92</v>
      </c>
    </row>
    <row r="22" spans="1:10">
      <c r="A22" s="23">
        <f t="shared" si="4"/>
        <v>8</v>
      </c>
      <c r="B22" t="s">
        <v>379</v>
      </c>
      <c r="C22">
        <v>3853</v>
      </c>
      <c r="D22" s="280">
        <v>43891</v>
      </c>
      <c r="E22" s="96">
        <f t="shared" si="1"/>
        <v>15.5</v>
      </c>
      <c r="F22" s="280">
        <v>43951</v>
      </c>
      <c r="G22" s="25">
        <f t="shared" si="2"/>
        <v>30</v>
      </c>
      <c r="H22" s="25">
        <f t="shared" si="0"/>
        <v>45.5</v>
      </c>
      <c r="I22" s="4">
        <v>417.59</v>
      </c>
      <c r="J22" s="93">
        <f t="shared" si="3"/>
        <v>19000.349999999999</v>
      </c>
    </row>
    <row r="23" spans="1:10">
      <c r="A23" s="23">
        <f t="shared" si="4"/>
        <v>9</v>
      </c>
      <c r="B23" t="s">
        <v>379</v>
      </c>
      <c r="C23">
        <v>3951</v>
      </c>
      <c r="D23" s="280">
        <v>43922</v>
      </c>
      <c r="E23" s="96">
        <f t="shared" si="1"/>
        <v>15</v>
      </c>
      <c r="F23" s="280">
        <v>43982</v>
      </c>
      <c r="G23" s="25">
        <f t="shared" si="2"/>
        <v>31</v>
      </c>
      <c r="H23" s="25">
        <f t="shared" si="0"/>
        <v>46</v>
      </c>
      <c r="I23" s="4">
        <v>96301.11</v>
      </c>
      <c r="J23" s="93">
        <f t="shared" si="3"/>
        <v>4429851.0599999996</v>
      </c>
    </row>
    <row r="24" spans="1:10">
      <c r="A24" s="23">
        <f t="shared" si="4"/>
        <v>10</v>
      </c>
      <c r="B24" t="s">
        <v>379</v>
      </c>
      <c r="C24">
        <v>4206</v>
      </c>
      <c r="D24" s="280">
        <v>43952</v>
      </c>
      <c r="E24" s="96">
        <f t="shared" si="1"/>
        <v>15.5</v>
      </c>
      <c r="F24" s="280">
        <v>44012</v>
      </c>
      <c r="G24" s="25">
        <f t="shared" si="2"/>
        <v>30</v>
      </c>
      <c r="H24" s="25">
        <f t="shared" si="0"/>
        <v>45.5</v>
      </c>
      <c r="I24" s="4">
        <v>46922.5</v>
      </c>
      <c r="J24" s="93">
        <f t="shared" si="3"/>
        <v>2134973.75</v>
      </c>
    </row>
    <row r="25" spans="1:10">
      <c r="A25" s="23">
        <f t="shared" si="4"/>
        <v>11</v>
      </c>
      <c r="B25" t="s">
        <v>379</v>
      </c>
      <c r="C25">
        <v>4446</v>
      </c>
      <c r="D25" s="280">
        <v>43983</v>
      </c>
      <c r="E25" s="96">
        <f t="shared" si="1"/>
        <v>15</v>
      </c>
      <c r="F25" s="280">
        <v>44043</v>
      </c>
      <c r="G25" s="25">
        <f t="shared" si="2"/>
        <v>31</v>
      </c>
      <c r="H25" s="25">
        <f t="shared" si="0"/>
        <v>46</v>
      </c>
      <c r="I25" s="4">
        <v>52411.91</v>
      </c>
      <c r="J25" s="93">
        <f t="shared" si="3"/>
        <v>2410947.86</v>
      </c>
    </row>
    <row r="26" spans="1:10">
      <c r="A26" s="23">
        <f t="shared" si="4"/>
        <v>12</v>
      </c>
      <c r="B26" t="s">
        <v>379</v>
      </c>
      <c r="C26">
        <v>4962</v>
      </c>
      <c r="D26" s="280">
        <v>44013</v>
      </c>
      <c r="E26" s="96">
        <f t="shared" si="1"/>
        <v>15.5</v>
      </c>
      <c r="F26" s="280">
        <v>44074</v>
      </c>
      <c r="G26" s="25">
        <f t="shared" si="2"/>
        <v>31</v>
      </c>
      <c r="H26" s="25">
        <f t="shared" si="0"/>
        <v>46.5</v>
      </c>
      <c r="I26" s="4">
        <v>26889.89</v>
      </c>
      <c r="J26" s="93">
        <f t="shared" si="3"/>
        <v>1250379.8899999999</v>
      </c>
    </row>
    <row r="27" spans="1:10">
      <c r="A27" s="23">
        <f t="shared" si="4"/>
        <v>13</v>
      </c>
      <c r="B27" t="s">
        <v>379</v>
      </c>
      <c r="C27">
        <v>5232</v>
      </c>
      <c r="D27" s="280">
        <v>44044</v>
      </c>
      <c r="E27" s="96">
        <f t="shared" si="1"/>
        <v>15.5</v>
      </c>
      <c r="F27" s="280">
        <v>44104</v>
      </c>
      <c r="G27" s="25">
        <f t="shared" si="2"/>
        <v>30</v>
      </c>
      <c r="H27" s="25">
        <f t="shared" si="0"/>
        <v>45.5</v>
      </c>
      <c r="I27" s="4">
        <v>14081.81</v>
      </c>
      <c r="J27" s="93">
        <f t="shared" si="3"/>
        <v>640722.36</v>
      </c>
    </row>
    <row r="28" spans="1:10">
      <c r="A28" s="23">
        <f t="shared" si="4"/>
        <v>14</v>
      </c>
      <c r="B28" t="s">
        <v>379</v>
      </c>
      <c r="C28">
        <v>5518</v>
      </c>
      <c r="D28" s="280">
        <v>44075</v>
      </c>
      <c r="E28" s="96">
        <f t="shared" si="1"/>
        <v>15</v>
      </c>
      <c r="F28" s="280">
        <v>44135</v>
      </c>
      <c r="G28" s="25">
        <f t="shared" si="2"/>
        <v>31</v>
      </c>
      <c r="H28" s="25">
        <f t="shared" si="0"/>
        <v>46</v>
      </c>
      <c r="I28" s="4">
        <v>11072.33</v>
      </c>
      <c r="J28" s="93">
        <f t="shared" si="3"/>
        <v>509327.18</v>
      </c>
    </row>
    <row r="29" spans="1:10">
      <c r="A29" s="23">
        <f t="shared" si="4"/>
        <v>15</v>
      </c>
      <c r="B29" t="s">
        <v>379</v>
      </c>
      <c r="C29">
        <v>5868</v>
      </c>
      <c r="D29" s="280">
        <v>44105</v>
      </c>
      <c r="E29" s="96">
        <f t="shared" si="1"/>
        <v>15.5</v>
      </c>
      <c r="F29" s="280">
        <v>44165</v>
      </c>
      <c r="G29" s="25">
        <f t="shared" si="2"/>
        <v>30</v>
      </c>
      <c r="H29" s="25">
        <f t="shared" si="0"/>
        <v>45.5</v>
      </c>
      <c r="I29" s="4">
        <v>10178.86</v>
      </c>
      <c r="J29" s="93">
        <f t="shared" si="3"/>
        <v>463138.13</v>
      </c>
    </row>
    <row r="30" spans="1:10">
      <c r="A30" s="23">
        <f t="shared" si="4"/>
        <v>16</v>
      </c>
      <c r="B30" t="s">
        <v>379</v>
      </c>
      <c r="C30">
        <v>6289</v>
      </c>
      <c r="D30" s="280">
        <v>44136</v>
      </c>
      <c r="E30" s="96">
        <f t="shared" si="1"/>
        <v>15</v>
      </c>
      <c r="F30" s="280">
        <v>44196</v>
      </c>
      <c r="G30" s="25">
        <f t="shared" si="2"/>
        <v>31</v>
      </c>
      <c r="H30" s="25">
        <f t="shared" si="0"/>
        <v>46</v>
      </c>
      <c r="I30" s="4">
        <v>12476.76</v>
      </c>
      <c r="J30" s="93">
        <f t="shared" si="3"/>
        <v>573930.96</v>
      </c>
    </row>
    <row r="31" spans="1:10">
      <c r="A31" s="23"/>
      <c r="B31" s="23"/>
      <c r="C31" s="23"/>
      <c r="D31" s="24"/>
      <c r="E31" s="27"/>
      <c r="F31" s="24"/>
      <c r="G31" s="27"/>
      <c r="H31" s="27"/>
      <c r="I31" s="241"/>
      <c r="J31" s="93"/>
    </row>
    <row r="32" spans="1:10" ht="16.5" thickBot="1">
      <c r="A32" s="23">
        <f>A30+1</f>
        <v>17</v>
      </c>
      <c r="B32" s="147" t="s">
        <v>184</v>
      </c>
      <c r="C32" s="147"/>
      <c r="E32" s="27"/>
      <c r="F32" s="24"/>
      <c r="G32" s="148"/>
      <c r="H32" s="159">
        <f>IF(I32=0,0,J32/I32)</f>
        <v>45.5748781173723</v>
      </c>
      <c r="I32" s="95">
        <f>SUM(I15:I30)</f>
        <v>644960.66</v>
      </c>
      <c r="J32" s="95">
        <f>SUM(J15:J30)</f>
        <v>29394003.469999999</v>
      </c>
    </row>
    <row r="33" spans="1:10" ht="15.75" thickTop="1">
      <c r="H33" s="96"/>
      <c r="J33" s="93"/>
    </row>
    <row r="35" spans="1:10">
      <c r="A35" s="107"/>
      <c r="B35" s="107"/>
      <c r="C35" s="107"/>
      <c r="D35" s="107"/>
    </row>
    <row r="41" spans="1:10">
      <c r="D41" s="280"/>
      <c r="E41" s="280"/>
    </row>
    <row r="42" spans="1:10">
      <c r="D42" s="280"/>
      <c r="E42" s="280"/>
    </row>
    <row r="43" spans="1:10">
      <c r="D43" s="280"/>
      <c r="E43" s="280"/>
    </row>
    <row r="44" spans="1:10">
      <c r="D44" s="280"/>
      <c r="E44" s="280"/>
    </row>
    <row r="45" spans="1:10">
      <c r="D45" s="280"/>
      <c r="E45" s="280"/>
    </row>
    <row r="46" spans="1:10">
      <c r="D46" s="280"/>
      <c r="E46" s="280"/>
    </row>
    <row r="47" spans="1:10">
      <c r="D47" s="280"/>
      <c r="E47" s="280"/>
    </row>
    <row r="48" spans="1:10">
      <c r="D48" s="280"/>
      <c r="E48" s="280"/>
    </row>
    <row r="49" spans="4:5">
      <c r="D49" s="280"/>
      <c r="E49" s="280"/>
    </row>
    <row r="50" spans="4:5">
      <c r="D50" s="280"/>
      <c r="E50" s="280"/>
    </row>
    <row r="51" spans="4:5">
      <c r="D51" s="280"/>
      <c r="E51" s="280"/>
    </row>
    <row r="52" spans="4:5">
      <c r="D52" s="280"/>
      <c r="E52" s="280"/>
    </row>
    <row r="53" spans="4:5">
      <c r="D53" s="280"/>
      <c r="E53" s="280"/>
    </row>
    <row r="54" spans="4:5">
      <c r="D54" s="280"/>
      <c r="E54" s="280"/>
    </row>
    <row r="55" spans="4:5">
      <c r="D55" s="280"/>
      <c r="E55" s="280"/>
    </row>
    <row r="56" spans="4:5">
      <c r="D56" s="280"/>
      <c r="E56" s="280"/>
    </row>
    <row r="58" spans="4:5">
      <c r="D58" s="68"/>
    </row>
  </sheetData>
  <mergeCells count="4">
    <mergeCell ref="A5:J5"/>
    <mergeCell ref="A4:J4"/>
    <mergeCell ref="A3:J3"/>
    <mergeCell ref="A2:J2"/>
  </mergeCells>
  <printOptions horizontalCentered="1"/>
  <pageMargins left="0.7" right="0.7" top="0.75" bottom="0.75" header="0.3" footer="0.3"/>
  <pageSetup scale="56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6091DEB0-A9B0-4999-BB98-32C5250A5911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b9e1b56-1bc3-4bb6-83f9-6df8fea7da23"/>
    <ds:schemaRef ds:uri="http://purl.org/dc/dcmitype/"/>
    <ds:schemaRef ds:uri="http://schemas.microsoft.com/office/2006/metadata/properties"/>
    <ds:schemaRef ds:uri="0a97646d-5e46-4532-99d2-95b688ae3204"/>
  </ds:schemaRefs>
</ds:datastoreItem>
</file>

<file path=customXml/itemProps2.xml><?xml version="1.0" encoding="utf-8"?>
<ds:datastoreItem xmlns:ds="http://schemas.openxmlformats.org/officeDocument/2006/customXml" ds:itemID="{30FE1D64-9BDC-4F5F-9A5E-1DA4AE115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677D39-7A93-409A-8586-12070955764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D6E3E8-2F54-4072-9B26-1B78FF7335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5</vt:i4>
      </vt:variant>
    </vt:vector>
  </HeadingPairs>
  <TitlesOfParts>
    <vt:vector size="28" baseType="lpstr">
      <vt:lpstr>General Inputs</vt:lpstr>
      <vt:lpstr>Lead Lag Days Summary</vt:lpstr>
      <vt:lpstr>Revenue Lag</vt:lpstr>
      <vt:lpstr>Billing Lag</vt:lpstr>
      <vt:lpstr>Collection Lag</vt:lpstr>
      <vt:lpstr>Avg Daily AR Balance</vt:lpstr>
      <vt:lpstr>Uncollectibles</vt:lpstr>
      <vt:lpstr>Purchased Gas and Transportatio</vt:lpstr>
      <vt:lpstr>Other O&amp;M</vt:lpstr>
      <vt:lpstr>Affiliate Lead Days</vt:lpstr>
      <vt:lpstr>Payroll</vt:lpstr>
      <vt:lpstr>Perf Incentives</vt:lpstr>
      <vt:lpstr>Payroll Tax</vt:lpstr>
      <vt:lpstr>Income Tax</vt:lpstr>
      <vt:lpstr>Property Tax</vt:lpstr>
      <vt:lpstr>Misc Tax</vt:lpstr>
      <vt:lpstr>Interest on Debt</vt:lpstr>
      <vt:lpstr>Sales Tax (Pass-through)</vt:lpstr>
      <vt:lpstr>School Tax (Pass-through)</vt:lpstr>
      <vt:lpstr>Franchise Fees (Pass-through)</vt:lpstr>
      <vt:lpstr>Cust Utility Tax (Pass-through)</vt:lpstr>
      <vt:lpstr>Consumption Tax (Pass-through)</vt:lpstr>
      <vt:lpstr>Interest on Cust Deposits</vt:lpstr>
      <vt:lpstr>'Collection Lag'!Print_Area</vt:lpstr>
      <vt:lpstr>'Lead Lag Days Summary'!Print_Area</vt:lpstr>
      <vt:lpstr>'Misc Tax'!Print_Titles</vt:lpstr>
      <vt:lpstr>'Other O&amp;M'!Print_Titles</vt:lpstr>
      <vt:lpstr>'Property Tax'!Print_Titles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2020-12-04T17:38:38Z</dcterms:created>
  <dcterms:modified xsi:type="dcterms:W3CDTF">2021-09-13T17:12:08Z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