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Finshare\GENACCT\08-Rate Cases\2020 Kentucky Rate Case\6 - Attorney General Data Request 2 (coming 0825)\AG 2-35\"/>
    </mc:Choice>
  </mc:AlternateContent>
  <bookViews>
    <workbookView xWindow="0" yWindow="0" windowWidth="23040" windowHeight="9192"/>
  </bookViews>
  <sheets>
    <sheet name="Alloc %" sheetId="2" r:id="rId1"/>
    <sheet name="2021 Plan" sheetId="1" r:id="rId2"/>
    <sheet name="Delta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K19" i="3"/>
  <c r="H19" i="3"/>
  <c r="G19" i="3"/>
  <c r="D19" i="3"/>
  <c r="C19" i="3"/>
  <c r="K18" i="3"/>
  <c r="H16" i="3"/>
  <c r="G16" i="3"/>
  <c r="F16" i="3"/>
  <c r="F19" i="3" s="1"/>
  <c r="E16" i="3"/>
  <c r="J16" i="3" s="1"/>
  <c r="D16" i="3"/>
  <c r="C16" i="3"/>
  <c r="B16" i="3"/>
  <c r="B19" i="3" s="1"/>
  <c r="H15" i="3"/>
  <c r="H18" i="3" s="1"/>
  <c r="H20" i="3" s="1"/>
  <c r="G15" i="3"/>
  <c r="G18" i="3" s="1"/>
  <c r="G20" i="3" s="1"/>
  <c r="F15" i="3"/>
  <c r="F18" i="3" s="1"/>
  <c r="D15" i="3"/>
  <c r="D18" i="3" s="1"/>
  <c r="D20" i="3" s="1"/>
  <c r="C15" i="3"/>
  <c r="C18" i="3" s="1"/>
  <c r="C20" i="3" s="1"/>
  <c r="B15" i="3"/>
  <c r="J14" i="3"/>
  <c r="E15" i="3" s="1"/>
  <c r="E18" i="3" s="1"/>
  <c r="F7" i="3"/>
  <c r="E7" i="3"/>
  <c r="D7" i="3"/>
  <c r="C7" i="3"/>
  <c r="B7" i="3"/>
  <c r="G5" i="3"/>
  <c r="G4" i="3"/>
  <c r="G3" i="3"/>
  <c r="D10" i="2"/>
  <c r="K31" i="1"/>
  <c r="I31" i="1"/>
  <c r="H31" i="1"/>
  <c r="K30" i="1"/>
  <c r="I30" i="1"/>
  <c r="H30" i="1"/>
  <c r="K29" i="1"/>
  <c r="I29" i="1"/>
  <c r="I20" i="1" s="1"/>
  <c r="K28" i="1"/>
  <c r="I28" i="1"/>
  <c r="H28" i="1"/>
  <c r="H29" i="1" s="1"/>
  <c r="P22" i="1"/>
  <c r="K20" i="1"/>
  <c r="G20" i="1"/>
  <c r="P18" i="1"/>
  <c r="L18" i="1"/>
  <c r="L22" i="1" s="1"/>
  <c r="K18" i="1"/>
  <c r="K22" i="1" s="1"/>
  <c r="J18" i="1"/>
  <c r="J22" i="1" s="1"/>
  <c r="I18" i="1"/>
  <c r="I22" i="1" s="1"/>
  <c r="H18" i="1"/>
  <c r="H22" i="1" s="1"/>
  <c r="G18" i="1"/>
  <c r="G22" i="1" s="1"/>
  <c r="F18" i="1"/>
  <c r="F22" i="1" s="1"/>
  <c r="E18" i="1"/>
  <c r="E22" i="1" s="1"/>
  <c r="D18" i="1"/>
  <c r="D22" i="1" s="1"/>
  <c r="C18" i="1"/>
  <c r="C22" i="1" s="1"/>
  <c r="P15" i="1"/>
  <c r="L15" i="1"/>
  <c r="K15" i="1"/>
  <c r="J15" i="1"/>
  <c r="I15" i="1"/>
  <c r="H15" i="1"/>
  <c r="G15" i="1"/>
  <c r="F15" i="1"/>
  <c r="E15" i="1"/>
  <c r="D15" i="1"/>
  <c r="C15" i="1"/>
  <c r="F20" i="3" l="1"/>
  <c r="D8" i="3"/>
  <c r="J19" i="3"/>
  <c r="C8" i="3"/>
  <c r="E19" i="3"/>
  <c r="E20" i="3" s="1"/>
  <c r="I15" i="3"/>
  <c r="I18" i="3" s="1"/>
  <c r="I20" i="3" s="1"/>
  <c r="G7" i="3"/>
  <c r="B18" i="3"/>
  <c r="B20" i="3" s="1"/>
  <c r="D17" i="2"/>
  <c r="D16" i="2"/>
  <c r="D15" i="2"/>
  <c r="D14" i="2"/>
  <c r="D19" i="2" s="1"/>
  <c r="N18" i="1"/>
  <c r="H20" i="1"/>
  <c r="B8" i="3" l="1"/>
  <c r="E8" i="3"/>
  <c r="F8" i="3"/>
  <c r="J15" i="3"/>
  <c r="J18" i="3" s="1"/>
  <c r="J20" i="3" s="1"/>
  <c r="M20" i="3" s="1"/>
  <c r="G8" i="3" l="1"/>
</calcChain>
</file>

<file path=xl/sharedStrings.xml><?xml version="1.0" encoding="utf-8"?>
<sst xmlns="http://schemas.openxmlformats.org/spreadsheetml/2006/main" count="165" uniqueCount="105">
  <si>
    <t/>
  </si>
  <si>
    <t>Cost Center</t>
  </si>
  <si>
    <t xml:space="preserve">
221313</t>
  </si>
  <si>
    <t xml:space="preserve">
221315</t>
  </si>
  <si>
    <t xml:space="preserve">
223024</t>
  </si>
  <si>
    <t xml:space="preserve">
224410</t>
  </si>
  <si>
    <t xml:space="preserve">
225102</t>
  </si>
  <si>
    <t xml:space="preserve">
225103</t>
  </si>
  <si>
    <t xml:space="preserve">
225104</t>
  </si>
  <si>
    <t xml:space="preserve">
227029</t>
  </si>
  <si>
    <t xml:space="preserve">
227180</t>
  </si>
  <si>
    <t xml:space="preserve">
228304</t>
  </si>
  <si>
    <t xml:space="preserve">
222800</t>
  </si>
  <si>
    <t>Cost Element</t>
  </si>
  <si>
    <t>Internal Audit</t>
  </si>
  <si>
    <t>Tax Services</t>
  </si>
  <si>
    <t>Human Resources</t>
  </si>
  <si>
    <t>Comm Relations</t>
  </si>
  <si>
    <t>Telecom</t>
  </si>
  <si>
    <t>Cyber Security</t>
  </si>
  <si>
    <t>Applications</t>
  </si>
  <si>
    <t>Supply Chain</t>
  </si>
  <si>
    <t>Safety</t>
  </si>
  <si>
    <t>Executive</t>
  </si>
  <si>
    <t>Cust Relations</t>
  </si>
  <si>
    <t>Salaried ST Labor</t>
  </si>
  <si>
    <t>5300110</t>
  </si>
  <si>
    <t>5300130</t>
  </si>
  <si>
    <t>5300150</t>
  </si>
  <si>
    <t>Salaried OT Labor</t>
  </si>
  <si>
    <t>5300120</t>
  </si>
  <si>
    <t>Hourly ST Labor</t>
  </si>
  <si>
    <t>5300210</t>
  </si>
  <si>
    <t>Hourly OT Labor</t>
  </si>
  <si>
    <t>5300220</t>
  </si>
  <si>
    <t>APIP/Incentive</t>
  </si>
  <si>
    <t>5300170</t>
  </si>
  <si>
    <t>5300180</t>
  </si>
  <si>
    <t>5300280</t>
  </si>
  <si>
    <t>Benefits</t>
  </si>
  <si>
    <t>5301130</t>
  </si>
  <si>
    <t>8600000</t>
  </si>
  <si>
    <t>Payroll Tax</t>
  </si>
  <si>
    <t>5703100</t>
  </si>
  <si>
    <t>* Total Labor</t>
  </si>
  <si>
    <t>ICO Labor Plan</t>
  </si>
  <si>
    <t>Already 61%</t>
  </si>
  <si>
    <t>Vacancies</t>
  </si>
  <si>
    <t>Amount to for Aqua or Delta</t>
  </si>
  <si>
    <t>Ammount to bill Intercompany</t>
  </si>
  <si>
    <t>1FTE</t>
  </si>
  <si>
    <t>M.Miller</t>
  </si>
  <si>
    <t>Cat</t>
  </si>
  <si>
    <t>Settlement Receiver</t>
  </si>
  <si>
    <t>Receiver Short Text</t>
  </si>
  <si>
    <t>%</t>
  </si>
  <si>
    <t>Settlement Type</t>
  </si>
  <si>
    <t>No.</t>
  </si>
  <si>
    <t>Strategy</t>
  </si>
  <si>
    <t>From Period</t>
  </si>
  <si>
    <t>From Fiscal Yr</t>
  </si>
  <si>
    <t>To Period</t>
  </si>
  <si>
    <t>To Fiscal Year</t>
  </si>
  <si>
    <t>First Used</t>
  </si>
  <si>
    <t>:ast Used</t>
  </si>
  <si>
    <t>CTR</t>
  </si>
  <si>
    <t>BILL1000</t>
  </si>
  <si>
    <t>PCOM -1000 PNG BILL</t>
  </si>
  <si>
    <t>PER</t>
  </si>
  <si>
    <t>012/2020</t>
  </si>
  <si>
    <t>BILL3100</t>
  </si>
  <si>
    <t>PCOM - 3100 PGC PTWP</t>
  </si>
  <si>
    <t>BILL1300</t>
  </si>
  <si>
    <t>PCOM - 1300 PGKY</t>
  </si>
  <si>
    <t>BILL1200</t>
  </si>
  <si>
    <t>PCOM - 1200 PGWV</t>
  </si>
  <si>
    <t>BILL1600</t>
  </si>
  <si>
    <t>PCOM - 1600 DELT</t>
  </si>
  <si>
    <t xml:space="preserve">    </t>
  </si>
  <si>
    <t>Customer Relations</t>
  </si>
  <si>
    <t>Peoples</t>
  </si>
  <si>
    <t>PTWP</t>
  </si>
  <si>
    <t>EGC KY</t>
  </si>
  <si>
    <t>EGC WV</t>
  </si>
  <si>
    <t>Delta</t>
  </si>
  <si>
    <t>Total</t>
  </si>
  <si>
    <t>Customer count at year-end</t>
  </si>
  <si>
    <t>Commercial Customers</t>
  </si>
  <si>
    <t>Industrial Customers</t>
  </si>
  <si>
    <t>Residential Customers</t>
  </si>
  <si>
    <t>PNG</t>
  </si>
  <si>
    <t>PNG Gathering LLC</t>
  </si>
  <si>
    <t>KY</t>
  </si>
  <si>
    <t>WV</t>
  </si>
  <si>
    <t>Homeworks</t>
  </si>
  <si>
    <t>PNG Co</t>
  </si>
  <si>
    <t>Essential</t>
  </si>
  <si>
    <t>O&amp;M less purchased gas expense; capex</t>
  </si>
  <si>
    <t>With Delta</t>
  </si>
  <si>
    <t>Without Delta</t>
  </si>
  <si>
    <t>Execs to Delta</t>
  </si>
  <si>
    <t>Remaining</t>
  </si>
  <si>
    <t>CUSTRELAT.ALLOC2</t>
  </si>
  <si>
    <t>2020 Allocation</t>
  </si>
  <si>
    <t>2021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</si>
</sst>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\ #,##0.00"/>
    <numFmt numFmtId="165" formatCode="\$\ #,##0.00;\$\ \-\ #,##0.00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2"/>
      <name val="Arial"/>
      <family val="2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  <xf numFmtId="0" fontId="3" fillId="3" borderId="2" applyNumberFormat="0" applyProtection="0">
      <alignment horizontal="left" vertical="top" indent="1"/>
    </xf>
    <xf numFmtId="4" fontId="3" fillId="2" borderId="1" applyNumberFormat="0" applyProtection="0">
      <alignment horizontal="left" vertical="center" indent="1"/>
    </xf>
    <xf numFmtId="4" fontId="3" fillId="0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</cellStyleXfs>
  <cellXfs count="33">
    <xf numFmtId="0" fontId="0" fillId="0" borderId="0" xfId="0"/>
    <xf numFmtId="0" fontId="3" fillId="2" borderId="1" xfId="4" quotePrefix="1" applyNumberFormat="1">
      <alignment horizontal="left" vertical="center" indent="1"/>
    </xf>
    <xf numFmtId="0" fontId="3" fillId="3" borderId="2" xfId="5" quotePrefix="1" applyAlignment="1">
      <alignment horizontal="left" vertical="top" wrapText="1" indent="1"/>
    </xf>
    <xf numFmtId="0" fontId="3" fillId="3" borderId="2" xfId="5" quotePrefix="1">
      <alignment horizontal="left" vertical="top" indent="1"/>
    </xf>
    <xf numFmtId="0" fontId="3" fillId="2" borderId="1" xfId="6" quotePrefix="1" applyNumberFormat="1">
      <alignment horizontal="left" vertical="center" indent="1"/>
    </xf>
    <xf numFmtId="164" fontId="3" fillId="0" borderId="1" xfId="7" applyNumberFormat="1">
      <alignment horizontal="right" vertical="center"/>
    </xf>
    <xf numFmtId="164" fontId="4" fillId="4" borderId="1" xfId="8" applyNumberFormat="1">
      <alignment horizontal="right" vertical="center"/>
    </xf>
    <xf numFmtId="3" fontId="3" fillId="0" borderId="1" xfId="7" applyNumberFormat="1">
      <alignment horizontal="right" vertical="center"/>
    </xf>
    <xf numFmtId="165" fontId="3" fillId="0" borderId="1" xfId="7" applyNumberFormat="1">
      <alignment horizontal="right" vertical="center"/>
    </xf>
    <xf numFmtId="0" fontId="3" fillId="2" borderId="0" xfId="6" applyNumberFormat="1" applyBorder="1">
      <alignment horizontal="left" vertical="center" indent="1"/>
    </xf>
    <xf numFmtId="164" fontId="0" fillId="0" borderId="0" xfId="0" applyNumberFormat="1"/>
    <xf numFmtId="4" fontId="0" fillId="0" borderId="0" xfId="0" applyNumberFormat="1"/>
    <xf numFmtId="10" fontId="0" fillId="0" borderId="0" xfId="0" applyNumberFormat="1"/>
    <xf numFmtId="166" fontId="0" fillId="0" borderId="0" xfId="2" applyNumberFormat="1" applyFont="1"/>
    <xf numFmtId="167" fontId="0" fillId="0" borderId="0" xfId="3" applyNumberFormat="1" applyFont="1"/>
    <xf numFmtId="2" fontId="0" fillId="0" borderId="0" xfId="0" applyNumberFormat="1"/>
    <xf numFmtId="17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8" fontId="0" fillId="0" borderId="0" xfId="1" applyNumberFormat="1" applyFont="1" applyFill="1" applyBorder="1"/>
    <xf numFmtId="168" fontId="0" fillId="0" borderId="0" xfId="0" applyNumberFormat="1" applyFill="1"/>
    <xf numFmtId="43" fontId="0" fillId="0" borderId="0" xfId="0" applyNumberFormat="1" applyFill="1"/>
    <xf numFmtId="4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9" fontId="0" fillId="0" borderId="0" xfId="0" applyNumberFormat="1" applyFont="1" applyFill="1"/>
    <xf numFmtId="169" fontId="0" fillId="0" borderId="0" xfId="0" applyNumberFormat="1" applyFill="1"/>
    <xf numFmtId="10" fontId="0" fillId="0" borderId="0" xfId="0" applyNumberFormat="1" applyFill="1"/>
    <xf numFmtId="0" fontId="5" fillId="0" borderId="0" xfId="0" applyFont="1" applyFill="1"/>
    <xf numFmtId="0" fontId="2" fillId="0" borderId="0" xfId="0" applyFont="1"/>
    <xf numFmtId="0" fontId="0" fillId="0" borderId="0" xfId="0" applyFill="1" applyAlignment="1">
      <alignment vertical="top"/>
    </xf>
  </cellXfs>
  <cellStyles count="9">
    <cellStyle name="Comma" xfId="1" builtinId="3"/>
    <cellStyle name="Currency" xfId="2" builtinId="4"/>
    <cellStyle name="Normal" xfId="0" builtinId="0"/>
    <cellStyle name="Percent" xfId="3" builtinId="5"/>
    <cellStyle name="SAPBEXchaText" xfId="4"/>
    <cellStyle name="SAPBEXHLevel3X" xfId="5"/>
    <cellStyle name="SAPBEXstdData" xfId="7"/>
    <cellStyle name="SAPBEXstdDataEmph" xfId="8"/>
    <cellStyle name="SAPBEXstdItem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0</xdr:rowOff>
    </xdr:from>
    <xdr:ext cx="123825" cy="123825"/>
    <xdr:pic macro="[1]!DesignIconClicked">
      <xdr:nvPicPr>
        <xdr:cNvPr id="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181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</xdr:row>
      <xdr:rowOff>0</xdr:rowOff>
    </xdr:from>
    <xdr:ext cx="123825" cy="123825"/>
    <xdr:pic macro="[1]!DesignIconClicked">
      <xdr:nvPicPr>
        <xdr:cNvPr id="3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010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10</xdr:row>
      <xdr:rowOff>0</xdr:rowOff>
    </xdr:from>
    <xdr:ext cx="123825" cy="123825"/>
    <xdr:pic macro="[1]!DesignIconClicked">
      <xdr:nvPicPr>
        <xdr:cNvPr id="4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1640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 macro="[1]!DesignIconClicked">
      <xdr:nvPicPr>
        <xdr:cNvPr id="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3469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 macro="[1]!DesignIconClicked">
      <xdr:nvPicPr>
        <xdr:cNvPr id="6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5298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7127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</xdr:row>
      <xdr:rowOff>0</xdr:rowOff>
    </xdr:from>
    <xdr:ext cx="123825" cy="123825"/>
    <xdr:pic macro="[1]!DesignIconClicked">
      <xdr:nvPicPr>
        <xdr:cNvPr id="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181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0</xdr:row>
      <xdr:rowOff>0</xdr:rowOff>
    </xdr:from>
    <xdr:ext cx="123825" cy="123825"/>
    <xdr:pic macro="[1]!DesignIconClicked">
      <xdr:nvPicPr>
        <xdr:cNvPr id="9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3</xdr:row>
      <xdr:rowOff>0</xdr:rowOff>
    </xdr:from>
    <xdr:ext cx="123825" cy="123825"/>
    <xdr:pic macro="[1]!DesignIconClicked">
      <xdr:nvPicPr>
        <xdr:cNvPr id="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8839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</xdr:row>
      <xdr:rowOff>0</xdr:rowOff>
    </xdr:from>
    <xdr:ext cx="123825" cy="123825"/>
    <xdr:pic macro="[1]!DesignIconClicked">
      <xdr:nvPicPr>
        <xdr:cNvPr id="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181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</xdr:row>
      <xdr:rowOff>0</xdr:rowOff>
    </xdr:from>
    <xdr:ext cx="123825" cy="123825"/>
    <xdr:pic macro="[1]!DesignIconClicked">
      <xdr:nvPicPr>
        <xdr:cNvPr id="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181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</xdr:row>
      <xdr:rowOff>0</xdr:rowOff>
    </xdr:from>
    <xdr:ext cx="123825" cy="123825"/>
    <xdr:pic macro="[1]!DesignIconClicked">
      <xdr:nvPicPr>
        <xdr:cNvPr id="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2496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0</xdr:row>
      <xdr:rowOff>0</xdr:rowOff>
    </xdr:from>
    <xdr:ext cx="123825" cy="123825"/>
    <xdr:pic macro="[1]!DesignIconClicked">
      <xdr:nvPicPr>
        <xdr:cNvPr id="1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 macro="[1]!DesignIconClicked">
      <xdr:nvPicPr>
        <xdr:cNvPr id="1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1640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 macro="[1]!DesignIconClicked">
      <xdr:nvPicPr>
        <xdr:cNvPr id="1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23825" cy="123825"/>
    <xdr:pic macro="[1]!DesignIconClicked">
      <xdr:nvPicPr>
        <xdr:cNvPr id="1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7983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 macro="[1]!DesignIconClicked">
      <xdr:nvPicPr>
        <xdr:cNvPr id="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6154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9525</xdr:rowOff>
    </xdr:from>
    <xdr:ext cx="123825" cy="123825"/>
    <xdr:pic macro="[1]!DesignIconClicked">
      <xdr:nvPicPr>
        <xdr:cNvPr id="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44208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]!DesignIconClicked">
      <xdr:nvPicPr>
        <xdr:cNvPr id="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2496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</xdr:row>
      <xdr:rowOff>0</xdr:rowOff>
    </xdr:from>
    <xdr:ext cx="123825" cy="123825"/>
    <xdr:pic macro="[1]!DesignIconClicked">
      <xdr:nvPicPr>
        <xdr:cNvPr id="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0668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]!DesignIconClicked">
      <xdr:nvPicPr>
        <xdr:cNvPr id="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8839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</xdr:row>
      <xdr:rowOff>0</xdr:rowOff>
    </xdr:from>
    <xdr:ext cx="123825" cy="123825"/>
    <xdr:pic macro="[1]!DesignIconClicked">
      <xdr:nvPicPr>
        <xdr:cNvPr id="23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010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</xdr:row>
      <xdr:rowOff>0</xdr:rowOff>
    </xdr:from>
    <xdr:ext cx="123825" cy="123825"/>
    <xdr:pic macro="[1]!DesignIconClicked">
      <xdr:nvPicPr>
        <xdr:cNvPr id="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181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3901\AppData\Local\Microsoft\Windows\INetCache\Content.Outlook\HL2MDZ5X\PNG%20Intercompany%20Billing%20Alloc%20Percentages%20to%20Essential_Update%202-8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Plan"/>
      <sheetName val="January"/>
      <sheetName val="Cus"/>
      <sheetName val="Exec - Delta"/>
      <sheetName val="Dec Staffing"/>
      <sheetName val="ICO to Essential"/>
      <sheetName val="revised erin andy"/>
      <sheetName val="Alloc %"/>
      <sheetName val="Delta"/>
    </sheetNames>
    <sheetDataSet>
      <sheetData sheetId="0"/>
      <sheetData sheetId="1"/>
      <sheetData sheetId="2">
        <row r="15">
          <cell r="C15">
            <v>243627.79585129241</v>
          </cell>
          <cell r="E15">
            <v>83310.813691291303</v>
          </cell>
        </row>
      </sheetData>
      <sheetData sheetId="3">
        <row r="17">
          <cell r="Q17">
            <v>0.24820981387463739</v>
          </cell>
        </row>
        <row r="20">
          <cell r="Q20">
            <v>0.60245888666007474</v>
          </cell>
        </row>
      </sheetData>
      <sheetData sheetId="4"/>
      <sheetData sheetId="5">
        <row r="4">
          <cell r="X4">
            <v>170061.19690594045</v>
          </cell>
        </row>
        <row r="5">
          <cell r="X5">
            <v>170506.92871443767</v>
          </cell>
        </row>
        <row r="6">
          <cell r="X6">
            <v>160172.39960908919</v>
          </cell>
        </row>
        <row r="8">
          <cell r="X8">
            <v>58880.312780500994</v>
          </cell>
        </row>
        <row r="9">
          <cell r="X9">
            <v>30980.976219437431</v>
          </cell>
        </row>
        <row r="10">
          <cell r="X10">
            <v>129675.0050520048</v>
          </cell>
        </row>
        <row r="12">
          <cell r="X12">
            <v>122499.96550312215</v>
          </cell>
        </row>
        <row r="13">
          <cell r="X13">
            <v>84533.847304959709</v>
          </cell>
        </row>
        <row r="14">
          <cell r="X14">
            <v>73330.315410750743</v>
          </cell>
        </row>
        <row r="16">
          <cell r="X16">
            <v>75259.031866445177</v>
          </cell>
        </row>
        <row r="18">
          <cell r="X18">
            <v>131231.69694129348</v>
          </cell>
        </row>
        <row r="20">
          <cell r="X20">
            <v>206892.87531047917</v>
          </cell>
        </row>
        <row r="21">
          <cell r="X21">
            <v>148169.24737589585</v>
          </cell>
        </row>
        <row r="22">
          <cell r="X22">
            <v>64263.179649044716</v>
          </cell>
        </row>
        <row r="23">
          <cell r="Z23">
            <v>154746.55789129683</v>
          </cell>
        </row>
        <row r="25">
          <cell r="X25">
            <v>609158.21003078087</v>
          </cell>
        </row>
        <row r="26">
          <cell r="X26">
            <v>153688.44437576071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A2" sqref="A2"/>
    </sheetView>
  </sheetViews>
  <sheetFormatPr defaultColWidth="8.77734375" defaultRowHeight="14.4" x14ac:dyDescent="0.3"/>
  <cols>
    <col min="1" max="1" width="11.33203125" customWidth="1"/>
    <col min="2" max="2" width="8.6640625" customWidth="1"/>
    <col min="3" max="3" width="20.77734375" bestFit="1" customWidth="1"/>
    <col min="4" max="4" width="8.6640625" style="15" customWidth="1"/>
    <col min="5" max="13" width="8.6640625" customWidth="1"/>
  </cols>
  <sheetData>
    <row r="1" spans="1:13" x14ac:dyDescent="0.3">
      <c r="A1" s="31" t="s">
        <v>79</v>
      </c>
    </row>
    <row r="2" spans="1:13" x14ac:dyDescent="0.3">
      <c r="A2" s="32" t="s">
        <v>102</v>
      </c>
    </row>
    <row r="3" spans="1:13" x14ac:dyDescent="0.3">
      <c r="C3" s="31" t="s">
        <v>103</v>
      </c>
    </row>
    <row r="4" spans="1:13" x14ac:dyDescent="0.3">
      <c r="A4" t="s">
        <v>52</v>
      </c>
      <c r="B4" t="s">
        <v>53</v>
      </c>
      <c r="C4" t="s">
        <v>54</v>
      </c>
      <c r="D4" s="15" t="s">
        <v>55</v>
      </c>
      <c r="E4" t="s">
        <v>56</v>
      </c>
      <c r="F4" t="s">
        <v>57</v>
      </c>
      <c r="G4" t="s">
        <v>58</v>
      </c>
      <c r="H4" t="s">
        <v>59</v>
      </c>
      <c r="I4" t="s">
        <v>60</v>
      </c>
      <c r="J4" t="s">
        <v>61</v>
      </c>
      <c r="K4" t="s">
        <v>62</v>
      </c>
      <c r="L4" t="s">
        <v>63</v>
      </c>
      <c r="M4" t="s">
        <v>64</v>
      </c>
    </row>
    <row r="5" spans="1:13" x14ac:dyDescent="0.3">
      <c r="A5" t="s">
        <v>65</v>
      </c>
      <c r="B5" t="s">
        <v>66</v>
      </c>
      <c r="C5" t="s">
        <v>67</v>
      </c>
      <c r="D5" s="15">
        <v>88.86</v>
      </c>
      <c r="E5" t="s">
        <v>68</v>
      </c>
      <c r="H5">
        <v>12</v>
      </c>
      <c r="I5">
        <v>2020</v>
      </c>
      <c r="J5">
        <v>12</v>
      </c>
      <c r="K5">
        <v>2020</v>
      </c>
      <c r="L5" s="16" t="s">
        <v>69</v>
      </c>
    </row>
    <row r="6" spans="1:13" x14ac:dyDescent="0.3">
      <c r="A6" t="s">
        <v>65</v>
      </c>
      <c r="B6" t="s">
        <v>70</v>
      </c>
      <c r="C6" t="s">
        <v>71</v>
      </c>
      <c r="D6" s="15">
        <v>8.89</v>
      </c>
      <c r="E6" t="s">
        <v>68</v>
      </c>
      <c r="H6">
        <v>12</v>
      </c>
      <c r="I6">
        <v>2020</v>
      </c>
      <c r="J6">
        <v>12</v>
      </c>
      <c r="K6">
        <v>2020</v>
      </c>
      <c r="L6" s="16" t="s">
        <v>69</v>
      </c>
    </row>
    <row r="7" spans="1:13" x14ac:dyDescent="0.3">
      <c r="A7" t="s">
        <v>65</v>
      </c>
      <c r="B7" t="s">
        <v>72</v>
      </c>
      <c r="C7" t="s">
        <v>73</v>
      </c>
      <c r="D7" s="15">
        <v>0.45</v>
      </c>
      <c r="E7" t="s">
        <v>68</v>
      </c>
      <c r="H7">
        <v>12</v>
      </c>
      <c r="I7">
        <v>2020</v>
      </c>
      <c r="J7">
        <v>12</v>
      </c>
      <c r="K7">
        <v>2020</v>
      </c>
      <c r="L7" s="16" t="s">
        <v>69</v>
      </c>
    </row>
    <row r="8" spans="1:13" x14ac:dyDescent="0.3">
      <c r="A8" t="s">
        <v>65</v>
      </c>
      <c r="B8" t="s">
        <v>74</v>
      </c>
      <c r="C8" t="s">
        <v>75</v>
      </c>
      <c r="D8" s="15">
        <v>1.8</v>
      </c>
      <c r="E8" t="s">
        <v>68</v>
      </c>
      <c r="H8">
        <v>12</v>
      </c>
      <c r="I8">
        <v>2020</v>
      </c>
      <c r="J8">
        <v>12</v>
      </c>
      <c r="K8">
        <v>2020</v>
      </c>
      <c r="L8" s="16" t="s">
        <v>69</v>
      </c>
    </row>
    <row r="9" spans="1:13" x14ac:dyDescent="0.3">
      <c r="A9" t="s">
        <v>65</v>
      </c>
      <c r="B9" t="s">
        <v>76</v>
      </c>
      <c r="C9" t="s">
        <v>77</v>
      </c>
      <c r="D9" s="15">
        <v>0</v>
      </c>
      <c r="E9" t="s">
        <v>68</v>
      </c>
      <c r="H9">
        <v>12</v>
      </c>
      <c r="I9">
        <v>2020</v>
      </c>
      <c r="J9">
        <v>12</v>
      </c>
      <c r="K9">
        <v>2020</v>
      </c>
      <c r="L9" s="16" t="s">
        <v>69</v>
      </c>
    </row>
    <row r="10" spans="1:13" x14ac:dyDescent="0.3">
      <c r="D10" s="15">
        <f>SUM(D5:D9)</f>
        <v>100</v>
      </c>
    </row>
    <row r="12" spans="1:13" x14ac:dyDescent="0.3">
      <c r="C12" s="31" t="s">
        <v>104</v>
      </c>
    </row>
    <row r="13" spans="1:13" x14ac:dyDescent="0.3">
      <c r="A13" t="s">
        <v>52</v>
      </c>
      <c r="B13" t="s">
        <v>53</v>
      </c>
      <c r="C13" t="s">
        <v>54</v>
      </c>
      <c r="D13" s="15" t="s">
        <v>55</v>
      </c>
      <c r="E13" t="s">
        <v>56</v>
      </c>
      <c r="F13" t="s">
        <v>57</v>
      </c>
      <c r="G13" t="s">
        <v>58</v>
      </c>
      <c r="H13" t="s">
        <v>59</v>
      </c>
      <c r="I13" t="s">
        <v>60</v>
      </c>
      <c r="J13" t="s">
        <v>61</v>
      </c>
      <c r="K13" t="s">
        <v>62</v>
      </c>
      <c r="L13" t="s">
        <v>63</v>
      </c>
      <c r="M13" t="s">
        <v>64</v>
      </c>
    </row>
    <row r="14" spans="1:13" x14ac:dyDescent="0.3">
      <c r="A14" t="s">
        <v>65</v>
      </c>
      <c r="B14" t="s">
        <v>66</v>
      </c>
      <c r="C14" t="s">
        <v>67</v>
      </c>
      <c r="D14" s="15">
        <f>+ROUND((D5/SUM($D$5:$D$8))*(100-$D$18),2)</f>
        <v>87.75</v>
      </c>
      <c r="E14" t="s">
        <v>68</v>
      </c>
      <c r="H14">
        <v>1</v>
      </c>
      <c r="I14">
        <v>2021</v>
      </c>
      <c r="J14">
        <v>0</v>
      </c>
      <c r="K14" t="s">
        <v>78</v>
      </c>
      <c r="L14" s="16"/>
    </row>
    <row r="15" spans="1:13" x14ac:dyDescent="0.3">
      <c r="A15" t="s">
        <v>65</v>
      </c>
      <c r="B15" t="s">
        <v>70</v>
      </c>
      <c r="C15" t="s">
        <v>71</v>
      </c>
      <c r="D15" s="15">
        <f t="shared" ref="D15:D17" si="0">+ROUND((D6/SUM($D$5:$D$8))*(100-$D$18),2)</f>
        <v>8.7799999999999994</v>
      </c>
      <c r="E15" t="s">
        <v>68</v>
      </c>
      <c r="H15">
        <v>1</v>
      </c>
      <c r="I15">
        <v>2021</v>
      </c>
      <c r="J15">
        <v>0</v>
      </c>
      <c r="K15" t="s">
        <v>78</v>
      </c>
      <c r="L15" s="16"/>
    </row>
    <row r="16" spans="1:13" x14ac:dyDescent="0.3">
      <c r="A16" t="s">
        <v>65</v>
      </c>
      <c r="B16" t="s">
        <v>72</v>
      </c>
      <c r="C16" t="s">
        <v>73</v>
      </c>
      <c r="D16" s="15">
        <f t="shared" si="0"/>
        <v>0.44</v>
      </c>
      <c r="E16" t="s">
        <v>68</v>
      </c>
      <c r="H16">
        <v>1</v>
      </c>
      <c r="I16">
        <v>2021</v>
      </c>
      <c r="J16">
        <v>0</v>
      </c>
      <c r="K16" t="s">
        <v>78</v>
      </c>
      <c r="L16" s="16"/>
    </row>
    <row r="17" spans="1:12" x14ac:dyDescent="0.3">
      <c r="A17" t="s">
        <v>65</v>
      </c>
      <c r="B17" t="s">
        <v>74</v>
      </c>
      <c r="C17" t="s">
        <v>75</v>
      </c>
      <c r="D17" s="15">
        <f t="shared" si="0"/>
        <v>1.78</v>
      </c>
      <c r="E17" t="s">
        <v>68</v>
      </c>
      <c r="H17">
        <v>1</v>
      </c>
      <c r="I17">
        <v>2021</v>
      </c>
      <c r="J17">
        <v>0</v>
      </c>
      <c r="K17" t="s">
        <v>78</v>
      </c>
      <c r="L17" s="16"/>
    </row>
    <row r="18" spans="1:12" x14ac:dyDescent="0.3">
      <c r="A18" t="s">
        <v>65</v>
      </c>
      <c r="B18" t="s">
        <v>76</v>
      </c>
      <c r="C18" t="s">
        <v>77</v>
      </c>
      <c r="D18" s="15">
        <f>+'2021 Plan'!P22*Delta!F8</f>
        <v>1.254729</v>
      </c>
      <c r="E18" t="s">
        <v>68</v>
      </c>
      <c r="H18">
        <v>1</v>
      </c>
      <c r="I18">
        <v>2021</v>
      </c>
      <c r="J18">
        <v>0</v>
      </c>
      <c r="L18" s="16"/>
    </row>
    <row r="19" spans="1:12" x14ac:dyDescent="0.3">
      <c r="D19" s="15">
        <f>SUM(D14:D18)</f>
        <v>100.004729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xSplit="2" ySplit="2" topLeftCell="C12" activePane="bottomRight" state="frozen"/>
      <selection activeCell="D212" sqref="D212"/>
      <selection pane="topRight" activeCell="D212" sqref="D212"/>
      <selection pane="bottomLeft" activeCell="D212" sqref="D212"/>
      <selection pane="bottomRight" activeCell="D212" sqref="D212"/>
    </sheetView>
  </sheetViews>
  <sheetFormatPr defaultColWidth="9.21875" defaultRowHeight="14.4" x14ac:dyDescent="0.3"/>
  <cols>
    <col min="1" max="1" width="14.77734375" bestFit="1" customWidth="1"/>
    <col min="2" max="2" width="11.21875" bestFit="1" customWidth="1"/>
    <col min="3" max="3" width="15.88671875" bestFit="1" customWidth="1"/>
    <col min="4" max="4" width="11.44140625" bestFit="1" customWidth="1"/>
    <col min="5" max="5" width="20" bestFit="1" customWidth="1"/>
    <col min="6" max="6" width="13.21875" bestFit="1" customWidth="1"/>
    <col min="7" max="7" width="11.21875" bestFit="1" customWidth="1"/>
    <col min="8" max="8" width="12.5546875" bestFit="1" customWidth="1"/>
    <col min="9" max="10" width="11.21875" bestFit="1" customWidth="1"/>
    <col min="11" max="11" width="11.5546875" bestFit="1" customWidth="1"/>
    <col min="12" max="12" width="15" bestFit="1" customWidth="1"/>
    <col min="14" max="14" width="13.21875" bestFit="1" customWidth="1"/>
    <col min="16" max="16" width="12.77734375" customWidth="1"/>
  </cols>
  <sheetData>
    <row r="1" spans="1:16" ht="40.799999999999997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P1" s="2" t="s">
        <v>12</v>
      </c>
    </row>
    <row r="2" spans="1:16" x14ac:dyDescent="0.3">
      <c r="A2" s="1" t="s">
        <v>0</v>
      </c>
      <c r="B2" s="1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P2" s="3" t="s">
        <v>24</v>
      </c>
    </row>
    <row r="3" spans="1:16" x14ac:dyDescent="0.3">
      <c r="A3" s="4" t="s">
        <v>25</v>
      </c>
      <c r="B3" s="4" t="s">
        <v>26</v>
      </c>
      <c r="C3" s="5">
        <v>221801</v>
      </c>
      <c r="D3" s="5">
        <v>322210</v>
      </c>
      <c r="E3" s="5">
        <v>1341473</v>
      </c>
      <c r="F3" s="5">
        <v>779472</v>
      </c>
      <c r="G3" s="5">
        <v>2240738</v>
      </c>
      <c r="H3" s="5">
        <v>1520537</v>
      </c>
      <c r="I3" s="5">
        <v>2682001</v>
      </c>
      <c r="J3" s="5">
        <v>582853</v>
      </c>
      <c r="K3" s="5">
        <v>519203</v>
      </c>
      <c r="L3" s="5">
        <v>2257853</v>
      </c>
      <c r="P3" s="6">
        <v>775720</v>
      </c>
    </row>
    <row r="4" spans="1:16" x14ac:dyDescent="0.3">
      <c r="A4" s="4" t="s">
        <v>25</v>
      </c>
      <c r="B4" s="4" t="s">
        <v>27</v>
      </c>
      <c r="C4" s="7"/>
      <c r="D4" s="7"/>
      <c r="E4" s="7"/>
      <c r="F4" s="8">
        <v>0</v>
      </c>
      <c r="G4" s="8">
        <v>0</v>
      </c>
      <c r="H4" s="7"/>
      <c r="I4" s="7"/>
      <c r="J4" s="7"/>
      <c r="K4" s="7"/>
      <c r="L4" s="7"/>
    </row>
    <row r="5" spans="1:16" x14ac:dyDescent="0.3">
      <c r="A5" s="4" t="s">
        <v>25</v>
      </c>
      <c r="B5" s="4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6" x14ac:dyDescent="0.3">
      <c r="A6" s="4" t="s">
        <v>29</v>
      </c>
      <c r="B6" s="4" t="s">
        <v>30</v>
      </c>
      <c r="C6" s="7"/>
      <c r="D6" s="7"/>
      <c r="E6" s="7"/>
      <c r="F6" s="7"/>
      <c r="G6" s="5">
        <v>76999</v>
      </c>
      <c r="H6" s="5">
        <v>2412</v>
      </c>
      <c r="I6" s="7"/>
      <c r="J6" s="7"/>
      <c r="K6" s="7"/>
      <c r="L6" s="7"/>
    </row>
    <row r="7" spans="1:16" x14ac:dyDescent="0.3">
      <c r="A7" s="4" t="s">
        <v>31</v>
      </c>
      <c r="B7" s="4" t="s">
        <v>32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x14ac:dyDescent="0.3">
      <c r="A8" s="4" t="s">
        <v>33</v>
      </c>
      <c r="B8" s="4" t="s">
        <v>34</v>
      </c>
      <c r="C8" s="7"/>
      <c r="D8" s="7"/>
      <c r="E8" s="7"/>
      <c r="F8" s="7"/>
      <c r="G8" s="8">
        <v>0</v>
      </c>
      <c r="H8" s="7"/>
      <c r="I8" s="7"/>
      <c r="J8" s="7"/>
      <c r="K8" s="7"/>
      <c r="L8" s="7"/>
    </row>
    <row r="9" spans="1:16" x14ac:dyDescent="0.3">
      <c r="A9" s="4" t="s">
        <v>35</v>
      </c>
      <c r="B9" s="4" t="s">
        <v>36</v>
      </c>
      <c r="C9" s="5">
        <v>7128</v>
      </c>
      <c r="D9" s="7"/>
      <c r="E9" s="5">
        <v>63577</v>
      </c>
      <c r="F9" s="5">
        <v>20844</v>
      </c>
      <c r="G9" s="5">
        <v>34368</v>
      </c>
      <c r="H9" s="5">
        <v>29328</v>
      </c>
      <c r="I9" s="5">
        <v>28848</v>
      </c>
      <c r="J9" s="7"/>
      <c r="K9" s="7"/>
      <c r="L9" s="5">
        <v>393467</v>
      </c>
      <c r="P9" s="6">
        <v>17784</v>
      </c>
    </row>
    <row r="10" spans="1:16" x14ac:dyDescent="0.3">
      <c r="A10" s="4" t="s">
        <v>35</v>
      </c>
      <c r="B10" s="4" t="s">
        <v>37</v>
      </c>
      <c r="C10" s="5">
        <v>44832</v>
      </c>
      <c r="D10" s="5">
        <v>48852</v>
      </c>
      <c r="E10" s="5">
        <v>244668</v>
      </c>
      <c r="F10" s="5">
        <v>130440</v>
      </c>
      <c r="G10" s="5">
        <v>337752</v>
      </c>
      <c r="H10" s="5">
        <v>238800</v>
      </c>
      <c r="I10" s="5">
        <v>412716</v>
      </c>
      <c r="J10" s="5">
        <v>78972</v>
      </c>
      <c r="K10" s="5">
        <v>82044</v>
      </c>
      <c r="L10" s="5">
        <v>771840</v>
      </c>
      <c r="P10" s="6">
        <v>116172</v>
      </c>
    </row>
    <row r="11" spans="1:16" x14ac:dyDescent="0.3">
      <c r="A11" s="4" t="s">
        <v>35</v>
      </c>
      <c r="B11" s="4" t="s">
        <v>38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6" x14ac:dyDescent="0.3">
      <c r="A12" s="4" t="s">
        <v>39</v>
      </c>
      <c r="B12" s="4" t="s">
        <v>40</v>
      </c>
      <c r="C12" s="5">
        <v>20515</v>
      </c>
      <c r="D12" s="5">
        <v>29376</v>
      </c>
      <c r="E12" s="5">
        <v>123893</v>
      </c>
      <c r="F12" s="5">
        <v>70131</v>
      </c>
      <c r="G12" s="5">
        <v>207272</v>
      </c>
      <c r="H12" s="5">
        <v>140653</v>
      </c>
      <c r="I12" s="5">
        <v>247134</v>
      </c>
      <c r="J12" s="5">
        <v>51691</v>
      </c>
      <c r="K12" s="5">
        <v>48027</v>
      </c>
      <c r="L12" s="5">
        <v>208870</v>
      </c>
      <c r="P12" s="6">
        <v>71757</v>
      </c>
    </row>
    <row r="13" spans="1:16" x14ac:dyDescent="0.3">
      <c r="A13" s="4" t="s">
        <v>39</v>
      </c>
      <c r="B13" s="4" t="s">
        <v>41</v>
      </c>
      <c r="C13" s="5">
        <v>31566</v>
      </c>
      <c r="D13" s="5">
        <v>45216</v>
      </c>
      <c r="E13" s="5">
        <v>190600</v>
      </c>
      <c r="F13" s="5">
        <v>107887</v>
      </c>
      <c r="G13" s="5">
        <v>318848</v>
      </c>
      <c r="H13" s="5">
        <v>216357</v>
      </c>
      <c r="I13" s="5">
        <v>380174</v>
      </c>
      <c r="J13" s="5">
        <v>79558</v>
      </c>
      <c r="K13" s="5">
        <v>73875</v>
      </c>
      <c r="L13" s="5">
        <v>321286</v>
      </c>
      <c r="P13" s="6">
        <v>110380</v>
      </c>
    </row>
    <row r="14" spans="1:16" x14ac:dyDescent="0.3">
      <c r="A14" s="4" t="s">
        <v>42</v>
      </c>
      <c r="B14" s="4" t="s">
        <v>43</v>
      </c>
      <c r="C14" s="5">
        <v>22211</v>
      </c>
      <c r="D14" s="5">
        <v>31305</v>
      </c>
      <c r="E14" s="5">
        <v>131031</v>
      </c>
      <c r="F14" s="5">
        <v>73177</v>
      </c>
      <c r="G14" s="5">
        <v>217547</v>
      </c>
      <c r="H14" s="5">
        <v>144662</v>
      </c>
      <c r="I14" s="5">
        <v>252693</v>
      </c>
      <c r="J14" s="5">
        <v>52447</v>
      </c>
      <c r="K14" s="5">
        <v>50074</v>
      </c>
      <c r="L14" s="5">
        <v>125924</v>
      </c>
      <c r="P14" s="6">
        <v>73101</v>
      </c>
    </row>
    <row r="15" spans="1:16" x14ac:dyDescent="0.3">
      <c r="A15" s="4" t="s">
        <v>44</v>
      </c>
      <c r="B15" s="4"/>
      <c r="C15" s="6">
        <f t="shared" ref="C15:L15" si="0">SUM(C3:C14)</f>
        <v>348053</v>
      </c>
      <c r="D15" s="6">
        <f t="shared" si="0"/>
        <v>476959</v>
      </c>
      <c r="E15" s="6">
        <f t="shared" si="0"/>
        <v>2095242</v>
      </c>
      <c r="F15" s="6">
        <f t="shared" si="0"/>
        <v>1181951</v>
      </c>
      <c r="G15" s="6">
        <f t="shared" si="0"/>
        <v>3433524</v>
      </c>
      <c r="H15" s="6">
        <f t="shared" si="0"/>
        <v>2292749</v>
      </c>
      <c r="I15" s="6">
        <f t="shared" si="0"/>
        <v>4003566</v>
      </c>
      <c r="J15" s="6">
        <f t="shared" si="0"/>
        <v>845521</v>
      </c>
      <c r="K15" s="6">
        <f t="shared" si="0"/>
        <v>773223</v>
      </c>
      <c r="L15" s="6">
        <f t="shared" si="0"/>
        <v>4079240</v>
      </c>
      <c r="P15" s="6">
        <f t="shared" ref="P15" si="1">SUM(P3:P14)</f>
        <v>1164914</v>
      </c>
    </row>
    <row r="18" spans="1:16" x14ac:dyDescent="0.3">
      <c r="A18" s="9" t="s">
        <v>45</v>
      </c>
      <c r="B18" t="s">
        <v>46</v>
      </c>
      <c r="C18" s="5">
        <f>+'[2]ICO to Essential'!X16</f>
        <v>75259.031866445177</v>
      </c>
      <c r="D18" s="5">
        <f>+'[2]ICO to Essential'!X14+'[2]ICO to Essential'!X13+'[2]ICO to Essential'!X12</f>
        <v>280364.1282188326</v>
      </c>
      <c r="E18" s="5">
        <f>+'[2]ICO to Essential'!X20+'[2]ICO to Essential'!X21+'[2]ICO to Essential'!X22+'[2]ICO to Essential'!Z23</f>
        <v>574071.86022671661</v>
      </c>
      <c r="F18" s="5">
        <f>+'[2]ICO to Essential'!X8+'[2]ICO to Essential'!X9+'[2]ICO to Essential'!X10</f>
        <v>219536.29405194323</v>
      </c>
      <c r="G18" s="5">
        <f>+'[2]ICO to Essential'!X5</f>
        <v>170506.92871443767</v>
      </c>
      <c r="H18" s="5">
        <f>+'[2]ICO to Essential'!X4</f>
        <v>170061.19690594045</v>
      </c>
      <c r="I18" s="5">
        <f>+'[2]ICO to Essential'!X6</f>
        <v>160172.39960908919</v>
      </c>
      <c r="J18" s="5">
        <f>+'[2]ICO to Essential'!X18</f>
        <v>131231.69694129348</v>
      </c>
      <c r="K18" s="5">
        <f>+'[2]ICO to Essential'!X26</f>
        <v>153688.44437576071</v>
      </c>
      <c r="L18" s="5">
        <f>+'[2]ICO to Essential'!X25</f>
        <v>609158.21003078087</v>
      </c>
      <c r="N18" s="10">
        <f>SUM(C18:M18)</f>
        <v>2544050.1909412397</v>
      </c>
      <c r="P18" s="5">
        <f>+[2]Cus!C15+[2]Cus!E15</f>
        <v>326938.6095425837</v>
      </c>
    </row>
    <row r="20" spans="1:16" x14ac:dyDescent="0.3">
      <c r="A20" t="s">
        <v>47</v>
      </c>
      <c r="C20" s="5">
        <v>224677.53792386036</v>
      </c>
      <c r="G20" s="5">
        <f>ROUND(SUM(G27:G31),0)</f>
        <v>0</v>
      </c>
      <c r="H20" s="5">
        <f>ROUND(SUM(H27:H31),0)</f>
        <v>114010</v>
      </c>
      <c r="I20" s="5">
        <f>ROUND(SUM(I27:I31),0)</f>
        <v>162877</v>
      </c>
      <c r="K20" s="5">
        <f>ROUND(SUM(K27:K31),0)</f>
        <v>106884</v>
      </c>
    </row>
    <row r="21" spans="1:16" x14ac:dyDescent="0.3">
      <c r="K21" s="11"/>
    </row>
    <row r="22" spans="1:16" x14ac:dyDescent="0.3">
      <c r="A22" t="s">
        <v>48</v>
      </c>
      <c r="C22" s="12">
        <f>+C18/C18</f>
        <v>1</v>
      </c>
      <c r="D22" s="12">
        <f t="shared" ref="D22" si="2">+D18/D18</f>
        <v>1</v>
      </c>
      <c r="E22" s="12">
        <f>ROUND(+E18/E15,4)</f>
        <v>0.27400000000000002</v>
      </c>
      <c r="F22" s="12">
        <f t="shared" ref="F22:L22" si="3">ROUND(+F18/F15,4)</f>
        <v>0.1857</v>
      </c>
      <c r="G22" s="12">
        <f t="shared" si="3"/>
        <v>4.9700000000000001E-2</v>
      </c>
      <c r="H22" s="12">
        <f t="shared" si="3"/>
        <v>7.4200000000000002E-2</v>
      </c>
      <c r="I22" s="12">
        <f t="shared" si="3"/>
        <v>0.04</v>
      </c>
      <c r="J22" s="12">
        <f t="shared" si="3"/>
        <v>0.1552</v>
      </c>
      <c r="K22" s="12">
        <f t="shared" si="3"/>
        <v>0.1988</v>
      </c>
      <c r="L22" s="12">
        <f t="shared" si="3"/>
        <v>0.14929999999999999</v>
      </c>
      <c r="P22" s="12">
        <f t="shared" ref="P22" si="4">ROUND(+P18/P15,4)</f>
        <v>0.28070000000000001</v>
      </c>
    </row>
    <row r="24" spans="1:16" x14ac:dyDescent="0.3">
      <c r="A24" t="s">
        <v>49</v>
      </c>
    </row>
    <row r="26" spans="1:16" x14ac:dyDescent="0.3">
      <c r="C26" t="s">
        <v>50</v>
      </c>
      <c r="H26" t="s">
        <v>50</v>
      </c>
      <c r="I26" t="s">
        <v>50</v>
      </c>
      <c r="K26" t="s">
        <v>50</v>
      </c>
    </row>
    <row r="27" spans="1:16" x14ac:dyDescent="0.3">
      <c r="C27" t="s">
        <v>51</v>
      </c>
      <c r="G27" s="13"/>
      <c r="H27" s="13">
        <v>80000</v>
      </c>
      <c r="I27" s="13">
        <v>110000</v>
      </c>
      <c r="J27" s="13"/>
      <c r="K27" s="13">
        <v>75000</v>
      </c>
    </row>
    <row r="28" spans="1:16" x14ac:dyDescent="0.3">
      <c r="B28" s="14"/>
      <c r="G28" s="13"/>
      <c r="H28" s="13">
        <f>+H27*1.03*0.1</f>
        <v>8240</v>
      </c>
      <c r="I28" s="13">
        <f>+I27*1.03*0.15</f>
        <v>16995</v>
      </c>
      <c r="J28" s="13"/>
      <c r="K28" s="13">
        <f>+K27*1.03*0.1</f>
        <v>7725</v>
      </c>
    </row>
    <row r="29" spans="1:16" x14ac:dyDescent="0.3">
      <c r="B29" s="14">
        <v>7.9182792632269114E-2</v>
      </c>
      <c r="G29" s="13"/>
      <c r="H29" s="13">
        <f>+$B29*(+H27+H28)</f>
        <v>6987.089621871427</v>
      </c>
      <c r="I29" s="13">
        <f>+$B29*(+I27+I28)</f>
        <v>10055.818750335016</v>
      </c>
      <c r="J29" s="13"/>
      <c r="K29" s="13">
        <f>+$B29*(+K27+K28)</f>
        <v>6550.3965205044624</v>
      </c>
    </row>
    <row r="30" spans="1:16" x14ac:dyDescent="0.3">
      <c r="B30" s="14">
        <v>0.14228020041529216</v>
      </c>
      <c r="G30" s="13"/>
      <c r="H30" s="13">
        <f>$B30*H27</f>
        <v>11382.416033223373</v>
      </c>
      <c r="I30" s="13">
        <f>$B30*I27</f>
        <v>15650.822045682138</v>
      </c>
      <c r="J30" s="13"/>
      <c r="K30" s="13">
        <f>$B30*K27</f>
        <v>10671.015031146911</v>
      </c>
    </row>
    <row r="31" spans="1:16" x14ac:dyDescent="0.3">
      <c r="B31" s="14">
        <v>9.2499999999999999E-2</v>
      </c>
      <c r="G31" s="13"/>
      <c r="H31" s="13">
        <f>+$B31*H27</f>
        <v>7400</v>
      </c>
      <c r="I31" s="13">
        <f>+$B31*I27</f>
        <v>10175</v>
      </c>
      <c r="J31" s="13"/>
      <c r="K31" s="13">
        <f>+$B31*K27</f>
        <v>6937.5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workbookViewId="0">
      <selection activeCell="K18" sqref="K18"/>
    </sheetView>
  </sheetViews>
  <sheetFormatPr defaultColWidth="8.77734375" defaultRowHeight="14.4" x14ac:dyDescent="0.3"/>
  <cols>
    <col min="1" max="1" width="26.44140625" style="20" customWidth="1"/>
    <col min="2" max="2" width="14.6640625" style="20" bestFit="1" customWidth="1"/>
    <col min="3" max="3" width="13.6640625" style="20" bestFit="1" customWidth="1"/>
    <col min="4" max="5" width="12.5546875" style="20" bestFit="1" customWidth="1"/>
    <col min="6" max="6" width="14.6640625" style="20" bestFit="1" customWidth="1"/>
    <col min="7" max="16384" width="8.77734375" style="20"/>
  </cols>
  <sheetData>
    <row r="2" spans="1:12" x14ac:dyDescent="0.3">
      <c r="A2" s="17"/>
      <c r="B2" s="18" t="s">
        <v>80</v>
      </c>
      <c r="C2" s="18" t="s">
        <v>81</v>
      </c>
      <c r="D2" s="19" t="s">
        <v>82</v>
      </c>
      <c r="E2" s="19" t="s">
        <v>83</v>
      </c>
      <c r="F2" s="19" t="s">
        <v>84</v>
      </c>
      <c r="G2" s="19" t="s">
        <v>85</v>
      </c>
    </row>
    <row r="3" spans="1:12" x14ac:dyDescent="0.3">
      <c r="A3" s="17" t="s">
        <v>86</v>
      </c>
      <c r="B3" s="21">
        <v>632100</v>
      </c>
      <c r="C3" s="21">
        <v>62637</v>
      </c>
      <c r="D3" s="21">
        <v>2931</v>
      </c>
      <c r="E3" s="21">
        <v>12845</v>
      </c>
      <c r="F3" s="21">
        <v>36036</v>
      </c>
      <c r="G3" s="22">
        <f>SUM(B3:F3)</f>
        <v>746549</v>
      </c>
    </row>
    <row r="4" spans="1:12" x14ac:dyDescent="0.3">
      <c r="A4" s="17" t="s">
        <v>87</v>
      </c>
      <c r="B4" s="21">
        <v>49699</v>
      </c>
      <c r="C4" s="21">
        <v>4360.083333333333</v>
      </c>
      <c r="D4" s="21">
        <v>0</v>
      </c>
      <c r="E4" s="21">
        <v>1035</v>
      </c>
      <c r="F4" s="21">
        <v>4365</v>
      </c>
      <c r="G4" s="22">
        <f t="shared" ref="G4:G7" si="0">SUM(B4:F4)</f>
        <v>59459.083333333336</v>
      </c>
    </row>
    <row r="5" spans="1:12" x14ac:dyDescent="0.3">
      <c r="A5" s="17" t="s">
        <v>88</v>
      </c>
      <c r="B5" s="21">
        <v>396</v>
      </c>
      <c r="C5" s="21">
        <v>26</v>
      </c>
      <c r="D5" s="21">
        <v>0</v>
      </c>
      <c r="E5" s="21">
        <v>13</v>
      </c>
      <c r="F5" s="21">
        <v>1020</v>
      </c>
      <c r="G5" s="22">
        <f t="shared" si="0"/>
        <v>1455</v>
      </c>
    </row>
    <row r="6" spans="1:12" x14ac:dyDescent="0.3">
      <c r="G6" s="22"/>
    </row>
    <row r="7" spans="1:12" x14ac:dyDescent="0.3">
      <c r="A7" s="20" t="s">
        <v>89</v>
      </c>
      <c r="B7" s="22">
        <f>+B3-B4-B5</f>
        <v>582005</v>
      </c>
      <c r="C7" s="22">
        <f t="shared" ref="C7:F7" si="1">+C3-C4-C5</f>
        <v>58250.916666666664</v>
      </c>
      <c r="D7" s="22">
        <f t="shared" si="1"/>
        <v>2931</v>
      </c>
      <c r="E7" s="22">
        <f t="shared" si="1"/>
        <v>11797</v>
      </c>
      <c r="F7" s="22">
        <f t="shared" si="1"/>
        <v>30651</v>
      </c>
      <c r="G7" s="22">
        <f t="shared" si="0"/>
        <v>685634.91666666663</v>
      </c>
    </row>
    <row r="8" spans="1:12" x14ac:dyDescent="0.3">
      <c r="B8" s="23">
        <f>ROUND(B7/$G7,4)*100-0.01</f>
        <v>84.88</v>
      </c>
      <c r="C8" s="23">
        <f t="shared" ref="C8:F8" si="2">ROUND(C7/$G7,4)*100</f>
        <v>8.5</v>
      </c>
      <c r="D8" s="23">
        <f t="shared" si="2"/>
        <v>0.43</v>
      </c>
      <c r="E8" s="23">
        <f t="shared" si="2"/>
        <v>1.72</v>
      </c>
      <c r="F8" s="23">
        <f t="shared" si="2"/>
        <v>4.47</v>
      </c>
      <c r="G8" s="23">
        <f>SUM(B8:F8)</f>
        <v>100</v>
      </c>
    </row>
    <row r="13" spans="1:12" ht="28.8" x14ac:dyDescent="0.3">
      <c r="B13" s="24" t="s">
        <v>90</v>
      </c>
      <c r="C13" s="24" t="s">
        <v>81</v>
      </c>
      <c r="D13" s="24" t="s">
        <v>91</v>
      </c>
      <c r="E13" s="25" t="s">
        <v>92</v>
      </c>
      <c r="F13" s="25" t="s">
        <v>93</v>
      </c>
      <c r="G13" s="25" t="s">
        <v>94</v>
      </c>
      <c r="H13" s="25" t="s">
        <v>95</v>
      </c>
      <c r="I13" s="25" t="s">
        <v>84</v>
      </c>
      <c r="J13" s="25" t="s">
        <v>85</v>
      </c>
      <c r="L13" s="25" t="s">
        <v>96</v>
      </c>
    </row>
    <row r="14" spans="1:12" ht="28.8" x14ac:dyDescent="0.3">
      <c r="A14" s="26" t="s">
        <v>97</v>
      </c>
      <c r="B14" s="27">
        <v>414.56926929999997</v>
      </c>
      <c r="C14" s="27">
        <v>43.271364399999996</v>
      </c>
      <c r="D14" s="27">
        <v>0.99859320000000007</v>
      </c>
      <c r="E14" s="27">
        <v>1.6397250000000001</v>
      </c>
      <c r="F14" s="27">
        <v>7.3115248000000008</v>
      </c>
      <c r="G14" s="27">
        <v>0.57081539999999997</v>
      </c>
      <c r="H14" s="27">
        <v>1.0333672</v>
      </c>
      <c r="I14" s="27">
        <v>26.6</v>
      </c>
      <c r="J14" s="28">
        <f t="shared" ref="J14" si="3">SUM(B14:I14)</f>
        <v>495.99465930000002</v>
      </c>
    </row>
    <row r="15" spans="1:12" x14ac:dyDescent="0.3">
      <c r="B15" s="29">
        <f>ROUND(B14/$J14,4)+0.0001</f>
        <v>0.83589999999999998</v>
      </c>
      <c r="C15" s="29">
        <f t="shared" ref="C15:I15" si="4">ROUND(C14/$J14,4)</f>
        <v>8.72E-2</v>
      </c>
      <c r="D15" s="29">
        <f t="shared" si="4"/>
        <v>2E-3</v>
      </c>
      <c r="E15" s="29">
        <f t="shared" si="4"/>
        <v>3.3E-3</v>
      </c>
      <c r="F15" s="29">
        <f t="shared" si="4"/>
        <v>1.47E-2</v>
      </c>
      <c r="G15" s="29">
        <f t="shared" si="4"/>
        <v>1.1999999999999999E-3</v>
      </c>
      <c r="H15" s="29">
        <f t="shared" si="4"/>
        <v>2.0999999999999999E-3</v>
      </c>
      <c r="I15" s="29">
        <f t="shared" si="4"/>
        <v>5.3600000000000002E-2</v>
      </c>
      <c r="J15" s="29">
        <f>SUM(B15:I15)</f>
        <v>1</v>
      </c>
      <c r="K15" s="20" t="s">
        <v>98</v>
      </c>
    </row>
    <row r="16" spans="1:12" x14ac:dyDescent="0.3">
      <c r="B16" s="29">
        <f>ROUND(+B14/SUM($B$14:$H$14),4)</f>
        <v>0.88319999999999999</v>
      </c>
      <c r="C16" s="29">
        <f t="shared" ref="C16:H16" si="5">ROUND(+C14/SUM($B$14:$H$14),4)</f>
        <v>9.2200000000000004E-2</v>
      </c>
      <c r="D16" s="29">
        <f t="shared" si="5"/>
        <v>2.0999999999999999E-3</v>
      </c>
      <c r="E16" s="29">
        <f t="shared" si="5"/>
        <v>3.5000000000000001E-3</v>
      </c>
      <c r="F16" s="29">
        <f t="shared" si="5"/>
        <v>1.5599999999999999E-2</v>
      </c>
      <c r="G16" s="29">
        <f t="shared" si="5"/>
        <v>1.1999999999999999E-3</v>
      </c>
      <c r="H16" s="29">
        <f t="shared" si="5"/>
        <v>2.2000000000000001E-3</v>
      </c>
      <c r="I16" s="29">
        <v>0</v>
      </c>
      <c r="J16" s="29">
        <f>SUM(B16:I16)</f>
        <v>0.99999999999999989</v>
      </c>
      <c r="K16" s="20" t="s">
        <v>99</v>
      </c>
    </row>
    <row r="18" spans="1:13" x14ac:dyDescent="0.3">
      <c r="A18" s="20" t="s">
        <v>100</v>
      </c>
      <c r="B18" s="20">
        <f>ROUND(+B15*$K18,4)</f>
        <v>0.20749999999999999</v>
      </c>
      <c r="C18" s="20">
        <f t="shared" ref="C18:J19" si="6">ROUND(+C15*$K18,4)</f>
        <v>2.1600000000000001E-2</v>
      </c>
      <c r="D18" s="20">
        <f t="shared" si="6"/>
        <v>5.0000000000000001E-4</v>
      </c>
      <c r="E18" s="20">
        <f t="shared" si="6"/>
        <v>8.0000000000000004E-4</v>
      </c>
      <c r="F18" s="20">
        <f t="shared" si="6"/>
        <v>3.5999999999999999E-3</v>
      </c>
      <c r="G18" s="20">
        <f t="shared" si="6"/>
        <v>2.9999999999999997E-4</v>
      </c>
      <c r="H18" s="20">
        <f t="shared" si="6"/>
        <v>5.0000000000000001E-4</v>
      </c>
      <c r="I18" s="20">
        <f t="shared" si="6"/>
        <v>1.3299999999999999E-2</v>
      </c>
      <c r="J18" s="20">
        <f t="shared" si="6"/>
        <v>0.2482</v>
      </c>
      <c r="K18" s="29">
        <f>+'[2]Exec - Delta'!Q17</f>
        <v>0.24820981387463739</v>
      </c>
    </row>
    <row r="19" spans="1:13" ht="16.2" x14ac:dyDescent="0.45">
      <c r="A19" s="20" t="s">
        <v>101</v>
      </c>
      <c r="B19" s="30">
        <f>ROUND(+B16*$K19,4)+0.0001</f>
        <v>0.53220000000000001</v>
      </c>
      <c r="C19" s="30">
        <f t="shared" si="6"/>
        <v>5.5500000000000001E-2</v>
      </c>
      <c r="D19" s="30">
        <f t="shared" si="6"/>
        <v>1.2999999999999999E-3</v>
      </c>
      <c r="E19" s="30">
        <f t="shared" si="6"/>
        <v>2.0999999999999999E-3</v>
      </c>
      <c r="F19" s="30">
        <f t="shared" si="6"/>
        <v>9.4000000000000004E-3</v>
      </c>
      <c r="G19" s="30">
        <f t="shared" si="6"/>
        <v>6.9999999999999999E-4</v>
      </c>
      <c r="H19" s="30">
        <f t="shared" si="6"/>
        <v>1.2999999999999999E-3</v>
      </c>
      <c r="I19" s="30">
        <v>0</v>
      </c>
      <c r="J19" s="30">
        <f>SUM(B19:I19)</f>
        <v>0.60249999999999992</v>
      </c>
      <c r="K19" s="29">
        <f>+'[2]Exec - Delta'!Q20</f>
        <v>0.60245888666007474</v>
      </c>
    </row>
    <row r="20" spans="1:13" x14ac:dyDescent="0.3">
      <c r="B20" s="20">
        <f t="shared" ref="B20:J20" si="7">SUM(B18:B19)</f>
        <v>0.73970000000000002</v>
      </c>
      <c r="C20" s="20">
        <f t="shared" si="7"/>
        <v>7.7100000000000002E-2</v>
      </c>
      <c r="D20" s="20">
        <f t="shared" si="7"/>
        <v>1.8E-3</v>
      </c>
      <c r="E20" s="20">
        <f t="shared" si="7"/>
        <v>2.8999999999999998E-3</v>
      </c>
      <c r="F20" s="20">
        <f t="shared" si="7"/>
        <v>1.3000000000000001E-2</v>
      </c>
      <c r="G20" s="20">
        <f t="shared" si="7"/>
        <v>1E-3</v>
      </c>
      <c r="H20" s="20">
        <f t="shared" si="7"/>
        <v>1.8E-3</v>
      </c>
      <c r="I20" s="20">
        <f t="shared" si="7"/>
        <v>1.3299999999999999E-2</v>
      </c>
      <c r="J20" s="20">
        <f t="shared" si="7"/>
        <v>0.8506999999999999</v>
      </c>
      <c r="L20" s="20">
        <v>0.14929999999999999</v>
      </c>
      <c r="M20" s="20">
        <f>SUM(J20:L20)</f>
        <v>0.99999999999999989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Alloc %</vt:lpstr>
      <vt:lpstr>2021 Plan</vt:lpstr>
      <vt:lpstr>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2021-08-30T13:32:07Z</dcterms:created>
  <dcterms:modified xsi:type="dcterms:W3CDTF">2021-08-30T13:35:44Z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Book2</vt:lpwstr>
  </property>
</Properties>
</file>