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Direct Testimony/Historical Analysis/"/>
    </mc:Choice>
  </mc:AlternateContent>
  <xr:revisionPtr revIDLastSave="0" documentId="8_{D085A294-A43A-493F-AFF4-2D5835AF683A}" xr6:coauthVersionLast="46" xr6:coauthVersionMax="46" xr10:uidLastSave="{00000000-0000-0000-0000-000000000000}"/>
  <bookViews>
    <workbookView xWindow="36240" yWindow="2220" windowWidth="21510" windowHeight="11370" xr2:uid="{4C499E1A-516F-484B-A24C-D516458C03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1" l="1"/>
  <c r="E77" i="1"/>
  <c r="F77" i="1"/>
  <c r="G77" i="1"/>
  <c r="H77" i="1"/>
  <c r="I77" i="1"/>
  <c r="J77" i="1"/>
  <c r="K77" i="1"/>
  <c r="L77" i="1"/>
  <c r="C77" i="1"/>
  <c r="M27" i="1"/>
  <c r="M23" i="1"/>
  <c r="M22" i="1"/>
  <c r="D39" i="1"/>
  <c r="E39" i="1"/>
  <c r="F39" i="1"/>
  <c r="G39" i="1"/>
  <c r="H39" i="1"/>
  <c r="I39" i="1"/>
  <c r="J39" i="1"/>
  <c r="K39" i="1"/>
  <c r="L39" i="1"/>
  <c r="D37" i="1"/>
  <c r="E37" i="1"/>
  <c r="F37" i="1"/>
  <c r="G37" i="1"/>
  <c r="H37" i="1"/>
  <c r="I37" i="1"/>
  <c r="J37" i="1"/>
  <c r="J40" i="1" s="1"/>
  <c r="K37" i="1"/>
  <c r="K40" i="1" s="1"/>
  <c r="L37" i="1"/>
  <c r="C37" i="1"/>
  <c r="C39" i="1"/>
  <c r="D38" i="1"/>
  <c r="E38" i="1"/>
  <c r="F38" i="1"/>
  <c r="G38" i="1"/>
  <c r="H38" i="1"/>
  <c r="I38" i="1"/>
  <c r="J38" i="1"/>
  <c r="K38" i="1"/>
  <c r="L38" i="1"/>
  <c r="C38" i="1"/>
  <c r="D33" i="1"/>
  <c r="E33" i="1"/>
  <c r="F33" i="1"/>
  <c r="G33" i="1"/>
  <c r="H33" i="1"/>
  <c r="I33" i="1"/>
  <c r="J33" i="1"/>
  <c r="K33" i="1"/>
  <c r="L33" i="1"/>
  <c r="C33" i="1"/>
  <c r="D32" i="1"/>
  <c r="E32" i="1"/>
  <c r="F32" i="1"/>
  <c r="G32" i="1"/>
  <c r="H32" i="1"/>
  <c r="I32" i="1"/>
  <c r="J32" i="1"/>
  <c r="K32" i="1"/>
  <c r="L32" i="1"/>
  <c r="C32" i="1"/>
  <c r="L30" i="1"/>
  <c r="K30" i="1"/>
  <c r="J30" i="1"/>
  <c r="I30" i="1"/>
  <c r="H30" i="1"/>
  <c r="G30" i="1"/>
  <c r="F30" i="1"/>
  <c r="C30" i="1"/>
  <c r="D30" i="1"/>
  <c r="E30" i="1"/>
  <c r="M16" i="1"/>
  <c r="M17" i="1"/>
  <c r="M18" i="1"/>
  <c r="M19" i="1"/>
  <c r="M15" i="1"/>
  <c r="C24" i="1"/>
  <c r="D24" i="1"/>
  <c r="E24" i="1"/>
  <c r="F24" i="1"/>
  <c r="G24" i="1"/>
  <c r="H24" i="1"/>
  <c r="I24" i="1"/>
  <c r="J24" i="1"/>
  <c r="K24" i="1"/>
  <c r="C20" i="1"/>
  <c r="D20" i="1"/>
  <c r="E20" i="1"/>
  <c r="E25" i="1" s="1"/>
  <c r="F20" i="1"/>
  <c r="G20" i="1"/>
  <c r="H20" i="1"/>
  <c r="H25" i="1" s="1"/>
  <c r="I20" i="1"/>
  <c r="J20" i="1"/>
  <c r="C10" i="1"/>
  <c r="D10" i="1"/>
  <c r="E10" i="1"/>
  <c r="F10" i="1"/>
  <c r="G10" i="1"/>
  <c r="H10" i="1"/>
  <c r="L24" i="1"/>
  <c r="K20" i="1"/>
  <c r="K25" i="1" s="1"/>
  <c r="L20" i="1"/>
  <c r="K10" i="1"/>
  <c r="L10" i="1"/>
  <c r="J10" i="1"/>
  <c r="I10" i="1"/>
  <c r="C80" i="1" l="1"/>
  <c r="C81" i="1"/>
  <c r="I84" i="1" s="1"/>
  <c r="M39" i="1"/>
  <c r="C40" i="1"/>
  <c r="L40" i="1"/>
  <c r="C44" i="1"/>
  <c r="G52" i="1" s="1"/>
  <c r="C45" i="1"/>
  <c r="H47" i="1" s="1"/>
  <c r="H48" i="1" s="1"/>
  <c r="J25" i="1"/>
  <c r="I25" i="1"/>
  <c r="D40" i="1"/>
  <c r="M32" i="1"/>
  <c r="E84" i="1"/>
  <c r="G84" i="1"/>
  <c r="H84" i="1"/>
  <c r="E50" i="1"/>
  <c r="F50" i="1"/>
  <c r="G50" i="1"/>
  <c r="H50" i="1"/>
  <c r="I50" i="1"/>
  <c r="J50" i="1"/>
  <c r="K50" i="1"/>
  <c r="L50" i="1"/>
  <c r="J47" i="1"/>
  <c r="J48" i="1" s="1"/>
  <c r="K47" i="1"/>
  <c r="K48" i="1" s="1"/>
  <c r="L47" i="1"/>
  <c r="L48" i="1" s="1"/>
  <c r="C47" i="1"/>
  <c r="C48" i="1" s="1"/>
  <c r="D47" i="1"/>
  <c r="D48" i="1" s="1"/>
  <c r="G47" i="1"/>
  <c r="G48" i="1" s="1"/>
  <c r="E47" i="1"/>
  <c r="E48" i="1" s="1"/>
  <c r="M38" i="1"/>
  <c r="M37" i="1"/>
  <c r="M20" i="1"/>
  <c r="I40" i="1"/>
  <c r="H40" i="1"/>
  <c r="G40" i="1"/>
  <c r="F40" i="1"/>
  <c r="E40" i="1"/>
  <c r="F25" i="1"/>
  <c r="C25" i="1"/>
  <c r="G25" i="1"/>
  <c r="D25" i="1"/>
  <c r="L25" i="1"/>
  <c r="F84" i="1" l="1"/>
  <c r="D84" i="1"/>
  <c r="I52" i="1"/>
  <c r="F47" i="1"/>
  <c r="F48" i="1" s="1"/>
  <c r="D50" i="1"/>
  <c r="J52" i="1"/>
  <c r="I47" i="1"/>
  <c r="I48" i="1" s="1"/>
  <c r="C84" i="1"/>
  <c r="D52" i="1"/>
  <c r="C52" i="1"/>
  <c r="L84" i="1"/>
  <c r="E52" i="1"/>
  <c r="C50" i="1"/>
  <c r="K84" i="1"/>
  <c r="F52" i="1"/>
  <c r="J84" i="1"/>
  <c r="L52" i="1"/>
  <c r="K52" i="1"/>
  <c r="H52" i="1"/>
</calcChain>
</file>

<file path=xl/sharedStrings.xml><?xml version="1.0" encoding="utf-8"?>
<sst xmlns="http://schemas.openxmlformats.org/spreadsheetml/2006/main" count="40" uniqueCount="34">
  <si>
    <t>Actual</t>
  </si>
  <si>
    <t>Normal</t>
  </si>
  <si>
    <t>%</t>
  </si>
  <si>
    <t>Regulated</t>
  </si>
  <si>
    <t>Gas Sales</t>
  </si>
  <si>
    <t>Residential</t>
  </si>
  <si>
    <t>Small Non-Residential</t>
  </si>
  <si>
    <t>Large Non-Residential</t>
  </si>
  <si>
    <t>Interruptible</t>
  </si>
  <si>
    <t>Gas Light</t>
  </si>
  <si>
    <t>Total Gas Sales</t>
  </si>
  <si>
    <t>Transportation</t>
  </si>
  <si>
    <t>On-system transportation</t>
  </si>
  <si>
    <t>Off-system transportation</t>
  </si>
  <si>
    <t>Total Transportation</t>
  </si>
  <si>
    <t>Total Regulated</t>
  </si>
  <si>
    <t>Degree Days</t>
  </si>
  <si>
    <t>Volume</t>
  </si>
  <si>
    <t>Average</t>
  </si>
  <si>
    <t>Commercial</t>
  </si>
  <si>
    <t>Industrial</t>
  </si>
  <si>
    <t>Total</t>
  </si>
  <si>
    <t>C&amp;I Sales and Transportation</t>
  </si>
  <si>
    <t>Off-System Transportation</t>
  </si>
  <si>
    <t>Customers</t>
  </si>
  <si>
    <t>Non-Residential</t>
  </si>
  <si>
    <t>Mcf per Cust</t>
  </si>
  <si>
    <t>Aggregate Mcf</t>
  </si>
  <si>
    <t>Slope</t>
  </si>
  <si>
    <t>Intercept</t>
  </si>
  <si>
    <t>Residential Analysis</t>
  </si>
  <si>
    <t>Non-Residential Analysis</t>
  </si>
  <si>
    <t>Normalized</t>
  </si>
  <si>
    <t>Non-Residential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</si>
</sst>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41" fontId="5" fillId="0" borderId="0" xfId="3" applyFont="1" applyBorder="1"/>
    <xf numFmtId="9" fontId="0" fillId="0" borderId="0" xfId="2" applyFont="1" applyBorder="1"/>
    <xf numFmtId="41" fontId="9" fillId="0" borderId="3" xfId="3" applyFont="1" applyBorder="1" applyAlignment="1">
      <alignment horizontal="center" vertical="center" textRotation="90"/>
    </xf>
    <xf numFmtId="41" fontId="9" fillId="0" borderId="4" xfId="3" applyFont="1" applyBorder="1" applyAlignment="1">
      <alignment horizontal="center" vertical="center" textRotation="90"/>
    </xf>
    <xf numFmtId="41" fontId="9" fillId="0" borderId="5" xfId="3" applyFont="1" applyBorder="1" applyAlignment="1">
      <alignment horizontal="center" vertical="center" textRotation="90"/>
    </xf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1" xfId="1" applyNumberFormat="1" applyFont="1" applyBorder="1"/>
    <xf numFmtId="0" fontId="0" fillId="0" borderId="7" xfId="0" applyBorder="1"/>
    <xf numFmtId="165" fontId="0" fillId="0" borderId="7" xfId="1" applyNumberFormat="1" applyFont="1" applyBorder="1"/>
    <xf numFmtId="41" fontId="4" fillId="0" borderId="8" xfId="3" applyFont="1" applyBorder="1"/>
    <xf numFmtId="0" fontId="0" fillId="0" borderId="9" xfId="0" applyBorder="1"/>
    <xf numFmtId="0" fontId="0" fillId="0" borderId="10" xfId="0" applyBorder="1"/>
    <xf numFmtId="41" fontId="5" fillId="0" borderId="11" xfId="3" applyFont="1" applyBorder="1" applyAlignment="1">
      <alignment horizontal="left"/>
    </xf>
    <xf numFmtId="165" fontId="0" fillId="0" borderId="12" xfId="1" applyNumberFormat="1" applyFont="1" applyBorder="1"/>
    <xf numFmtId="41" fontId="5" fillId="0" borderId="11" xfId="3" applyFont="1" applyBorder="1" applyAlignment="1">
      <alignment horizontal="left" indent="1"/>
    </xf>
    <xf numFmtId="9" fontId="0" fillId="0" borderId="12" xfId="2" applyFont="1" applyBorder="1"/>
    <xf numFmtId="41" fontId="6" fillId="0" borderId="13" xfId="3" applyFont="1" applyBorder="1"/>
    <xf numFmtId="41" fontId="8" fillId="0" borderId="14" xfId="3" applyFont="1" applyBorder="1"/>
    <xf numFmtId="0" fontId="0" fillId="0" borderId="14" xfId="0" applyBorder="1"/>
    <xf numFmtId="0" fontId="0" fillId="0" borderId="15" xfId="0" applyBorder="1"/>
    <xf numFmtId="41" fontId="5" fillId="0" borderId="9" xfId="3" applyFont="1" applyBorder="1"/>
    <xf numFmtId="41" fontId="7" fillId="0" borderId="11" xfId="3" applyFont="1" applyBorder="1"/>
    <xf numFmtId="0" fontId="0" fillId="0" borderId="12" xfId="0" applyBorder="1"/>
    <xf numFmtId="41" fontId="5" fillId="0" borderId="11" xfId="3" applyFont="1" applyBorder="1" applyAlignment="1">
      <alignment horizontal="left" indent="2"/>
    </xf>
    <xf numFmtId="165" fontId="0" fillId="0" borderId="16" xfId="1" applyNumberFormat="1" applyFont="1" applyBorder="1"/>
    <xf numFmtId="165" fontId="0" fillId="0" borderId="17" xfId="1" applyNumberFormat="1" applyFont="1" applyBorder="1"/>
    <xf numFmtId="41" fontId="8" fillId="0" borderId="13" xfId="3" applyFont="1" applyBorder="1"/>
    <xf numFmtId="165" fontId="0" fillId="0" borderId="18" xfId="1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0" fillId="0" borderId="0" xfId="0" applyNumberFormat="1" applyBorder="1"/>
    <xf numFmtId="43" fontId="0" fillId="0" borderId="0" xfId="0" applyNumberFormat="1" applyBorder="1"/>
    <xf numFmtId="165" fontId="0" fillId="0" borderId="0" xfId="1" applyNumberFormat="1" applyFont="1" applyFill="1" applyBorder="1"/>
    <xf numFmtId="0" fontId="0" fillId="0" borderId="8" xfId="0" applyBorder="1"/>
    <xf numFmtId="165" fontId="0" fillId="0" borderId="12" xfId="1" applyNumberFormat="1" applyFont="1" applyFill="1" applyBorder="1"/>
    <xf numFmtId="41" fontId="5" fillId="0" borderId="13" xfId="3" applyFont="1" applyBorder="1" applyAlignment="1"/>
    <xf numFmtId="165" fontId="0" fillId="0" borderId="14" xfId="1" applyNumberFormat="1" applyFont="1" applyBorder="1"/>
    <xf numFmtId="165" fontId="0" fillId="0" borderId="15" xfId="1" applyNumberFormat="1" applyFont="1" applyBorder="1"/>
    <xf numFmtId="0" fontId="0" fillId="0" borderId="11" xfId="0" applyFill="1" applyBorder="1"/>
    <xf numFmtId="43" fontId="0" fillId="0" borderId="12" xfId="0" applyNumberFormat="1" applyBorder="1"/>
    <xf numFmtId="0" fontId="0" fillId="0" borderId="11" xfId="0" applyBorder="1"/>
    <xf numFmtId="0" fontId="0" fillId="0" borderId="13" xfId="0" applyBorder="1"/>
    <xf numFmtId="165" fontId="0" fillId="0" borderId="12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4" xfId="0" applyNumberFormat="1" applyBorder="1"/>
    <xf numFmtId="165" fontId="0" fillId="0" borderId="22" xfId="1" applyNumberFormat="1" applyFont="1" applyBorder="1"/>
    <xf numFmtId="165" fontId="0" fillId="0" borderId="11" xfId="0" applyNumberFormat="1" applyBorder="1"/>
    <xf numFmtId="0" fontId="2" fillId="0" borderId="0" xfId="0" applyFont="1" applyBorder="1"/>
    <xf numFmtId="43" fontId="0" fillId="0" borderId="11" xfId="0" applyNumberFormat="1" applyBorder="1"/>
  </cellXfs>
  <cellStyles count="5">
    <cellStyle name="Comma" xfId="1" builtinId="3"/>
    <cellStyle name="Normal" xfId="0" builtinId="0"/>
    <cellStyle name="Normal 88" xfId="3" xr:uid="{FCFDA2D8-777D-486A-9985-926AF22A43A2}"/>
    <cellStyle name="Percent" xfId="2" builtinId="5"/>
    <cellStyle name="Percent 2" xfId="4" xr:uid="{92B2C294-EC46-4060-BDFF-3575B3280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Sales per Customer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Sheet1!$C$6:$L$6</c:f>
              <c:numCache>
                <c:formatCode>General</c:formatCode>
                <c:ptCount val="10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</c:numCache>
            </c:numRef>
          </c:xVal>
          <c:yVal>
            <c:numRef>
              <c:f>Sheet1!$C$32:$L$32</c:f>
              <c:numCache>
                <c:formatCode>_(* #,##0.00_);_(* \(#,##0.00\);_(* "-"??_);_(@_)</c:formatCode>
                <c:ptCount val="10"/>
                <c:pt idx="0">
                  <c:v>50.035554100507447</c:v>
                </c:pt>
                <c:pt idx="1">
                  <c:v>51.755240546955967</c:v>
                </c:pt>
                <c:pt idx="2">
                  <c:v>56.139699946178688</c:v>
                </c:pt>
                <c:pt idx="3">
                  <c:v>46.792601351351351</c:v>
                </c:pt>
                <c:pt idx="4">
                  <c:v>49.578029790115096</c:v>
                </c:pt>
                <c:pt idx="5">
                  <c:v>51.811834881041143</c:v>
                </c:pt>
                <c:pt idx="6">
                  <c:v>61.468504872830998</c:v>
                </c:pt>
                <c:pt idx="7">
                  <c:v>57.582316045052941</c:v>
                </c:pt>
                <c:pt idx="8">
                  <c:v>46.209601558825504</c:v>
                </c:pt>
                <c:pt idx="9">
                  <c:v>52.677927927927925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1E-4F69-8E2F-68DEABCFB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855400"/>
        <c:axId val="571852448"/>
      </c:scatterChart>
      <c:valAx>
        <c:axId val="571855400"/>
        <c:scaling>
          <c:orientation val="minMax"/>
          <c:max val="2021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52448"/>
        <c:crosses val="autoZero"/>
        <c:crossBetween val="midCat"/>
      </c:valAx>
      <c:valAx>
        <c:axId val="57185244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55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 Sales per Customer</a:t>
            </a:r>
          </a:p>
          <a:p>
            <a:pPr>
              <a:defRPr/>
            </a:pPr>
            <a:r>
              <a:rPr lang="en-US"/>
              <a:t>(Temperature Normalized)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Sheet1!$C$6:$L$6</c:f>
              <c:numCache>
                <c:formatCode>General</c:formatCode>
                <c:ptCount val="10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</c:numCache>
            </c:numRef>
          </c:xVal>
          <c:yVal>
            <c:numRef>
              <c:f>Sheet1!$C$50:$L$50</c:f>
              <c:numCache>
                <c:formatCode>_(* #,##0.00_);_(* \(#,##0.00\);_(* "-"??_);_(@_)</c:formatCode>
                <c:ptCount val="10"/>
                <c:pt idx="0">
                  <c:v>54.869600025059263</c:v>
                </c:pt>
                <c:pt idx="1">
                  <c:v>54.819483727693111</c:v>
                </c:pt>
                <c:pt idx="2">
                  <c:v>54.70672205861927</c:v>
                </c:pt>
                <c:pt idx="3">
                  <c:v>55.283059478330031</c:v>
                </c:pt>
                <c:pt idx="4">
                  <c:v>55.470995593453104</c:v>
                </c:pt>
                <c:pt idx="5">
                  <c:v>55.64640263423464</c:v>
                </c:pt>
                <c:pt idx="6">
                  <c:v>55.533640965160792</c:v>
                </c:pt>
                <c:pt idx="7">
                  <c:v>55.32064670135464</c:v>
                </c:pt>
                <c:pt idx="8">
                  <c:v>55.796751526333097</c:v>
                </c:pt>
                <c:pt idx="9">
                  <c:v>55.859396898040785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3-4B8A-A67F-855183115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855400"/>
        <c:axId val="571852448"/>
      </c:scatterChart>
      <c:valAx>
        <c:axId val="571855400"/>
        <c:scaling>
          <c:orientation val="minMax"/>
          <c:max val="2021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52448"/>
        <c:crosses val="autoZero"/>
        <c:crossBetween val="midCat"/>
      </c:valAx>
      <c:valAx>
        <c:axId val="571852448"/>
        <c:scaling>
          <c:orientation val="minMax"/>
          <c:min val="5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55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Non-Residential Usage</a:t>
            </a:r>
            <a:r>
              <a:rPr lang="en-US" baseline="0"/>
              <a:t> </a:t>
            </a:r>
            <a:r>
              <a:rPr lang="en-US"/>
              <a:t>per Customer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Sheet1!$C$6:$L$6</c:f>
              <c:numCache>
                <c:formatCode>General</c:formatCode>
                <c:ptCount val="10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</c:numCache>
            </c:numRef>
          </c:xVal>
          <c:yVal>
            <c:numRef>
              <c:f>Sheet1!$C$33:$L$33</c:f>
              <c:numCache>
                <c:formatCode>_(* #,##0.00_);_(* \(#,##0.00\);_(* "-"??_);_(@_)</c:formatCode>
                <c:ptCount val="10"/>
                <c:pt idx="0">
                  <c:v>1220.0910703725606</c:v>
                </c:pt>
                <c:pt idx="1">
                  <c:v>1301.4333199839807</c:v>
                </c:pt>
                <c:pt idx="2">
                  <c:v>1312.7852538275583</c:v>
                </c:pt>
                <c:pt idx="3">
                  <c:v>1252.5772736438798</c:v>
                </c:pt>
                <c:pt idx="4">
                  <c:v>1294.888495754145</c:v>
                </c:pt>
                <c:pt idx="5">
                  <c:v>1321.591619433198</c:v>
                </c:pt>
                <c:pt idx="6">
                  <c:v>1298.3713934929403</c:v>
                </c:pt>
                <c:pt idx="7">
                  <c:v>1331.1683248730965</c:v>
                </c:pt>
                <c:pt idx="8">
                  <c:v>1217.4720698760918</c:v>
                </c:pt>
                <c:pt idx="9">
                  <c:v>1220.1932958651144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C1-493F-9844-51CA51AF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855400"/>
        <c:axId val="571852448"/>
      </c:scatterChart>
      <c:valAx>
        <c:axId val="571855400"/>
        <c:scaling>
          <c:orientation val="minMax"/>
          <c:max val="2021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52448"/>
        <c:crosses val="autoZero"/>
        <c:crossBetween val="midCat"/>
      </c:valAx>
      <c:valAx>
        <c:axId val="571852448"/>
        <c:scaling>
          <c:orientation val="minMax"/>
          <c:max val="20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855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890587</xdr:colOff>
      <xdr:row>55</xdr:row>
      <xdr:rowOff>119062</xdr:rowOff>
    </xdr:from>
    <xdr:to>
      <xdr:col>6</xdr:col>
      <xdr:colOff>719137</xdr:colOff>
      <xdr:row>70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E3EF01-BA6C-4A65-A3E2-863BA31CE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56</xdr:row>
      <xdr:rowOff>0</xdr:rowOff>
    </xdr:from>
    <xdr:to>
      <xdr:col>13</xdr:col>
      <xdr:colOff>552450</xdr:colOff>
      <xdr:row>70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0DF5C6-D4CF-4352-BD1B-8447E057A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90</xdr:row>
      <xdr:rowOff>0</xdr:rowOff>
    </xdr:from>
    <xdr:to>
      <xdr:col>7</xdr:col>
      <xdr:colOff>619125</xdr:colOff>
      <xdr:row>104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5957CC-8208-426E-9789-26ED421A2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B2DF-51A1-4E72-885C-3B6B171A678E}">
  <dimension ref="A5:O84"/>
  <sheetViews>
    <sheetView tabSelected="1" topLeftCell="A19" workbookViewId="0">
      <selection activeCell="C39" sqref="C39:G39"/>
    </sheetView>
  </sheetViews>
  <sheetFormatPr defaultRowHeight="15" x14ac:dyDescent="0.25"/>
  <cols>
    <col min="1" max="1" width="9.140625" style="1"/>
    <col min="2" max="2" width="23.7109375" style="1" customWidth="1"/>
    <col min="3" max="12" width="11.85546875" style="1" customWidth="1"/>
    <col min="13" max="13" width="12.85546875" style="1" customWidth="1"/>
    <col min="14" max="16384" width="9.140625" style="1"/>
  </cols>
  <sheetData>
    <row r="5" spans="1:13" ht="15.75" thickBot="1" x14ac:dyDescent="0.3"/>
    <row r="6" spans="1:13" ht="15.75" thickBot="1" x14ac:dyDescent="0.3">
      <c r="C6" s="31">
        <v>2020</v>
      </c>
      <c r="D6" s="32">
        <v>2019</v>
      </c>
      <c r="E6" s="32">
        <v>2018</v>
      </c>
      <c r="F6" s="32">
        <v>2017</v>
      </c>
      <c r="G6" s="32">
        <v>2016</v>
      </c>
      <c r="H6" s="32">
        <v>2015</v>
      </c>
      <c r="I6" s="32">
        <v>2014</v>
      </c>
      <c r="J6" s="32">
        <v>2013</v>
      </c>
      <c r="K6" s="32">
        <v>2012</v>
      </c>
      <c r="L6" s="33">
        <v>2011</v>
      </c>
      <c r="M6" s="49" t="s">
        <v>18</v>
      </c>
    </row>
    <row r="7" spans="1:13" x14ac:dyDescent="0.25">
      <c r="A7" s="4" t="s">
        <v>16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50"/>
    </row>
    <row r="8" spans="1:13" x14ac:dyDescent="0.25">
      <c r="A8" s="5"/>
      <c r="B8" s="15" t="s">
        <v>0</v>
      </c>
      <c r="C8" s="7">
        <v>4360</v>
      </c>
      <c r="D8" s="7">
        <v>4016</v>
      </c>
      <c r="E8" s="7">
        <v>4462</v>
      </c>
      <c r="F8" s="7">
        <v>3737</v>
      </c>
      <c r="G8" s="7">
        <v>4026</v>
      </c>
      <c r="H8" s="7">
        <v>4328</v>
      </c>
      <c r="I8" s="7">
        <v>4915</v>
      </c>
      <c r="J8" s="7">
        <v>4650</v>
      </c>
      <c r="K8" s="7">
        <v>3975</v>
      </c>
      <c r="L8" s="16">
        <v>4394</v>
      </c>
      <c r="M8" s="51"/>
    </row>
    <row r="9" spans="1:13" x14ac:dyDescent="0.25">
      <c r="A9" s="5"/>
      <c r="B9" s="15" t="s">
        <v>1</v>
      </c>
      <c r="C9" s="7">
        <v>4483</v>
      </c>
      <c r="D9" s="7">
        <v>4479</v>
      </c>
      <c r="E9" s="7">
        <v>4470</v>
      </c>
      <c r="F9" s="7">
        <v>4516</v>
      </c>
      <c r="G9" s="7">
        <v>4531</v>
      </c>
      <c r="H9" s="7">
        <v>4545</v>
      </c>
      <c r="I9" s="7">
        <v>4536</v>
      </c>
      <c r="J9" s="7">
        <v>4519</v>
      </c>
      <c r="K9" s="7">
        <v>4557</v>
      </c>
      <c r="L9" s="16">
        <v>4562</v>
      </c>
      <c r="M9" s="51"/>
    </row>
    <row r="10" spans="1:13" x14ac:dyDescent="0.25">
      <c r="A10" s="5"/>
      <c r="B10" s="17" t="s">
        <v>2</v>
      </c>
      <c r="C10" s="3">
        <f t="shared" ref="C10:H10" si="0">C8/C9</f>
        <v>0.97256301583760874</v>
      </c>
      <c r="D10" s="3">
        <f t="shared" si="0"/>
        <v>0.89662871176601922</v>
      </c>
      <c r="E10" s="3">
        <f t="shared" si="0"/>
        <v>0.99821029082774049</v>
      </c>
      <c r="F10" s="3">
        <f t="shared" si="0"/>
        <v>0.82750221434898141</v>
      </c>
      <c r="G10" s="3">
        <f t="shared" si="0"/>
        <v>0.88854557492827191</v>
      </c>
      <c r="H10" s="3">
        <f t="shared" si="0"/>
        <v>0.95225522552255226</v>
      </c>
      <c r="I10" s="3">
        <f>I8/I9</f>
        <v>1.0835537918871252</v>
      </c>
      <c r="J10" s="3">
        <f>J8/J9</f>
        <v>1.0289887143173269</v>
      </c>
      <c r="K10" s="3">
        <f t="shared" ref="K10:L10" si="1">K8/K9</f>
        <v>0.87228439763001975</v>
      </c>
      <c r="L10" s="18">
        <f t="shared" si="1"/>
        <v>0.96317404647084615</v>
      </c>
      <c r="M10" s="51"/>
    </row>
    <row r="11" spans="1:13" ht="15.75" thickBot="1" x14ac:dyDescent="0.3">
      <c r="A11" s="6"/>
      <c r="B11" s="19"/>
      <c r="C11" s="20"/>
      <c r="D11" s="20"/>
      <c r="E11" s="21"/>
      <c r="F11" s="21"/>
      <c r="G11" s="21"/>
      <c r="H11" s="21"/>
      <c r="I11" s="21"/>
      <c r="J11" s="21"/>
      <c r="K11" s="21"/>
      <c r="L11" s="22"/>
      <c r="M11" s="52"/>
    </row>
    <row r="12" spans="1:13" ht="15" customHeight="1" x14ac:dyDescent="0.25">
      <c r="A12" s="4" t="s">
        <v>17</v>
      </c>
      <c r="B12" s="12"/>
      <c r="C12" s="23"/>
      <c r="D12" s="23"/>
      <c r="E12" s="13"/>
      <c r="F12" s="13"/>
      <c r="G12" s="13"/>
      <c r="H12" s="13"/>
      <c r="I12" s="13"/>
      <c r="J12" s="13"/>
      <c r="K12" s="13"/>
      <c r="L12" s="14"/>
      <c r="M12" s="50"/>
    </row>
    <row r="13" spans="1:13" x14ac:dyDescent="0.25">
      <c r="A13" s="5"/>
      <c r="B13" s="24" t="s">
        <v>3</v>
      </c>
      <c r="C13" s="2"/>
      <c r="D13" s="2"/>
      <c r="L13" s="25"/>
      <c r="M13" s="51"/>
    </row>
    <row r="14" spans="1:13" x14ac:dyDescent="0.25">
      <c r="A14" s="5"/>
      <c r="B14" s="17" t="s">
        <v>4</v>
      </c>
      <c r="C14" s="2"/>
      <c r="D14" s="2"/>
      <c r="L14" s="25"/>
      <c r="M14" s="51"/>
    </row>
    <row r="15" spans="1:13" x14ac:dyDescent="0.25">
      <c r="A15" s="5"/>
      <c r="B15" s="26" t="s">
        <v>5</v>
      </c>
      <c r="C15" s="7">
        <v>1528336</v>
      </c>
      <c r="D15" s="7">
        <v>1548051</v>
      </c>
      <c r="E15" s="7">
        <v>1668921</v>
      </c>
      <c r="F15" s="7">
        <v>1385061</v>
      </c>
      <c r="G15" s="7">
        <v>1464535</v>
      </c>
      <c r="H15" s="7">
        <v>1528760</v>
      </c>
      <c r="I15" s="7">
        <v>1810186</v>
      </c>
      <c r="J15" s="7">
        <v>1707546</v>
      </c>
      <c r="K15" s="7">
        <v>1375475</v>
      </c>
      <c r="L15" s="16">
        <v>1590452</v>
      </c>
      <c r="M15" s="53">
        <f>AVERAGE(C15:L15)</f>
        <v>1560732.3</v>
      </c>
    </row>
    <row r="16" spans="1:13" x14ac:dyDescent="0.25">
      <c r="A16" s="5"/>
      <c r="B16" s="26" t="s">
        <v>6</v>
      </c>
      <c r="C16" s="7">
        <v>532156</v>
      </c>
      <c r="D16" s="7">
        <v>556381</v>
      </c>
      <c r="E16" s="7">
        <v>598902</v>
      </c>
      <c r="F16" s="7">
        <v>481561</v>
      </c>
      <c r="G16" s="7">
        <v>513536</v>
      </c>
      <c r="H16" s="7">
        <v>535022</v>
      </c>
      <c r="I16" s="7">
        <v>618008</v>
      </c>
      <c r="J16" s="7">
        <v>561996</v>
      </c>
      <c r="K16" s="7">
        <v>436510</v>
      </c>
      <c r="L16" s="16">
        <v>496642</v>
      </c>
      <c r="M16" s="53">
        <f t="shared" ref="M16:M20" si="2">AVERAGE(C16:L16)</f>
        <v>533071.4</v>
      </c>
    </row>
    <row r="17" spans="1:13" x14ac:dyDescent="0.25">
      <c r="A17" s="5"/>
      <c r="B17" s="26" t="s">
        <v>7</v>
      </c>
      <c r="C17" s="7">
        <v>772420</v>
      </c>
      <c r="D17" s="7">
        <v>858119</v>
      </c>
      <c r="E17" s="7">
        <v>910637</v>
      </c>
      <c r="F17" s="7">
        <v>799262</v>
      </c>
      <c r="G17" s="7">
        <v>825863</v>
      </c>
      <c r="H17" s="7">
        <v>789269</v>
      </c>
      <c r="I17" s="7">
        <v>902154</v>
      </c>
      <c r="J17" s="7">
        <v>852827</v>
      </c>
      <c r="K17" s="7">
        <v>699484</v>
      </c>
      <c r="L17" s="16">
        <v>779335</v>
      </c>
      <c r="M17" s="53">
        <f t="shared" si="2"/>
        <v>818937</v>
      </c>
    </row>
    <row r="18" spans="1:13" x14ac:dyDescent="0.25">
      <c r="A18" s="5"/>
      <c r="B18" s="26" t="s">
        <v>8</v>
      </c>
      <c r="C18" s="7">
        <v>29409</v>
      </c>
      <c r="D18" s="7">
        <v>30459</v>
      </c>
      <c r="E18" s="7">
        <v>28980</v>
      </c>
      <c r="F18" s="7">
        <v>23922</v>
      </c>
      <c r="G18" s="7">
        <v>22035</v>
      </c>
      <c r="H18" s="7">
        <v>23537</v>
      </c>
      <c r="I18" s="7">
        <v>27340</v>
      </c>
      <c r="J18" s="7">
        <v>24003</v>
      </c>
      <c r="K18" s="7">
        <v>28241</v>
      </c>
      <c r="L18" s="16">
        <v>33453</v>
      </c>
      <c r="M18" s="53">
        <f t="shared" si="2"/>
        <v>27137.9</v>
      </c>
    </row>
    <row r="19" spans="1:13" x14ac:dyDescent="0.25">
      <c r="A19" s="5"/>
      <c r="B19" s="26" t="s">
        <v>9</v>
      </c>
      <c r="C19" s="7">
        <v>722</v>
      </c>
      <c r="D19" s="7">
        <v>660</v>
      </c>
      <c r="E19" s="7">
        <v>897</v>
      </c>
      <c r="F19" s="7">
        <v>888</v>
      </c>
      <c r="G19" s="7">
        <v>903</v>
      </c>
      <c r="H19" s="7">
        <v>940</v>
      </c>
      <c r="I19" s="7">
        <v>997</v>
      </c>
      <c r="J19" s="7">
        <v>984</v>
      </c>
      <c r="K19" s="7">
        <v>998</v>
      </c>
      <c r="L19" s="16">
        <v>1043</v>
      </c>
      <c r="M19" s="53">
        <f t="shared" si="2"/>
        <v>903.2</v>
      </c>
    </row>
    <row r="20" spans="1:13" x14ac:dyDescent="0.25">
      <c r="A20" s="5"/>
      <c r="B20" s="17" t="s">
        <v>10</v>
      </c>
      <c r="C20" s="8">
        <f t="shared" ref="C20:L20" si="3">SUM(C15:C19)</f>
        <v>2863043</v>
      </c>
      <c r="D20" s="8">
        <f t="shared" si="3"/>
        <v>2993670</v>
      </c>
      <c r="E20" s="8">
        <f t="shared" si="3"/>
        <v>3208337</v>
      </c>
      <c r="F20" s="8">
        <f t="shared" si="3"/>
        <v>2690694</v>
      </c>
      <c r="G20" s="8">
        <f t="shared" si="3"/>
        <v>2826872</v>
      </c>
      <c r="H20" s="8">
        <f t="shared" si="3"/>
        <v>2877528</v>
      </c>
      <c r="I20" s="8">
        <f t="shared" si="3"/>
        <v>3358685</v>
      </c>
      <c r="J20" s="8">
        <f t="shared" si="3"/>
        <v>3147356</v>
      </c>
      <c r="K20" s="8">
        <f t="shared" si="3"/>
        <v>2540708</v>
      </c>
      <c r="L20" s="27">
        <f t="shared" si="3"/>
        <v>2900925</v>
      </c>
      <c r="M20" s="54">
        <f t="shared" si="2"/>
        <v>2940781.8</v>
      </c>
    </row>
    <row r="21" spans="1:13" x14ac:dyDescent="0.25">
      <c r="A21" s="5"/>
      <c r="B21" s="17" t="s">
        <v>11</v>
      </c>
      <c r="C21" s="2"/>
      <c r="D21" s="2"/>
      <c r="E21" s="7"/>
      <c r="F21" s="7"/>
      <c r="G21" s="7"/>
      <c r="H21" s="7"/>
      <c r="I21" s="7"/>
      <c r="J21" s="7"/>
      <c r="K21" s="7"/>
      <c r="L21" s="16"/>
      <c r="M21" s="51"/>
    </row>
    <row r="22" spans="1:13" x14ac:dyDescent="0.25">
      <c r="A22" s="5"/>
      <c r="B22" s="26" t="s">
        <v>12</v>
      </c>
      <c r="C22" s="7">
        <v>4855537</v>
      </c>
      <c r="D22" s="7">
        <v>5054399</v>
      </c>
      <c r="E22" s="7">
        <v>4978147</v>
      </c>
      <c r="F22" s="7">
        <v>4906785.7</v>
      </c>
      <c r="G22" s="7">
        <v>5043084.5000000009</v>
      </c>
      <c r="H22" s="7">
        <v>5180834.5999999987</v>
      </c>
      <c r="I22" s="7">
        <v>4797639</v>
      </c>
      <c r="J22" s="7">
        <v>5117178</v>
      </c>
      <c r="K22" s="7">
        <v>4829380</v>
      </c>
      <c r="L22" s="16">
        <v>4769573</v>
      </c>
      <c r="M22" s="53">
        <f t="shared" ref="M22:M23" si="4">AVERAGE(C22:L22)</f>
        <v>4953255.7799999993</v>
      </c>
    </row>
    <row r="23" spans="1:13" x14ac:dyDescent="0.25">
      <c r="A23" s="5"/>
      <c r="B23" s="26" t="s">
        <v>13</v>
      </c>
      <c r="C23" s="9">
        <v>8430473</v>
      </c>
      <c r="D23" s="9">
        <v>11224103</v>
      </c>
      <c r="E23" s="9">
        <v>9839612.7098757997</v>
      </c>
      <c r="F23" s="9">
        <v>11985609.665930599</v>
      </c>
      <c r="G23" s="9">
        <v>12533961.644078501</v>
      </c>
      <c r="H23" s="9">
        <v>11867826.545345999</v>
      </c>
      <c r="I23" s="9">
        <v>11402247</v>
      </c>
      <c r="J23" s="9">
        <v>11863640</v>
      </c>
      <c r="K23" s="9">
        <v>11094761</v>
      </c>
      <c r="L23" s="28">
        <v>11881274</v>
      </c>
      <c r="M23" s="53">
        <f t="shared" si="4"/>
        <v>11212350.856523091</v>
      </c>
    </row>
    <row r="24" spans="1:13" x14ac:dyDescent="0.25">
      <c r="A24" s="5"/>
      <c r="B24" s="17" t="s">
        <v>14</v>
      </c>
      <c r="C24" s="1">
        <f t="shared" ref="C24" si="5">SUM(C22:C23)</f>
        <v>13286010</v>
      </c>
      <c r="D24" s="1">
        <f t="shared" ref="D24" si="6">SUM(D22:D23)</f>
        <v>16278502</v>
      </c>
      <c r="E24" s="7">
        <f t="shared" ref="E24" si="7">SUM(E22:E23)</f>
        <v>14817759.7098758</v>
      </c>
      <c r="F24" s="7">
        <f t="shared" ref="F24" si="8">SUM(F22:F23)</f>
        <v>16892395.365930598</v>
      </c>
      <c r="G24" s="7">
        <f t="shared" ref="G24" si="9">SUM(G22:G23)</f>
        <v>17577046.144078501</v>
      </c>
      <c r="H24" s="7">
        <f t="shared" ref="H24" si="10">SUM(H22:H23)</f>
        <v>17048661.145345997</v>
      </c>
      <c r="I24" s="7">
        <f t="shared" ref="I24:J24" si="11">SUM(I22:I23)</f>
        <v>16199886</v>
      </c>
      <c r="J24" s="7">
        <f t="shared" si="11"/>
        <v>16980818</v>
      </c>
      <c r="K24" s="7">
        <f t="shared" ref="K24" si="12">SUM(K22:K23)</f>
        <v>15924141</v>
      </c>
      <c r="L24" s="16">
        <f t="shared" ref="L24" si="13">SUM(L22:L23)</f>
        <v>16650847</v>
      </c>
      <c r="M24" s="51"/>
    </row>
    <row r="25" spans="1:13" ht="15.75" thickBot="1" x14ac:dyDescent="0.3">
      <c r="A25" s="6"/>
      <c r="B25" s="29" t="s">
        <v>15</v>
      </c>
      <c r="C25" s="10">
        <f t="shared" ref="C25" si="14">C20+C24</f>
        <v>16149053</v>
      </c>
      <c r="D25" s="10">
        <f t="shared" ref="D25" si="15">D20+D24</f>
        <v>19272172</v>
      </c>
      <c r="E25" s="11">
        <f t="shared" ref="E25" si="16">E20+E24</f>
        <v>18026096.7098758</v>
      </c>
      <c r="F25" s="11">
        <f t="shared" ref="F25" si="17">F20+F24</f>
        <v>19583089.365930598</v>
      </c>
      <c r="G25" s="11">
        <f t="shared" ref="G25" si="18">G20+G24</f>
        <v>20403918.144078501</v>
      </c>
      <c r="H25" s="11">
        <f t="shared" ref="H25" si="19">H20+H24</f>
        <v>19926189.145345997</v>
      </c>
      <c r="I25" s="11">
        <f t="shared" ref="I25:J25" si="20">I20+I24</f>
        <v>19558571</v>
      </c>
      <c r="J25" s="11">
        <f t="shared" si="20"/>
        <v>20128174</v>
      </c>
      <c r="K25" s="11">
        <f t="shared" ref="K25" si="21">K20+K24</f>
        <v>18464849</v>
      </c>
      <c r="L25" s="30">
        <f t="shared" ref="L25" si="22">L20+L24</f>
        <v>19551772</v>
      </c>
      <c r="M25" s="52"/>
    </row>
    <row r="26" spans="1:13" x14ac:dyDescent="0.25">
      <c r="A26" s="4" t="s">
        <v>24</v>
      </c>
      <c r="B26" s="37"/>
      <c r="C26" s="13"/>
      <c r="D26" s="13"/>
      <c r="E26" s="13"/>
      <c r="F26" s="13"/>
      <c r="G26" s="13"/>
      <c r="H26" s="13"/>
      <c r="I26" s="13"/>
      <c r="J26" s="13"/>
      <c r="K26" s="13"/>
      <c r="L26" s="14"/>
    </row>
    <row r="27" spans="1:13" x14ac:dyDescent="0.25">
      <c r="A27" s="5"/>
      <c r="B27" s="26" t="s">
        <v>5</v>
      </c>
      <c r="C27" s="7">
        <v>30545</v>
      </c>
      <c r="D27" s="7">
        <v>29911</v>
      </c>
      <c r="E27" s="7">
        <v>29728</v>
      </c>
      <c r="F27" s="36">
        <v>29600</v>
      </c>
      <c r="G27" s="36">
        <v>29540</v>
      </c>
      <c r="H27" s="36">
        <v>29506</v>
      </c>
      <c r="I27" s="36">
        <v>29449</v>
      </c>
      <c r="J27" s="36">
        <v>29654</v>
      </c>
      <c r="K27" s="36">
        <v>29766</v>
      </c>
      <c r="L27" s="38">
        <v>30192</v>
      </c>
      <c r="M27" s="55">
        <f t="shared" ref="M27" si="23">AVERAGE(C27:L27)</f>
        <v>29789.1</v>
      </c>
    </row>
    <row r="28" spans="1:13" x14ac:dyDescent="0.25">
      <c r="A28" s="5"/>
      <c r="B28" s="26" t="s">
        <v>19</v>
      </c>
      <c r="C28" s="7">
        <v>4184</v>
      </c>
      <c r="D28" s="7">
        <v>4955</v>
      </c>
      <c r="E28" s="7">
        <v>4926</v>
      </c>
      <c r="F28" s="36">
        <v>4920</v>
      </c>
      <c r="G28" s="36">
        <v>4907</v>
      </c>
      <c r="H28" s="36">
        <v>4900</v>
      </c>
      <c r="I28" s="36">
        <v>4846</v>
      </c>
      <c r="J28" s="36">
        <v>4885</v>
      </c>
      <c r="K28" s="36">
        <v>4883</v>
      </c>
      <c r="L28" s="38">
        <v>4939</v>
      </c>
    </row>
    <row r="29" spans="1:13" x14ac:dyDescent="0.25">
      <c r="A29" s="5"/>
      <c r="B29" s="26" t="s">
        <v>20</v>
      </c>
      <c r="C29" s="7">
        <v>889</v>
      </c>
      <c r="D29" s="7">
        <v>39</v>
      </c>
      <c r="E29" s="7">
        <v>38</v>
      </c>
      <c r="F29" s="36">
        <v>39</v>
      </c>
      <c r="G29" s="36">
        <v>39</v>
      </c>
      <c r="H29" s="36">
        <v>40</v>
      </c>
      <c r="I29" s="36">
        <v>41</v>
      </c>
      <c r="J29" s="36">
        <v>40</v>
      </c>
      <c r="K29" s="36">
        <v>40</v>
      </c>
      <c r="L29" s="38">
        <v>43</v>
      </c>
    </row>
    <row r="30" spans="1:13" ht="15.75" thickBot="1" x14ac:dyDescent="0.3">
      <c r="A30" s="6"/>
      <c r="B30" s="39" t="s">
        <v>21</v>
      </c>
      <c r="C30" s="40">
        <f t="shared" ref="C30:D30" si="24">SUM(C27:C29)</f>
        <v>35618</v>
      </c>
      <c r="D30" s="40">
        <f t="shared" si="24"/>
        <v>34905</v>
      </c>
      <c r="E30" s="40">
        <f>SUM(E27:E29)</f>
        <v>34692</v>
      </c>
      <c r="F30" s="40">
        <f>SUM(F27:F29)</f>
        <v>34559</v>
      </c>
      <c r="G30" s="40">
        <f>SUM(G27:G29)</f>
        <v>34486</v>
      </c>
      <c r="H30" s="40">
        <f>SUM(H27:H29)</f>
        <v>34446</v>
      </c>
      <c r="I30" s="40">
        <f>SUM(I27:I29)</f>
        <v>34336</v>
      </c>
      <c r="J30" s="40">
        <f>SUM(J27:J29)</f>
        <v>34579</v>
      </c>
      <c r="K30" s="40">
        <f>SUM(K27:K29)</f>
        <v>34689</v>
      </c>
      <c r="L30" s="41">
        <f>SUM(L27:L29)</f>
        <v>35174</v>
      </c>
    </row>
    <row r="31" spans="1:13" x14ac:dyDescent="0.25">
      <c r="A31" s="4" t="s">
        <v>26</v>
      </c>
      <c r="B31" s="37"/>
      <c r="C31" s="13"/>
      <c r="D31" s="13"/>
      <c r="E31" s="13"/>
      <c r="F31" s="13"/>
      <c r="G31" s="13"/>
      <c r="H31" s="13"/>
      <c r="I31" s="13"/>
      <c r="J31" s="13"/>
      <c r="K31" s="13"/>
      <c r="L31" s="14"/>
    </row>
    <row r="32" spans="1:13" x14ac:dyDescent="0.25">
      <c r="A32" s="5"/>
      <c r="B32" s="42" t="s">
        <v>5</v>
      </c>
      <c r="C32" s="35">
        <f>C15/C27</f>
        <v>50.035554100507447</v>
      </c>
      <c r="D32" s="35">
        <f>D15/D27</f>
        <v>51.755240546955967</v>
      </c>
      <c r="E32" s="35">
        <f>E15/E27</f>
        <v>56.139699946178688</v>
      </c>
      <c r="F32" s="35">
        <f>F15/F27</f>
        <v>46.792601351351351</v>
      </c>
      <c r="G32" s="35">
        <f>G15/G27</f>
        <v>49.578029790115096</v>
      </c>
      <c r="H32" s="35">
        <f>H15/H27</f>
        <v>51.811834881041143</v>
      </c>
      <c r="I32" s="35">
        <f>I15/I27</f>
        <v>61.468504872830998</v>
      </c>
      <c r="J32" s="35">
        <f>J15/J27</f>
        <v>57.582316045052941</v>
      </c>
      <c r="K32" s="35">
        <f>K15/K27</f>
        <v>46.209601558825504</v>
      </c>
      <c r="L32" s="43">
        <f>L15/L27</f>
        <v>52.677927927927925</v>
      </c>
      <c r="M32" s="57">
        <f t="shared" ref="M32" si="25">AVERAGE(C32:L32)</f>
        <v>52.405131102078698</v>
      </c>
    </row>
    <row r="33" spans="1:13" x14ac:dyDescent="0.25">
      <c r="A33" s="5"/>
      <c r="B33" s="44" t="s">
        <v>25</v>
      </c>
      <c r="C33" s="35">
        <f>(C16+C17+C18+C22)/(C28+C29)</f>
        <v>1220.0910703725606</v>
      </c>
      <c r="D33" s="35">
        <f>(D16+D17+D18+D22)/(D28+D29)</f>
        <v>1301.4333199839807</v>
      </c>
      <c r="E33" s="35">
        <f>(E16+E17+E18+E22)/(E28+E29)</f>
        <v>1312.7852538275583</v>
      </c>
      <c r="F33" s="35">
        <f>(F16+F17+F18+F22)/(F28+F29)</f>
        <v>1252.5772736438798</v>
      </c>
      <c r="G33" s="35">
        <f>(G16+G17+G18+G22)/(G28+G29)</f>
        <v>1294.888495754145</v>
      </c>
      <c r="H33" s="35">
        <f>(H16+H17+H18+H22)/(H28+H29)</f>
        <v>1321.591619433198</v>
      </c>
      <c r="I33" s="35">
        <f>(I16+I17+I18+I22)/(I28+I29)</f>
        <v>1298.3713934929403</v>
      </c>
      <c r="J33" s="35">
        <f>(J16+J17+J18+J22)/(J28+J29)</f>
        <v>1331.1683248730965</v>
      </c>
      <c r="K33" s="35">
        <f>(K16+K17+K18+K22)/(K28+K29)</f>
        <v>1217.4720698760918</v>
      </c>
      <c r="L33" s="43">
        <f>(L16+L17+L18+L22)/(L28+L29)</f>
        <v>1220.1932958651144</v>
      </c>
    </row>
    <row r="34" spans="1:13" x14ac:dyDescent="0.25">
      <c r="A34" s="5"/>
      <c r="B34" s="44"/>
      <c r="L34" s="25"/>
    </row>
    <row r="35" spans="1:13" ht="15.75" thickBot="1" x14ac:dyDescent="0.3">
      <c r="A35" s="6"/>
      <c r="B35" s="45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3" x14ac:dyDescent="0.25">
      <c r="A36" s="4" t="s">
        <v>27</v>
      </c>
      <c r="B36" s="37"/>
      <c r="C36" s="13"/>
      <c r="D36" s="13"/>
      <c r="E36" s="13"/>
      <c r="F36" s="13"/>
      <c r="G36" s="13"/>
      <c r="H36" s="13"/>
      <c r="I36" s="13"/>
      <c r="J36" s="13"/>
      <c r="K36" s="13"/>
      <c r="L36" s="14"/>
    </row>
    <row r="37" spans="1:13" x14ac:dyDescent="0.25">
      <c r="A37" s="5"/>
      <c r="B37" s="44" t="s">
        <v>5</v>
      </c>
      <c r="C37" s="34">
        <f>C15+C19</f>
        <v>1529058</v>
      </c>
      <c r="D37" s="34">
        <f>D15+D19</f>
        <v>1548711</v>
      </c>
      <c r="E37" s="34">
        <f>E15+E19</f>
        <v>1669818</v>
      </c>
      <c r="F37" s="34">
        <f>F15+F19</f>
        <v>1385949</v>
      </c>
      <c r="G37" s="34">
        <f>G15+G19</f>
        <v>1465438</v>
      </c>
      <c r="H37" s="34">
        <f>H15+H19</f>
        <v>1529700</v>
      </c>
      <c r="I37" s="34">
        <f>I15+I19</f>
        <v>1811183</v>
      </c>
      <c r="J37" s="34">
        <f>J15+J19</f>
        <v>1708530</v>
      </c>
      <c r="K37" s="34">
        <f>K15+K19</f>
        <v>1376473</v>
      </c>
      <c r="L37" s="46">
        <f>L15+L19</f>
        <v>1591495</v>
      </c>
      <c r="M37" s="34">
        <f>AVERAGE(C37:L37)</f>
        <v>1561635.5</v>
      </c>
    </row>
    <row r="38" spans="1:13" x14ac:dyDescent="0.25">
      <c r="A38" s="5"/>
      <c r="B38" s="44" t="s">
        <v>22</v>
      </c>
      <c r="C38" s="34">
        <f>C16+C17+C18+C22</f>
        <v>6189522</v>
      </c>
      <c r="D38" s="34">
        <f>D16+D17+D18+D22</f>
        <v>6499358</v>
      </c>
      <c r="E38" s="34">
        <f>E16+E17+E18+E22</f>
        <v>6516666</v>
      </c>
      <c r="F38" s="34">
        <f>F16+F17+F18+F22</f>
        <v>6211530.7000000002</v>
      </c>
      <c r="G38" s="34">
        <f>G16+G17+G18+G22</f>
        <v>6404518.5000000009</v>
      </c>
      <c r="H38" s="34">
        <f>H16+H17+H18+H22</f>
        <v>6528662.5999999987</v>
      </c>
      <c r="I38" s="34">
        <f>I16+I17+I18+I22</f>
        <v>6345141</v>
      </c>
      <c r="J38" s="34">
        <f>J16+J17+J18+J22</f>
        <v>6556004</v>
      </c>
      <c r="K38" s="34">
        <f>K16+K17+K18+K22</f>
        <v>5993615</v>
      </c>
      <c r="L38" s="46">
        <f>L16+L17+L18+L22</f>
        <v>6079003</v>
      </c>
      <c r="M38" s="34">
        <f t="shared" ref="M38:M39" si="26">AVERAGE(C38:L38)</f>
        <v>6332402.0800000001</v>
      </c>
    </row>
    <row r="39" spans="1:13" x14ac:dyDescent="0.25">
      <c r="A39" s="5"/>
      <c r="B39" s="44" t="s">
        <v>23</v>
      </c>
      <c r="C39" s="34">
        <f>C23</f>
        <v>8430473</v>
      </c>
      <c r="D39" s="34">
        <f>D23</f>
        <v>11224103</v>
      </c>
      <c r="E39" s="34">
        <f>E23</f>
        <v>9839612.7098757997</v>
      </c>
      <c r="F39" s="34">
        <f>F23</f>
        <v>11985609.665930599</v>
      </c>
      <c r="G39" s="34">
        <f>G23</f>
        <v>12533961.644078501</v>
      </c>
      <c r="H39" s="34">
        <f>H23</f>
        <v>11867826.545345999</v>
      </c>
      <c r="I39" s="34">
        <f>I23</f>
        <v>11402247</v>
      </c>
      <c r="J39" s="34">
        <f>J23</f>
        <v>11863640</v>
      </c>
      <c r="K39" s="34">
        <f>K23</f>
        <v>11094761</v>
      </c>
      <c r="L39" s="46">
        <f>L23</f>
        <v>11881274</v>
      </c>
      <c r="M39" s="34">
        <f t="shared" si="26"/>
        <v>11212350.856523091</v>
      </c>
    </row>
    <row r="40" spans="1:13" ht="15.75" thickBot="1" x14ac:dyDescent="0.3">
      <c r="A40" s="6"/>
      <c r="B40" s="45"/>
      <c r="C40" s="47">
        <f>SUM(C37:C39)</f>
        <v>16149053</v>
      </c>
      <c r="D40" s="47">
        <f t="shared" ref="D40:L40" si="27">SUM(D37:D39)</f>
        <v>19272172</v>
      </c>
      <c r="E40" s="47">
        <f t="shared" si="27"/>
        <v>18026096.7098758</v>
      </c>
      <c r="F40" s="47">
        <f t="shared" si="27"/>
        <v>19583089.365930598</v>
      </c>
      <c r="G40" s="47">
        <f t="shared" si="27"/>
        <v>20403918.144078501</v>
      </c>
      <c r="H40" s="47">
        <f t="shared" si="27"/>
        <v>19926189.145345997</v>
      </c>
      <c r="I40" s="47">
        <f t="shared" si="27"/>
        <v>19558571</v>
      </c>
      <c r="J40" s="47">
        <f t="shared" si="27"/>
        <v>20128174</v>
      </c>
      <c r="K40" s="47">
        <f t="shared" si="27"/>
        <v>18464849</v>
      </c>
      <c r="L40" s="48">
        <f t="shared" si="27"/>
        <v>19551772</v>
      </c>
    </row>
    <row r="43" spans="1:13" x14ac:dyDescent="0.25">
      <c r="A43" s="56" t="s">
        <v>30</v>
      </c>
    </row>
    <row r="44" spans="1:13" x14ac:dyDescent="0.25">
      <c r="B44" s="1" t="s">
        <v>28</v>
      </c>
      <c r="C44" s="1">
        <f>SLOPE($C$32:$L$32,$C$8:$L$8)</f>
        <v>1.2529074341538245E-2</v>
      </c>
    </row>
    <row r="45" spans="1:13" x14ac:dyDescent="0.25">
      <c r="B45" s="1" t="s">
        <v>29</v>
      </c>
      <c r="C45" s="1">
        <f>INTERCEPT($C$32:$L$32,$C$8:$L$8)</f>
        <v>-1.2982402480566861</v>
      </c>
    </row>
    <row r="47" spans="1:13" x14ac:dyDescent="0.25">
      <c r="C47" s="35">
        <f>$C$45+C8*$C$44</f>
        <v>53.32852388105006</v>
      </c>
      <c r="D47" s="35">
        <f t="shared" ref="D47:L47" si="28">$C$45+D8*$C$44</f>
        <v>49.018522307560907</v>
      </c>
      <c r="E47" s="35">
        <f t="shared" si="28"/>
        <v>54.606489463886966</v>
      </c>
      <c r="F47" s="35">
        <f t="shared" si="28"/>
        <v>45.522910566271733</v>
      </c>
      <c r="G47" s="35">
        <f t="shared" si="28"/>
        <v>49.143813050976291</v>
      </c>
      <c r="H47" s="35">
        <f t="shared" si="28"/>
        <v>52.927593502120835</v>
      </c>
      <c r="I47" s="35">
        <f t="shared" si="28"/>
        <v>60.282160140603786</v>
      </c>
      <c r="J47" s="35">
        <f t="shared" si="28"/>
        <v>56.961955440096155</v>
      </c>
      <c r="K47" s="35">
        <f t="shared" si="28"/>
        <v>48.504830259557835</v>
      </c>
      <c r="L47" s="35">
        <f t="shared" si="28"/>
        <v>53.754512408662364</v>
      </c>
    </row>
    <row r="48" spans="1:13" x14ac:dyDescent="0.25">
      <c r="C48" s="35">
        <f>C47-C32</f>
        <v>3.292969780542613</v>
      </c>
      <c r="D48" s="35">
        <f t="shared" ref="D48:L48" si="29">D47-D32</f>
        <v>-2.73671823939506</v>
      </c>
      <c r="E48" s="35">
        <f t="shared" si="29"/>
        <v>-1.5332104822917216</v>
      </c>
      <c r="F48" s="35">
        <f t="shared" si="29"/>
        <v>-1.269690785079618</v>
      </c>
      <c r="G48" s="35">
        <f t="shared" si="29"/>
        <v>-0.43421673913880454</v>
      </c>
      <c r="H48" s="35">
        <f t="shared" si="29"/>
        <v>1.1157586210796921</v>
      </c>
      <c r="I48" s="35">
        <f t="shared" si="29"/>
        <v>-1.1863447322272123</v>
      </c>
      <c r="J48" s="35">
        <f t="shared" si="29"/>
        <v>-0.62036060495678669</v>
      </c>
      <c r="K48" s="35">
        <f t="shared" si="29"/>
        <v>2.2952287007323307</v>
      </c>
      <c r="L48" s="35">
        <f t="shared" si="29"/>
        <v>1.0765844807344394</v>
      </c>
    </row>
    <row r="50" spans="2:12" x14ac:dyDescent="0.25">
      <c r="B50" s="1" t="s">
        <v>32</v>
      </c>
      <c r="C50" s="35">
        <f>$C$44*C9+$C$45</f>
        <v>54.869600025059263</v>
      </c>
      <c r="D50" s="35">
        <f t="shared" ref="D50:L50" si="30">$C$44*D9+$C$45</f>
        <v>54.819483727693111</v>
      </c>
      <c r="E50" s="35">
        <f t="shared" si="30"/>
        <v>54.70672205861927</v>
      </c>
      <c r="F50" s="35">
        <f t="shared" si="30"/>
        <v>55.283059478330031</v>
      </c>
      <c r="G50" s="35">
        <f t="shared" si="30"/>
        <v>55.470995593453104</v>
      </c>
      <c r="H50" s="35">
        <f t="shared" si="30"/>
        <v>55.64640263423464</v>
      </c>
      <c r="I50" s="35">
        <f t="shared" si="30"/>
        <v>55.533640965160792</v>
      </c>
      <c r="J50" s="35">
        <f t="shared" si="30"/>
        <v>55.32064670135464</v>
      </c>
      <c r="K50" s="35">
        <f t="shared" si="30"/>
        <v>55.796751526333097</v>
      </c>
      <c r="L50" s="35">
        <f t="shared" si="30"/>
        <v>55.859396898040785</v>
      </c>
    </row>
    <row r="51" spans="2:12" x14ac:dyDescent="0.25"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x14ac:dyDescent="0.25">
      <c r="C52" s="35">
        <f>C32+(C9-C8)*$C$44</f>
        <v>51.57663024451665</v>
      </c>
      <c r="D52" s="35">
        <f t="shared" ref="D52:L52" si="31">D32+(D9-D8)*$C$44</f>
        <v>57.556201967088171</v>
      </c>
      <c r="E52" s="35">
        <f t="shared" si="31"/>
        <v>56.239932540910992</v>
      </c>
      <c r="F52" s="35">
        <f t="shared" si="31"/>
        <v>56.552750263409642</v>
      </c>
      <c r="G52" s="35">
        <f t="shared" si="31"/>
        <v>55.905212332591908</v>
      </c>
      <c r="H52" s="35">
        <f t="shared" si="31"/>
        <v>54.530644013154941</v>
      </c>
      <c r="I52" s="35">
        <f t="shared" si="31"/>
        <v>56.719985697388005</v>
      </c>
      <c r="J52" s="35">
        <f t="shared" si="31"/>
        <v>55.941007306311434</v>
      </c>
      <c r="K52" s="35">
        <f t="shared" si="31"/>
        <v>53.501522825600759</v>
      </c>
      <c r="L52" s="35">
        <f t="shared" si="31"/>
        <v>54.782812417306353</v>
      </c>
    </row>
    <row r="53" spans="2:12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74" spans="1:15" x14ac:dyDescent="0.25">
      <c r="A74" s="56" t="s">
        <v>31</v>
      </c>
    </row>
    <row r="75" spans="1:15" x14ac:dyDescent="0.25">
      <c r="A75" s="56"/>
    </row>
    <row r="76" spans="1:15" x14ac:dyDescent="0.25">
      <c r="A76" s="56"/>
    </row>
    <row r="77" spans="1:15" x14ac:dyDescent="0.25">
      <c r="A77" s="56"/>
      <c r="B77" s="1" t="s">
        <v>33</v>
      </c>
      <c r="C77" s="34">
        <f>C28+C29</f>
        <v>5073</v>
      </c>
      <c r="D77" s="34">
        <f t="shared" ref="D77:O77" si="32">D28+D29</f>
        <v>4994</v>
      </c>
      <c r="E77" s="34">
        <f t="shared" si="32"/>
        <v>4964</v>
      </c>
      <c r="F77" s="34">
        <f t="shared" si="32"/>
        <v>4959</v>
      </c>
      <c r="G77" s="34">
        <f t="shared" si="32"/>
        <v>4946</v>
      </c>
      <c r="H77" s="34">
        <f t="shared" si="32"/>
        <v>4940</v>
      </c>
      <c r="I77" s="34">
        <f t="shared" si="32"/>
        <v>4887</v>
      </c>
      <c r="J77" s="34">
        <f t="shared" si="32"/>
        <v>4925</v>
      </c>
      <c r="K77" s="34">
        <f t="shared" si="32"/>
        <v>4923</v>
      </c>
      <c r="L77" s="34">
        <f t="shared" si="32"/>
        <v>4982</v>
      </c>
      <c r="M77" s="34"/>
      <c r="N77" s="34"/>
      <c r="O77" s="34"/>
    </row>
    <row r="78" spans="1:15" x14ac:dyDescent="0.25">
      <c r="A78" s="56"/>
    </row>
    <row r="80" spans="1:15" x14ac:dyDescent="0.25">
      <c r="B80" s="1" t="s">
        <v>28</v>
      </c>
      <c r="C80" s="1">
        <f>SLOPE(C33:L33,C8:L8)</f>
        <v>4.6261748298637814E-2</v>
      </c>
    </row>
    <row r="81" spans="2:15" x14ac:dyDescent="0.25">
      <c r="B81" s="1" t="s">
        <v>29</v>
      </c>
      <c r="C81" s="1">
        <f>INTERCEPT(C33:L33,C8:L8)</f>
        <v>1078.7654799798054</v>
      </c>
    </row>
    <row r="84" spans="2:15" x14ac:dyDescent="0.25">
      <c r="B84" s="1" t="s">
        <v>32</v>
      </c>
      <c r="C84" s="35">
        <f>$C$81+$C$80*C9</f>
        <v>1286.1568976025987</v>
      </c>
      <c r="D84" s="35">
        <f t="shared" ref="D84:O84" si="33">$C$81+$C$80*D9</f>
        <v>1285.9718506094041</v>
      </c>
      <c r="E84" s="35">
        <f t="shared" si="33"/>
        <v>1285.5554948747165</v>
      </c>
      <c r="F84" s="35">
        <f t="shared" si="33"/>
        <v>1287.6835352964538</v>
      </c>
      <c r="G84" s="35">
        <f t="shared" si="33"/>
        <v>1288.3774615209334</v>
      </c>
      <c r="H84" s="35">
        <f t="shared" si="33"/>
        <v>1289.0251259971142</v>
      </c>
      <c r="I84" s="35">
        <f t="shared" si="33"/>
        <v>1288.6087702624266</v>
      </c>
      <c r="J84" s="35">
        <f t="shared" si="33"/>
        <v>1287.8223205413497</v>
      </c>
      <c r="K84" s="35">
        <f t="shared" si="33"/>
        <v>1289.5802669766979</v>
      </c>
      <c r="L84" s="35">
        <f t="shared" si="33"/>
        <v>1289.8115757181911</v>
      </c>
      <c r="M84" s="35"/>
      <c r="N84" s="35"/>
      <c r="O84" s="35"/>
    </row>
  </sheetData>
  <mergeCells count="5">
    <mergeCell ref="A7:A11"/>
    <mergeCell ref="A12:A25"/>
    <mergeCell ref="A26:A30"/>
    <mergeCell ref="A31:A35"/>
    <mergeCell ref="A36:A4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511BBB-8A87-462A-B9D9-64CC6EA3A2C9}"/>
</file>

<file path=customXml/itemProps2.xml><?xml version="1.0" encoding="utf-8"?>
<ds:datastoreItem xmlns:ds="http://schemas.openxmlformats.org/officeDocument/2006/customXml" ds:itemID="{EAF1B6B5-AF97-46C9-8AA1-48E8FF53E93D}"/>
</file>

<file path=customXml/itemProps3.xml><?xml version="1.0" encoding="utf-8"?>
<ds:datastoreItem xmlns:ds="http://schemas.openxmlformats.org/officeDocument/2006/customXml" ds:itemID="{EF64C782-3C25-4F58-B6EC-F59C07107A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William Seelye</cp:lastModifiedBy>
  <dcterms:created xsi:type="dcterms:W3CDTF">2021-05-19T12:36:04Z</dcterms:created>
  <dcterms:modified xsi:type="dcterms:W3CDTF">2021-05-20T18:20:07Z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