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4_{077F4B6A-E806-4120-8982-B85639E7C912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Stipulation Exhibi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H17" i="1" l="1"/>
  <c r="J17" i="1" s="1"/>
  <c r="H16" i="1" l="1"/>
  <c r="J16" i="1" l="1"/>
  <c r="H15" i="1"/>
  <c r="J15" i="1" s="1"/>
  <c r="C15" i="1"/>
  <c r="H14" i="1" l="1"/>
  <c r="J14" i="1" s="1"/>
  <c r="H5" i="1" l="1"/>
  <c r="J5" i="1" s="1"/>
  <c r="F12" i="1" l="1"/>
  <c r="H12" i="1" s="1"/>
  <c r="J12" i="1" s="1"/>
  <c r="E12" i="1"/>
  <c r="F11" i="1" l="1"/>
  <c r="H11" i="1" s="1"/>
  <c r="J11" i="1" s="1"/>
  <c r="E11" i="1"/>
  <c r="F10" i="1" l="1"/>
  <c r="I10" i="1" s="1"/>
  <c r="J10" i="1" s="1"/>
  <c r="E10" i="1"/>
  <c r="F9" i="1" l="1"/>
  <c r="H9" i="1" s="1"/>
  <c r="J9" i="1" s="1"/>
  <c r="E9" i="1"/>
  <c r="F8" i="1" l="1"/>
  <c r="H8" i="1" s="1"/>
  <c r="J8" i="1" s="1"/>
  <c r="E8" i="1"/>
  <c r="F7" i="1" l="1"/>
  <c r="H7" i="1" s="1"/>
  <c r="J7" i="1" s="1"/>
  <c r="F6" i="1" l="1"/>
  <c r="H6" i="1" s="1"/>
  <c r="J6" i="1" s="1"/>
  <c r="E6" i="1"/>
  <c r="E5" i="1" l="1"/>
  <c r="F3" i="1" l="1"/>
  <c r="I3" i="1" s="1"/>
  <c r="F4" i="1"/>
  <c r="H4" i="1" s="1"/>
  <c r="H13" i="1" l="1"/>
  <c r="H18" i="1" s="1"/>
  <c r="J4" i="1"/>
  <c r="J3" i="1"/>
  <c r="I13" i="1"/>
  <c r="I18" i="1" s="1"/>
  <c r="F13" i="1"/>
  <c r="F18" i="1" s="1"/>
  <c r="E4" i="1"/>
  <c r="E13" i="1" s="1"/>
  <c r="E18" i="1" s="1"/>
  <c r="K18" i="1" l="1"/>
  <c r="F19" i="1"/>
  <c r="J13" i="1"/>
  <c r="J18" i="1" l="1"/>
  <c r="J19" i="1" s="1"/>
</calcChain>
</file>

<file path=xl/sharedStrings.xml><?xml version="1.0" encoding="utf-8"?>
<sst xmlns="http://schemas.openxmlformats.org/spreadsheetml/2006/main" count="40" uniqueCount="33">
  <si>
    <t>Post Filing Version</t>
  </si>
  <si>
    <t>Amount</t>
  </si>
  <si>
    <t>Adjustment Line Item</t>
  </si>
  <si>
    <t>Tax Impact</t>
  </si>
  <si>
    <t>Revenue Requirement Impact</t>
  </si>
  <si>
    <t>Net Reduction Addressed by AG</t>
  </si>
  <si>
    <t>Net Increase Requesed by Delta</t>
  </si>
  <si>
    <t>Net Proposed Reduction</t>
  </si>
  <si>
    <t>Check Figure</t>
  </si>
  <si>
    <t>AS FILED</t>
  </si>
  <si>
    <t>01 To Correct Operating Income Formula</t>
  </si>
  <si>
    <t>Revenue</t>
  </si>
  <si>
    <t>02 Tax Adjustments</t>
  </si>
  <si>
    <t>Taxes</t>
  </si>
  <si>
    <t>03 Non-Recurring IT</t>
  </si>
  <si>
    <t>Operating Expense</t>
  </si>
  <si>
    <t>04 Pension Actuarial Update</t>
  </si>
  <si>
    <t>05 SERP Expense</t>
  </si>
  <si>
    <t>06 Remove AP in Prepaids and CWIP</t>
  </si>
  <si>
    <t>Rate Base</t>
  </si>
  <si>
    <t>07 Affiliate Payroll</t>
  </si>
  <si>
    <t>08 Estimated Rate Case Expense Increase</t>
  </si>
  <si>
    <t>09 Lobbying and Dues</t>
  </si>
  <si>
    <t>10 Add Uncollect and PSC to GU</t>
  </si>
  <si>
    <t>Subtotal</t>
  </si>
  <si>
    <t>11 Reset cash working capital to 0</t>
  </si>
  <si>
    <t>12 Reclassify 1.76% debt from LT to ST</t>
  </si>
  <si>
    <t>Interest</t>
  </si>
  <si>
    <t>Return on Rate Base</t>
  </si>
  <si>
    <t>Total</t>
  </si>
  <si>
    <t>14 Increase GCR to current rate</t>
  </si>
  <si>
    <t>Gas Cost</t>
  </si>
  <si>
    <t>13 Reduce return on equity from 10.95% to 9.3%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</si>
</sst>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doubleAccounting"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>
      <alignment horizontal="left"/>
    </xf>
    <xf numFmtId="164" fontId="3" fillId="0" borderId="0" xfId="1" applyNumberFormat="1" applyFont="1" applyFill="1"/>
    <xf numFmtId="0" fontId="3" fillId="0" borderId="0" xfId="0" applyFont="1" applyFill="1"/>
    <xf numFmtId="43" fontId="4" fillId="0" borderId="0" xfId="1" applyFont="1" applyFill="1" applyAlignment="1">
      <alignment horizontal="center" wrapText="1"/>
    </xf>
    <xf numFmtId="1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Alignment="1">
      <alignment wrapText="1"/>
    </xf>
    <xf numFmtId="164" fontId="4" fillId="0" borderId="0" xfId="1" applyNumberFormat="1" applyFont="1" applyFill="1"/>
    <xf numFmtId="164" fontId="5" fillId="0" borderId="0" xfId="1" applyNumberFormat="1" applyFont="1" applyFill="1"/>
    <xf numFmtId="165" fontId="6" fillId="0" borderId="0" xfId="2" applyNumberFormat="1" applyFont="1" applyFill="1"/>
    <xf numFmtId="43" fontId="7" fillId="0" borderId="0" xfId="1" applyFont="1" applyFill="1" applyAlignment="1">
      <alignment horizontal="center" wrapText="1"/>
    </xf>
    <xf numFmtId="164" fontId="8" fillId="0" borderId="0" xfId="1" applyNumberFormat="1" applyFont="1" applyFill="1"/>
    <xf numFmtId="164" fontId="7" fillId="0" borderId="0" xfId="1" applyNumberFormat="1" applyFont="1" applyFill="1"/>
    <xf numFmtId="164" fontId="9" fillId="0" borderId="0" xfId="1" applyNumberFormat="1" applyFont="1" applyFill="1"/>
    <xf numFmtId="164" fontId="0" fillId="0" borderId="0" xfId="1" applyNumberFormat="1" applyFont="1" applyFill="1"/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10" fillId="0" borderId="0" xfId="3" applyNumberFormat="1" applyFont="1" applyFill="1"/>
    <xf numFmtId="164" fontId="10" fillId="0" borderId="0" xfId="1" applyNumberFormat="1" applyFont="1" applyFill="1"/>
    <xf numFmtId="43" fontId="4" fillId="0" borderId="0" xfId="1" applyFont="1" applyFill="1" applyAlignment="1">
      <alignment horizontal="left" wrapText="1"/>
    </xf>
    <xf numFmtId="164" fontId="0" fillId="0" borderId="0" xfId="1" applyNumberFormat="1" applyFont="1" applyFill="1" applyAlignment="1">
      <alignment wrapText="1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view="pageLayout" topLeftCell="D1" zoomScaleNormal="100" workbookViewId="0">
      <selection activeCell="K22" sqref="K22"/>
    </sheetView>
  </sheetViews>
  <sheetFormatPr defaultColWidth="9.140625" defaultRowHeight="12" x14ac:dyDescent="0.2"/>
  <cols>
    <col min="1" max="1" width="2.5703125" style="1" customWidth="1"/>
    <col min="2" max="2" width="37.5703125" style="2" customWidth="1"/>
    <col min="3" max="3" width="11.28515625" style="2" bestFit="1" customWidth="1"/>
    <col min="4" max="4" width="18.28515625" style="2" bestFit="1" customWidth="1"/>
    <col min="5" max="5" width="9.7109375" style="2" bestFit="1" customWidth="1"/>
    <col min="6" max="6" width="11.140625" style="2" bestFit="1" customWidth="1"/>
    <col min="7" max="7" width="1.85546875" style="2" customWidth="1"/>
    <col min="8" max="8" width="11.28515625" style="2" bestFit="1" customWidth="1"/>
    <col min="9" max="9" width="8.85546875" style="2" bestFit="1" customWidth="1"/>
    <col min="10" max="10" width="11.28515625" style="2" bestFit="1" customWidth="1"/>
    <col min="11" max="11" width="9.5703125" style="2" bestFit="1" customWidth="1"/>
    <col min="12" max="13" width="9.140625" style="2"/>
    <col min="14" max="14" width="9.5703125" style="2" bestFit="1" customWidth="1"/>
    <col min="15" max="21" width="9.140625" style="2"/>
    <col min="22" max="16384" width="9.140625" style="3"/>
  </cols>
  <sheetData>
    <row r="1" spans="1:11" s="4" customFormat="1" ht="57" x14ac:dyDescent="0.35">
      <c r="A1" s="19" t="s">
        <v>0</v>
      </c>
      <c r="B1" s="19"/>
      <c r="C1" s="4" t="s">
        <v>1</v>
      </c>
      <c r="D1" s="4" t="s">
        <v>2</v>
      </c>
      <c r="E1" s="4" t="s">
        <v>3</v>
      </c>
      <c r="F1" s="4" t="s">
        <v>4</v>
      </c>
      <c r="H1" s="10" t="s">
        <v>5</v>
      </c>
      <c r="I1" s="4" t="s">
        <v>6</v>
      </c>
      <c r="J1" s="4" t="s">
        <v>7</v>
      </c>
      <c r="K1" s="4" t="s">
        <v>8</v>
      </c>
    </row>
    <row r="2" spans="1:11" x14ac:dyDescent="0.2">
      <c r="A2" s="5" t="s">
        <v>9</v>
      </c>
      <c r="E2" s="17">
        <v>2512596</v>
      </c>
      <c r="F2" s="17">
        <v>9135170</v>
      </c>
      <c r="G2" s="18"/>
      <c r="H2" s="11"/>
    </row>
    <row r="3" spans="1:11" x14ac:dyDescent="0.2">
      <c r="B3" s="6" t="s">
        <v>10</v>
      </c>
      <c r="C3" s="2">
        <v>148331</v>
      </c>
      <c r="D3" s="2" t="s">
        <v>11</v>
      </c>
      <c r="E3" s="2">
        <v>49312</v>
      </c>
      <c r="F3" s="2">
        <f>9332814-9135170</f>
        <v>197644</v>
      </c>
      <c r="H3" s="11"/>
      <c r="I3" s="2">
        <f>+F3</f>
        <v>197644</v>
      </c>
      <c r="J3" s="2">
        <f>+I3+H3</f>
        <v>197644</v>
      </c>
    </row>
    <row r="4" spans="1:11" x14ac:dyDescent="0.2">
      <c r="B4" s="2" t="s">
        <v>12</v>
      </c>
      <c r="C4" s="2">
        <v>-1034152</v>
      </c>
      <c r="D4" s="2" t="s">
        <v>13</v>
      </c>
      <c r="E4" s="2">
        <f>1527756-2561908</f>
        <v>-1034152</v>
      </c>
      <c r="F4" s="2">
        <f>8305246-9332814</f>
        <v>-1027568</v>
      </c>
      <c r="H4" s="11">
        <f t="shared" ref="H4:H9" si="0">+F4</f>
        <v>-1027568</v>
      </c>
      <c r="J4" s="2">
        <f t="shared" ref="J4:J16" si="1">+I4+H4</f>
        <v>-1027568</v>
      </c>
    </row>
    <row r="5" spans="1:11" x14ac:dyDescent="0.2">
      <c r="A5" s="5"/>
      <c r="B5" s="2" t="s">
        <v>14</v>
      </c>
      <c r="C5" s="2">
        <v>-275508</v>
      </c>
      <c r="D5" s="2" t="s">
        <v>15</v>
      </c>
      <c r="E5" s="2">
        <f>1526676-1527756</f>
        <v>-1080</v>
      </c>
      <c r="F5" s="2">
        <v>-279837</v>
      </c>
      <c r="H5" s="11">
        <f t="shared" si="0"/>
        <v>-279837</v>
      </c>
      <c r="J5" s="2">
        <f t="shared" si="1"/>
        <v>-279837</v>
      </c>
    </row>
    <row r="6" spans="1:11" x14ac:dyDescent="0.2">
      <c r="A6" s="5"/>
      <c r="B6" s="2" t="s">
        <v>16</v>
      </c>
      <c r="C6" s="2">
        <v>-377671</v>
      </c>
      <c r="D6" s="2" t="s">
        <v>15</v>
      </c>
      <c r="E6" s="2">
        <f>1525196-1526676</f>
        <v>-1480</v>
      </c>
      <c r="F6" s="2">
        <f>7641805-8025409</f>
        <v>-383604</v>
      </c>
      <c r="H6" s="11">
        <f t="shared" si="0"/>
        <v>-383604</v>
      </c>
      <c r="J6" s="2">
        <f t="shared" si="1"/>
        <v>-383604</v>
      </c>
    </row>
    <row r="7" spans="1:11" x14ac:dyDescent="0.2">
      <c r="A7" s="5"/>
      <c r="B7" s="2" t="s">
        <v>17</v>
      </c>
      <c r="C7" s="2">
        <v>-237779</v>
      </c>
      <c r="D7" s="2" t="s">
        <v>15</v>
      </c>
      <c r="E7" s="2">
        <v>-932</v>
      </c>
      <c r="F7" s="2">
        <f>7400291-7641805</f>
        <v>-241514</v>
      </c>
      <c r="H7" s="11">
        <f t="shared" si="0"/>
        <v>-241514</v>
      </c>
      <c r="J7" s="2">
        <f t="shared" si="1"/>
        <v>-241514</v>
      </c>
    </row>
    <row r="8" spans="1:11" x14ac:dyDescent="0.2">
      <c r="A8" s="5"/>
      <c r="B8" s="2" t="s">
        <v>18</v>
      </c>
      <c r="C8" s="2">
        <v>-131383</v>
      </c>
      <c r="D8" s="2" t="s">
        <v>19</v>
      </c>
      <c r="E8" s="2">
        <f>1520883-1524264</f>
        <v>-3381</v>
      </c>
      <c r="F8" s="2">
        <f>7386739-7400291</f>
        <v>-13552</v>
      </c>
      <c r="H8" s="11">
        <f t="shared" si="0"/>
        <v>-13552</v>
      </c>
      <c r="J8" s="2">
        <f t="shared" si="1"/>
        <v>-13552</v>
      </c>
    </row>
    <row r="9" spans="1:11" x14ac:dyDescent="0.2">
      <c r="A9" s="5"/>
      <c r="B9" s="2" t="s">
        <v>20</v>
      </c>
      <c r="C9" s="2">
        <v>-59370</v>
      </c>
      <c r="D9" s="2" t="s">
        <v>15</v>
      </c>
      <c r="E9" s="2">
        <f>1520650-1520883</f>
        <v>-233</v>
      </c>
      <c r="F9" s="2">
        <f>7326437-7386739</f>
        <v>-60302</v>
      </c>
      <c r="H9" s="11">
        <f t="shared" si="0"/>
        <v>-60302</v>
      </c>
      <c r="J9" s="2">
        <f t="shared" si="1"/>
        <v>-60302</v>
      </c>
    </row>
    <row r="10" spans="1:11" x14ac:dyDescent="0.2">
      <c r="A10" s="5"/>
      <c r="B10" s="2" t="s">
        <v>21</v>
      </c>
      <c r="C10" s="2">
        <v>90000</v>
      </c>
      <c r="D10" s="2" t="s">
        <v>15</v>
      </c>
      <c r="E10" s="2">
        <f>1521003-1520650</f>
        <v>353</v>
      </c>
      <c r="F10" s="2">
        <f>7417850-7326437</f>
        <v>91413</v>
      </c>
      <c r="H10" s="11"/>
      <c r="I10" s="2">
        <f>+F10</f>
        <v>91413</v>
      </c>
      <c r="J10" s="2">
        <f t="shared" si="1"/>
        <v>91413</v>
      </c>
    </row>
    <row r="11" spans="1:11" x14ac:dyDescent="0.2">
      <c r="A11" s="5"/>
      <c r="B11" s="2" t="s">
        <v>22</v>
      </c>
      <c r="C11" s="2">
        <v>-2191</v>
      </c>
      <c r="D11" s="2" t="s">
        <v>15</v>
      </c>
      <c r="E11" s="2">
        <f>1520994-1521003</f>
        <v>-9</v>
      </c>
      <c r="F11" s="2">
        <f>7415625-7417850</f>
        <v>-2225</v>
      </c>
      <c r="H11" s="11">
        <f>+F11</f>
        <v>-2225</v>
      </c>
      <c r="J11" s="2">
        <f t="shared" si="1"/>
        <v>-2225</v>
      </c>
    </row>
    <row r="12" spans="1:11" ht="14.25" x14ac:dyDescent="0.35">
      <c r="A12" s="5"/>
      <c r="B12" s="2" t="s">
        <v>23</v>
      </c>
      <c r="C12" s="2">
        <v>8446</v>
      </c>
      <c r="D12" s="2" t="s">
        <v>13</v>
      </c>
      <c r="E12" s="7">
        <f>1529440-1520994</f>
        <v>8446</v>
      </c>
      <c r="F12" s="7">
        <f>7424071-7415625</f>
        <v>8446</v>
      </c>
      <c r="G12" s="7"/>
      <c r="H12" s="12">
        <f>+F12</f>
        <v>8446</v>
      </c>
      <c r="I12" s="7">
        <v>0</v>
      </c>
      <c r="J12" s="7">
        <f t="shared" si="1"/>
        <v>8446</v>
      </c>
    </row>
    <row r="13" spans="1:11" x14ac:dyDescent="0.2">
      <c r="A13" s="5" t="s">
        <v>24</v>
      </c>
      <c r="E13" s="2">
        <f t="shared" ref="E13:I13" si="2">SUM(E2:E12)</f>
        <v>1529440</v>
      </c>
      <c r="F13" s="2">
        <f t="shared" si="2"/>
        <v>7424071</v>
      </c>
      <c r="H13" s="11">
        <f t="shared" si="2"/>
        <v>-2000156</v>
      </c>
      <c r="I13" s="2">
        <f t="shared" si="2"/>
        <v>289057</v>
      </c>
      <c r="J13" s="2">
        <f t="shared" si="1"/>
        <v>-1711099</v>
      </c>
    </row>
    <row r="14" spans="1:11" x14ac:dyDescent="0.2">
      <c r="A14" s="5"/>
      <c r="B14" s="2" t="s">
        <v>25</v>
      </c>
      <c r="C14" s="2">
        <v>-1893053</v>
      </c>
      <c r="D14" s="2" t="s">
        <v>19</v>
      </c>
      <c r="E14" s="2">
        <v>-48980</v>
      </c>
      <c r="F14" s="2">
        <v>-195498</v>
      </c>
      <c r="H14" s="11">
        <f>+F14</f>
        <v>-195498</v>
      </c>
      <c r="J14" s="2">
        <f t="shared" si="1"/>
        <v>-195498</v>
      </c>
    </row>
    <row r="15" spans="1:11" x14ac:dyDescent="0.2">
      <c r="A15" s="5"/>
      <c r="B15" s="2" t="s">
        <v>26</v>
      </c>
      <c r="C15" s="2">
        <f>2702501-2753731</f>
        <v>-51230</v>
      </c>
      <c r="D15" s="2" t="s">
        <v>27</v>
      </c>
      <c r="E15" s="2">
        <v>508</v>
      </c>
      <c r="F15" s="2">
        <v>-49201</v>
      </c>
      <c r="H15" s="11">
        <f>+F15</f>
        <v>-49201</v>
      </c>
      <c r="J15" s="2">
        <f t="shared" si="1"/>
        <v>-49201</v>
      </c>
    </row>
    <row r="16" spans="1:11" x14ac:dyDescent="0.2">
      <c r="A16" s="5"/>
      <c r="B16" s="2" t="s">
        <v>32</v>
      </c>
      <c r="C16" s="2">
        <v>-1149378</v>
      </c>
      <c r="D16" s="2" t="s">
        <v>28</v>
      </c>
      <c r="E16" s="2">
        <v>-384226</v>
      </c>
      <c r="F16" s="2">
        <f>-464729-1068876</f>
        <v>-1533605</v>
      </c>
      <c r="H16" s="11">
        <f>+F16</f>
        <v>-1533605</v>
      </c>
      <c r="J16" s="2">
        <f t="shared" si="1"/>
        <v>-1533605</v>
      </c>
    </row>
    <row r="17" spans="1:11" ht="14.25" x14ac:dyDescent="0.35">
      <c r="A17" s="5"/>
      <c r="B17" s="2" t="s">
        <v>30</v>
      </c>
      <c r="C17" s="2">
        <v>1514037</v>
      </c>
      <c r="D17" s="2" t="s">
        <v>31</v>
      </c>
      <c r="E17" s="7">
        <v>0</v>
      </c>
      <c r="F17" s="7">
        <v>0</v>
      </c>
      <c r="G17" s="7"/>
      <c r="H17" s="12">
        <f>+F17</f>
        <v>0</v>
      </c>
      <c r="I17" s="7"/>
      <c r="J17" s="7">
        <f t="shared" ref="J17" si="3">+I17+H17</f>
        <v>0</v>
      </c>
    </row>
    <row r="18" spans="1:11" ht="14.25" x14ac:dyDescent="0.35">
      <c r="A18" s="5" t="s">
        <v>29</v>
      </c>
      <c r="E18" s="8">
        <f>SUM(E13:E17)</f>
        <v>1096742</v>
      </c>
      <c r="F18" s="8">
        <f>SUM(F13:F17)</f>
        <v>5645767</v>
      </c>
      <c r="G18" s="8"/>
      <c r="H18" s="13">
        <f>SUM(H13:H17)</f>
        <v>-3778460</v>
      </c>
      <c r="I18" s="8">
        <f>SUM(I13:I17)</f>
        <v>289057</v>
      </c>
      <c r="J18" s="8">
        <f>SUM(J13:J17)</f>
        <v>-3489403</v>
      </c>
      <c r="K18" s="8">
        <f>+F18-F2</f>
        <v>-3489403</v>
      </c>
    </row>
    <row r="19" spans="1:11" x14ac:dyDescent="0.2">
      <c r="A19" s="5"/>
      <c r="F19" s="9">
        <f>+F18/F2</f>
        <v>0.61802538978475496</v>
      </c>
      <c r="J19" s="9">
        <f>-J18/F2</f>
        <v>0.38197461021524504</v>
      </c>
    </row>
    <row r="20" spans="1:11" ht="15" x14ac:dyDescent="0.25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x14ac:dyDescent="0.25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 x14ac:dyDescent="0.25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 x14ac:dyDescent="0.25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 x14ac:dyDescent="0.25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" x14ac:dyDescent="0.25">
      <c r="A25" s="16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30.75" customHeight="1" x14ac:dyDescent="0.25">
      <c r="A26" s="16"/>
      <c r="B26" s="20"/>
      <c r="C26" s="20"/>
      <c r="D26" s="20"/>
      <c r="E26" s="20"/>
      <c r="F26" s="20"/>
      <c r="G26" s="20"/>
      <c r="H26" s="20"/>
      <c r="I26" s="20"/>
      <c r="J26" s="20"/>
      <c r="K26" s="14"/>
    </row>
    <row r="27" spans="1:11" ht="15" x14ac:dyDescent="0.25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 x14ac:dyDescent="0.25">
      <c r="A29" s="16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 x14ac:dyDescent="0.25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mergeCells count="2">
    <mergeCell ref="A1:B1"/>
    <mergeCell ref="B26:J26"/>
  </mergeCells>
  <pageMargins left="0.7" right="0.7" top="0.75" bottom="0.75" header="0.3" footer="0.3"/>
  <pageSetup scale="92" fitToHeight="0" orientation="landscape" r:id="rId1"/>
  <headerFooter>
    <oddHeader>&amp;CDelta 2021 Rate Case
Stipulated Revenue Requirement and Adjustments&amp;RStipulation Exhibit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Stipulation Exhibit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2012-08-24T00:51:46Z</dcterms:created>
  <dcterms:modified xsi:type="dcterms:W3CDTF">2021-11-09T13:36:32Z</dcterms:modified>
  <cp:category/>
  <cp:contentStatus/>
</cp:coreProperties>
</file>