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66925"/>
  <xr:revisionPtr revIDLastSave="0" documentId="14_{01E1FA36-4F7D-4E60-92C8-BAF272550706}" xr6:coauthVersionLast="36" xr6:coauthVersionMax="36" xr10:uidLastSave="{00000000-0000-0000-0000-000000000000}"/>
  <bookViews>
    <workbookView xWindow="0" yWindow="0" windowWidth="19200" windowHeight="10785" firstSheet="1" activeTab="4" xr2:uid="{00000000-000D-0000-FFFF-FFFF00000000}"/>
  </bookViews>
  <sheets>
    <sheet name="Combined" sheetId="1" r:id="rId1"/>
    <sheet name="Delta" sheetId="2" r:id="rId2"/>
    <sheet name="Peoples KY" sheetId="3" r:id="rId3"/>
    <sheet name="SUPPORT-Delta Calculations" sheetId="5" r:id="rId4"/>
    <sheet name="SUPPORT-Peoples Calcs" sheetId="6" r:id="rId5"/>
  </sheets>
  <definedNames>
    <definedName name="_xlnm.Print_Area" localSheetId="0">Combined!$A$1:$F$64</definedName>
    <definedName name="_xlnm.Print_Area" localSheetId="1">Delta!$A$1:$M$77</definedName>
    <definedName name="_xlnm.Print_Area" localSheetId="2">'Peoples KY'!$A$1:$M$58</definedName>
    <definedName name="_xlnm.Print_Titles" localSheetId="1">Delta!$1:$8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F19" i="1" l="1"/>
  <c r="F12" i="1"/>
  <c r="J103" i="5" l="1"/>
  <c r="J70" i="5"/>
  <c r="J93" i="5" l="1"/>
  <c r="J102" i="5" s="1"/>
  <c r="J104" i="5" s="1"/>
  <c r="F54" i="1"/>
  <c r="F52" i="1"/>
  <c r="F51" i="1"/>
  <c r="F50" i="1"/>
  <c r="F49" i="1"/>
  <c r="F48" i="1"/>
  <c r="F46" i="1"/>
  <c r="F45" i="1"/>
  <c r="F44" i="1"/>
  <c r="J82" i="5" l="1"/>
  <c r="J85" i="5" s="1"/>
  <c r="J78" i="5" s="1"/>
  <c r="F25" i="1" l="1"/>
  <c r="F24" i="1"/>
  <c r="J77" i="5" l="1"/>
  <c r="F26" i="1"/>
  <c r="J117" i="5"/>
  <c r="J71" i="5"/>
  <c r="J72" i="5" s="1"/>
  <c r="F61" i="1" s="1"/>
  <c r="F35" i="1"/>
  <c r="F31" i="1"/>
  <c r="J76" i="5" l="1"/>
  <c r="J79" i="5" s="1"/>
  <c r="J87" i="5" s="1"/>
  <c r="F38" i="1" s="1"/>
  <c r="J91" i="5"/>
  <c r="A9" i="1"/>
  <c r="A10" i="1" s="1"/>
  <c r="A11" i="1" s="1"/>
  <c r="A12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8" i="1" s="1"/>
  <c r="A29" i="1" s="1"/>
  <c r="A31" i="1" s="1"/>
  <c r="A34" i="1" s="1"/>
  <c r="A35" i="1" s="1"/>
  <c r="A37" i="1" s="1"/>
  <c r="A38" i="1" s="1"/>
  <c r="A40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A56" i="1" s="1"/>
  <c r="A57" i="1" s="1"/>
  <c r="A58" i="1" s="1"/>
  <c r="A59" i="1" s="1"/>
  <c r="A61" i="1" s="1"/>
  <c r="J100" i="5" l="1"/>
  <c r="G70" i="5"/>
  <c r="J115" i="5" l="1"/>
  <c r="E54" i="1"/>
  <c r="E52" i="1"/>
  <c r="E51" i="1"/>
  <c r="E50" i="1"/>
  <c r="E49" i="1"/>
  <c r="E48" i="1"/>
  <c r="E46" i="1"/>
  <c r="E45" i="1"/>
  <c r="E44" i="1"/>
  <c r="G94" i="5"/>
  <c r="G82" i="5"/>
  <c r="G85" i="5" s="1"/>
  <c r="G78" i="5" s="1"/>
  <c r="G77" i="5"/>
  <c r="G76" i="5"/>
  <c r="E11" i="1"/>
  <c r="E10" i="1"/>
  <c r="E23" i="1"/>
  <c r="E29" i="1"/>
  <c r="E28" i="1"/>
  <c r="E25" i="1"/>
  <c r="E24" i="1"/>
  <c r="E22" i="1"/>
  <c r="E18" i="1"/>
  <c r="G93" i="5" s="1"/>
  <c r="E17" i="1"/>
  <c r="G103" i="5" s="1"/>
  <c r="F107" i="5" s="1"/>
  <c r="H103" i="5"/>
  <c r="F103" i="5"/>
  <c r="E26" i="1" l="1"/>
  <c r="E31" i="1" s="1"/>
  <c r="G91" i="5" s="1"/>
  <c r="G100" i="5" s="1"/>
  <c r="G115" i="5" s="1"/>
  <c r="E35" i="1"/>
  <c r="G71" i="5"/>
  <c r="G72" i="5" s="1"/>
  <c r="E61" i="1" s="1"/>
  <c r="E12" i="1"/>
  <c r="G117" i="5" s="1"/>
  <c r="G102" i="5"/>
  <c r="G95" i="5"/>
  <c r="E19" i="1"/>
  <c r="F94" i="5"/>
  <c r="G79" i="5"/>
  <c r="G87" i="5" s="1"/>
  <c r="E38" i="1" s="1"/>
  <c r="G97" i="5" l="1"/>
  <c r="E57" i="1" s="1"/>
  <c r="F106" i="5"/>
  <c r="G104" i="5"/>
  <c r="H94" i="5"/>
  <c r="J94" i="5" s="1"/>
  <c r="J95" i="5" s="1"/>
  <c r="J97" i="5" s="1"/>
  <c r="F57" i="1" s="1"/>
  <c r="H93" i="5"/>
  <c r="H102" i="5" s="1"/>
  <c r="F93" i="5"/>
  <c r="F102" i="5" s="1"/>
  <c r="F104" i="5" s="1"/>
  <c r="F108" i="5" l="1"/>
  <c r="H104" i="5"/>
  <c r="F95" i="5"/>
  <c r="H95" i="5"/>
  <c r="F110" i="5"/>
  <c r="D54" i="1" l="1"/>
  <c r="D52" i="1"/>
  <c r="D51" i="1"/>
  <c r="D50" i="1"/>
  <c r="D49" i="1"/>
  <c r="D48" i="1"/>
  <c r="D46" i="1"/>
  <c r="D45" i="1"/>
  <c r="D44" i="1"/>
  <c r="L26" i="6"/>
  <c r="L19" i="6" s="1"/>
  <c r="K23" i="6"/>
  <c r="K26" i="6" s="1"/>
  <c r="K19" i="6" s="1"/>
  <c r="J23" i="6"/>
  <c r="J26" i="6" s="1"/>
  <c r="J19" i="6" s="1"/>
  <c r="I23" i="6"/>
  <c r="I26" i="6" s="1"/>
  <c r="I19" i="6" s="1"/>
  <c r="H23" i="6"/>
  <c r="H26" i="6" s="1"/>
  <c r="H19" i="6" s="1"/>
  <c r="G23" i="6"/>
  <c r="G26" i="6" s="1"/>
  <c r="G19" i="6" s="1"/>
  <c r="F23" i="6"/>
  <c r="F26" i="6" s="1"/>
  <c r="F19" i="6" s="1"/>
  <c r="E23" i="6"/>
  <c r="E26" i="6" s="1"/>
  <c r="E19" i="6" s="1"/>
  <c r="H82" i="5"/>
  <c r="H85" i="5" s="1"/>
  <c r="H78" i="5" s="1"/>
  <c r="F82" i="5"/>
  <c r="F85" i="5" s="1"/>
  <c r="F78" i="5" s="1"/>
  <c r="H77" i="5"/>
  <c r="F77" i="5"/>
  <c r="L59" i="6"/>
  <c r="L58" i="6"/>
  <c r="L60" i="6" s="1"/>
  <c r="K58" i="6"/>
  <c r="J59" i="6" s="1"/>
  <c r="J58" i="6"/>
  <c r="I58" i="6"/>
  <c r="H59" i="6" s="1"/>
  <c r="H58" i="6"/>
  <c r="G58" i="6"/>
  <c r="F59" i="6" s="1"/>
  <c r="F58" i="6"/>
  <c r="E58" i="6"/>
  <c r="L56" i="6"/>
  <c r="L62" i="6" s="1"/>
  <c r="K54" i="3" s="1"/>
  <c r="K56" i="6"/>
  <c r="J56" i="6"/>
  <c r="I56" i="6"/>
  <c r="H56" i="6"/>
  <c r="G56" i="6"/>
  <c r="F56" i="6"/>
  <c r="E56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E48" i="6"/>
  <c r="E47" i="6"/>
  <c r="L44" i="6"/>
  <c r="K44" i="6"/>
  <c r="J44" i="6"/>
  <c r="I44" i="6"/>
  <c r="H44" i="6"/>
  <c r="G44" i="6"/>
  <c r="F44" i="6"/>
  <c r="E44" i="6"/>
  <c r="L43" i="6"/>
  <c r="L45" i="6" s="1"/>
  <c r="K43" i="6"/>
  <c r="K45" i="6" s="1"/>
  <c r="J43" i="6"/>
  <c r="J45" i="6" s="1"/>
  <c r="I43" i="6"/>
  <c r="I45" i="6" s="1"/>
  <c r="H43" i="6"/>
  <c r="H45" i="6" s="1"/>
  <c r="G43" i="6"/>
  <c r="G45" i="6" s="1"/>
  <c r="F43" i="6"/>
  <c r="F45" i="6" s="1"/>
  <c r="E43" i="6"/>
  <c r="E45" i="6" s="1"/>
  <c r="L41" i="6"/>
  <c r="K41" i="6"/>
  <c r="J41" i="6"/>
  <c r="I41" i="6"/>
  <c r="H41" i="6"/>
  <c r="G41" i="6"/>
  <c r="F41" i="6"/>
  <c r="E41" i="6"/>
  <c r="K35" i="6"/>
  <c r="J35" i="6"/>
  <c r="I35" i="6"/>
  <c r="H35" i="6"/>
  <c r="G35" i="6"/>
  <c r="F35" i="6"/>
  <c r="E35" i="6"/>
  <c r="L34" i="6"/>
  <c r="L36" i="6" s="1"/>
  <c r="K34" i="6"/>
  <c r="K36" i="6" s="1"/>
  <c r="J34" i="6"/>
  <c r="J36" i="6" s="1"/>
  <c r="I34" i="6"/>
  <c r="I36" i="6" s="1"/>
  <c r="H34" i="6"/>
  <c r="H36" i="6" s="1"/>
  <c r="G34" i="6"/>
  <c r="G36" i="6" s="1"/>
  <c r="F34" i="6"/>
  <c r="F36" i="6" s="1"/>
  <c r="E34" i="6"/>
  <c r="E36" i="6" s="1"/>
  <c r="L31" i="6"/>
  <c r="K31" i="6"/>
  <c r="J31" i="6"/>
  <c r="I31" i="6"/>
  <c r="H31" i="6"/>
  <c r="G31" i="6"/>
  <c r="G38" i="6" s="1"/>
  <c r="F31" i="6"/>
  <c r="E31" i="6"/>
  <c r="L17" i="6"/>
  <c r="K17" i="6"/>
  <c r="J17" i="6"/>
  <c r="I17" i="6"/>
  <c r="H17" i="6"/>
  <c r="G17" i="6"/>
  <c r="F17" i="6"/>
  <c r="E17" i="6"/>
  <c r="L38" i="6" l="1"/>
  <c r="K38" i="6"/>
  <c r="H60" i="6"/>
  <c r="H62" i="6" s="1"/>
  <c r="G54" i="3" s="1"/>
  <c r="F38" i="6"/>
  <c r="J38" i="6"/>
  <c r="L49" i="6"/>
  <c r="L51" i="6" s="1"/>
  <c r="L53" i="6" s="1"/>
  <c r="H38" i="6"/>
  <c r="H20" i="6"/>
  <c r="H28" i="6" s="1"/>
  <c r="G45" i="3" s="1"/>
  <c r="L20" i="6"/>
  <c r="L28" i="6" s="1"/>
  <c r="E38" i="6"/>
  <c r="I38" i="6"/>
  <c r="G49" i="6"/>
  <c r="G51" i="6" s="1"/>
  <c r="G53" i="6" s="1"/>
  <c r="K49" i="6"/>
  <c r="K51" i="6" s="1"/>
  <c r="K53" i="6" s="1"/>
  <c r="F60" i="6"/>
  <c r="F62" i="6" s="1"/>
  <c r="E54" i="3" s="1"/>
  <c r="I20" i="6"/>
  <c r="I28" i="6" s="1"/>
  <c r="H45" i="3" s="1"/>
  <c r="F20" i="6"/>
  <c r="F28" i="6" s="1"/>
  <c r="E45" i="3" s="1"/>
  <c r="J20" i="6"/>
  <c r="J28" i="6" s="1"/>
  <c r="I45" i="3" s="1"/>
  <c r="G20" i="6"/>
  <c r="G28" i="6" s="1"/>
  <c r="F45" i="3" s="1"/>
  <c r="K20" i="6"/>
  <c r="K28" i="6" s="1"/>
  <c r="J45" i="3" s="1"/>
  <c r="E20" i="6"/>
  <c r="E28" i="6" s="1"/>
  <c r="D45" i="3" s="1"/>
  <c r="J60" i="6"/>
  <c r="J62" i="6" s="1"/>
  <c r="I54" i="3" s="1"/>
  <c r="F49" i="6"/>
  <c r="F51" i="6" s="1"/>
  <c r="F53" i="6" s="1"/>
  <c r="J49" i="6"/>
  <c r="J51" i="6" s="1"/>
  <c r="J53" i="6" s="1"/>
  <c r="I59" i="6"/>
  <c r="I60" i="6" s="1"/>
  <c r="I62" i="6" s="1"/>
  <c r="H54" i="3" s="1"/>
  <c r="E49" i="6"/>
  <c r="E51" i="6" s="1"/>
  <c r="E53" i="6" s="1"/>
  <c r="H49" i="6"/>
  <c r="H51" i="6" s="1"/>
  <c r="H53" i="6" s="1"/>
  <c r="E59" i="6"/>
  <c r="E60" i="6" s="1"/>
  <c r="E62" i="6" s="1"/>
  <c r="D54" i="3" s="1"/>
  <c r="I49" i="6"/>
  <c r="I51" i="6" s="1"/>
  <c r="I53" i="6" s="1"/>
  <c r="G59" i="6"/>
  <c r="G60" i="6" s="1"/>
  <c r="G62" i="6" s="1"/>
  <c r="F54" i="3" s="1"/>
  <c r="K59" i="6"/>
  <c r="K60" i="6" s="1"/>
  <c r="K62" i="6" s="1"/>
  <c r="J54" i="3" s="1"/>
  <c r="H70" i="5"/>
  <c r="F70" i="5"/>
  <c r="H71" i="5"/>
  <c r="F71" i="5"/>
  <c r="D35" i="1"/>
  <c r="F72" i="5" l="1"/>
  <c r="D61" i="1" s="1"/>
  <c r="H72" i="5"/>
  <c r="H117" i="5"/>
  <c r="F118" i="5" l="1"/>
  <c r="D26" i="1"/>
  <c r="D31" i="1" l="1"/>
  <c r="H76" i="5" l="1"/>
  <c r="H79" i="5" s="1"/>
  <c r="H87" i="5" s="1"/>
  <c r="H91" i="5"/>
  <c r="F76" i="5"/>
  <c r="F79" i="5" s="1"/>
  <c r="F87" i="5" s="1"/>
  <c r="D38" i="1" s="1"/>
  <c r="F91" i="5"/>
  <c r="D12" i="1"/>
  <c r="F117" i="5" s="1"/>
  <c r="F119" i="5" s="1"/>
  <c r="H100" i="5" l="1"/>
  <c r="H97" i="5"/>
  <c r="F100" i="5"/>
  <c r="F97" i="5"/>
  <c r="D57" i="1" s="1"/>
  <c r="L10" i="6"/>
  <c r="L11" i="6" s="1"/>
  <c r="K56" i="3" s="1"/>
  <c r="K10" i="6"/>
  <c r="K11" i="6" s="1"/>
  <c r="J56" i="3" s="1"/>
  <c r="J10" i="6"/>
  <c r="J11" i="6" s="1"/>
  <c r="I56" i="3" s="1"/>
  <c r="I10" i="6"/>
  <c r="I11" i="6" s="1"/>
  <c r="H56" i="3" s="1"/>
  <c r="H10" i="6"/>
  <c r="H11" i="6" s="1"/>
  <c r="G56" i="3" s="1"/>
  <c r="G10" i="6"/>
  <c r="G11" i="6" s="1"/>
  <c r="F56" i="3" s="1"/>
  <c r="F10" i="6"/>
  <c r="F11" i="6" s="1"/>
  <c r="E56" i="3" s="1"/>
  <c r="E10" i="6"/>
  <c r="E11" i="6" s="1"/>
  <c r="D56" i="3" s="1"/>
  <c r="K42" i="3"/>
  <c r="J42" i="3"/>
  <c r="I42" i="3"/>
  <c r="H42" i="3"/>
  <c r="G42" i="3"/>
  <c r="F42" i="3"/>
  <c r="E42" i="3"/>
  <c r="D42" i="3"/>
  <c r="I42" i="5"/>
  <c r="H42" i="5"/>
  <c r="G42" i="5"/>
  <c r="I41" i="5"/>
  <c r="H41" i="5"/>
  <c r="G41" i="5"/>
  <c r="H118" i="5" s="1"/>
  <c r="F42" i="5"/>
  <c r="F41" i="5"/>
  <c r="G118" i="5" s="1"/>
  <c r="G119" i="5" s="1"/>
  <c r="G121" i="5" s="1"/>
  <c r="E59" i="1" s="1"/>
  <c r="I31" i="5"/>
  <c r="H31" i="5"/>
  <c r="G31" i="5"/>
  <c r="F31" i="5"/>
  <c r="I27" i="5"/>
  <c r="H27" i="5"/>
  <c r="G27" i="5"/>
  <c r="H107" i="5" s="1"/>
  <c r="J107" i="5" s="1"/>
  <c r="F27" i="5"/>
  <c r="G107" i="5" s="1"/>
  <c r="I18" i="5"/>
  <c r="H18" i="5"/>
  <c r="G18" i="5"/>
  <c r="I17" i="5"/>
  <c r="H17" i="5"/>
  <c r="G17" i="5"/>
  <c r="F18" i="5"/>
  <c r="F17" i="5"/>
  <c r="I15" i="5"/>
  <c r="H15" i="5"/>
  <c r="G15" i="5"/>
  <c r="F15" i="5"/>
  <c r="O64" i="5"/>
  <c r="N64" i="5"/>
  <c r="M64" i="5"/>
  <c r="L64" i="5"/>
  <c r="K64" i="5"/>
  <c r="J64" i="5"/>
  <c r="I64" i="5"/>
  <c r="H64" i="5"/>
  <c r="G64" i="5"/>
  <c r="F64" i="5"/>
  <c r="O65" i="5"/>
  <c r="N65" i="5"/>
  <c r="M65" i="5"/>
  <c r="L65" i="5"/>
  <c r="K65" i="5"/>
  <c r="J65" i="5"/>
  <c r="J66" i="5" s="1"/>
  <c r="I65" i="5"/>
  <c r="I66" i="5" s="1"/>
  <c r="H65" i="5"/>
  <c r="G65" i="5"/>
  <c r="F65" i="5"/>
  <c r="F66" i="5" s="1"/>
  <c r="D74" i="2" s="1"/>
  <c r="F51" i="5"/>
  <c r="G51" i="5"/>
  <c r="H51" i="5"/>
  <c r="F59" i="5"/>
  <c r="F52" i="5" s="1"/>
  <c r="G59" i="5"/>
  <c r="G52" i="5" s="1"/>
  <c r="G53" i="5" s="1"/>
  <c r="G61" i="5" s="1"/>
  <c r="E51" i="2" s="1"/>
  <c r="H59" i="5"/>
  <c r="H52" i="5" s="1"/>
  <c r="H53" i="5" s="1"/>
  <c r="H61" i="5" s="1"/>
  <c r="F51" i="2" s="1"/>
  <c r="H119" i="5" l="1"/>
  <c r="J118" i="5"/>
  <c r="J119" i="5" s="1"/>
  <c r="J121" i="5" s="1"/>
  <c r="F59" i="1" s="1"/>
  <c r="M66" i="5"/>
  <c r="N66" i="5"/>
  <c r="H115" i="5"/>
  <c r="F115" i="5"/>
  <c r="F121" i="5" s="1"/>
  <c r="D59" i="1" s="1"/>
  <c r="F112" i="5"/>
  <c r="D58" i="1" s="1"/>
  <c r="F53" i="5"/>
  <c r="F61" i="5" s="1"/>
  <c r="D51" i="2" s="1"/>
  <c r="G66" i="5"/>
  <c r="E74" i="2" s="1"/>
  <c r="K66" i="5"/>
  <c r="O66" i="5"/>
  <c r="H66" i="5"/>
  <c r="F74" i="2" s="1"/>
  <c r="L66" i="5"/>
  <c r="M59" i="2"/>
  <c r="L59" i="2"/>
  <c r="K59" i="2"/>
  <c r="J59" i="2"/>
  <c r="I59" i="2"/>
  <c r="H59" i="2"/>
  <c r="G59" i="2"/>
  <c r="M48" i="2"/>
  <c r="L48" i="2"/>
  <c r="K48" i="2"/>
  <c r="J48" i="2"/>
  <c r="I48" i="2"/>
  <c r="H48" i="2"/>
  <c r="G48" i="2"/>
  <c r="F48" i="2"/>
  <c r="E48" i="2"/>
  <c r="D48" i="2"/>
  <c r="O43" i="5"/>
  <c r="N42" i="5"/>
  <c r="N43" i="5" s="1"/>
  <c r="M42" i="5"/>
  <c r="M43" i="5" s="1"/>
  <c r="L42" i="5"/>
  <c r="L43" i="5" s="1"/>
  <c r="K42" i="5"/>
  <c r="K43" i="5" s="1"/>
  <c r="J42" i="5"/>
  <c r="J43" i="5" s="1"/>
  <c r="O39" i="5"/>
  <c r="O45" i="5" s="1"/>
  <c r="M72" i="2" s="1"/>
  <c r="N39" i="5"/>
  <c r="M39" i="5"/>
  <c r="L39" i="5"/>
  <c r="K39" i="5"/>
  <c r="K45" i="5" s="1"/>
  <c r="I72" i="2" s="1"/>
  <c r="J39" i="5"/>
  <c r="N31" i="5"/>
  <c r="M31" i="5"/>
  <c r="L31" i="5"/>
  <c r="K31" i="5"/>
  <c r="J31" i="5"/>
  <c r="O30" i="5"/>
  <c r="O32" i="5" s="1"/>
  <c r="O26" i="5"/>
  <c r="O28" i="5" s="1"/>
  <c r="N26" i="5"/>
  <c r="N28" i="5" s="1"/>
  <c r="M26" i="5"/>
  <c r="M28" i="5" s="1"/>
  <c r="L26" i="5"/>
  <c r="L28" i="5" s="1"/>
  <c r="K26" i="5"/>
  <c r="K28" i="5" s="1"/>
  <c r="J26" i="5"/>
  <c r="J28" i="5" s="1"/>
  <c r="O24" i="5"/>
  <c r="N24" i="5"/>
  <c r="M24" i="5"/>
  <c r="L24" i="5"/>
  <c r="K24" i="5"/>
  <c r="J24" i="5"/>
  <c r="O19" i="5"/>
  <c r="O21" i="5" s="1"/>
  <c r="M70" i="2" s="1"/>
  <c r="N18" i="5"/>
  <c r="N19" i="5" s="1"/>
  <c r="N21" i="5" s="1"/>
  <c r="L70" i="2" s="1"/>
  <c r="M18" i="5"/>
  <c r="M30" i="5" s="1"/>
  <c r="L18" i="5"/>
  <c r="L30" i="5" s="1"/>
  <c r="L32" i="5" s="1"/>
  <c r="K18" i="5"/>
  <c r="J18" i="5"/>
  <c r="J19" i="5" s="1"/>
  <c r="J21" i="5" s="1"/>
  <c r="H70" i="2" s="1"/>
  <c r="I30" i="5"/>
  <c r="H30" i="5"/>
  <c r="H32" i="5" s="1"/>
  <c r="G30" i="5"/>
  <c r="G32" i="5" s="1"/>
  <c r="F30" i="5"/>
  <c r="I26" i="5"/>
  <c r="H26" i="5"/>
  <c r="H28" i="5" s="1"/>
  <c r="G26" i="5"/>
  <c r="H106" i="5" s="1"/>
  <c r="F19" i="5"/>
  <c r="G24" i="5"/>
  <c r="F24" i="5"/>
  <c r="O10" i="5"/>
  <c r="M67" i="2" s="1"/>
  <c r="N10" i="5"/>
  <c r="L67" i="2" s="1"/>
  <c r="M10" i="5"/>
  <c r="K67" i="2" s="1"/>
  <c r="L10" i="5"/>
  <c r="J67" i="2" s="1"/>
  <c r="K10" i="5"/>
  <c r="I67" i="2" s="1"/>
  <c r="J10" i="5"/>
  <c r="H67" i="2" s="1"/>
  <c r="I10" i="5"/>
  <c r="G67" i="2" s="1"/>
  <c r="J45" i="5" l="1"/>
  <c r="H72" i="2" s="1"/>
  <c r="O34" i="5"/>
  <c r="H121" i="5"/>
  <c r="H108" i="5"/>
  <c r="H110" i="5" s="1"/>
  <c r="H112" i="5" s="1"/>
  <c r="J106" i="5"/>
  <c r="J108" i="5" s="1"/>
  <c r="J110" i="5" s="1"/>
  <c r="J112" i="5" s="1"/>
  <c r="F58" i="1" s="1"/>
  <c r="L45" i="5"/>
  <c r="J72" i="2" s="1"/>
  <c r="M32" i="5"/>
  <c r="M34" i="5" s="1"/>
  <c r="M36" i="5" s="1"/>
  <c r="K71" i="2" s="1"/>
  <c r="H34" i="5"/>
  <c r="O36" i="5"/>
  <c r="M71" i="2" s="1"/>
  <c r="K30" i="5"/>
  <c r="K32" i="5" s="1"/>
  <c r="K34" i="5" s="1"/>
  <c r="K36" i="5" s="1"/>
  <c r="I71" i="2" s="1"/>
  <c r="K19" i="5"/>
  <c r="K21" i="5" s="1"/>
  <c r="I70" i="2" s="1"/>
  <c r="L34" i="5"/>
  <c r="L36" i="5" s="1"/>
  <c r="J71" i="2" s="1"/>
  <c r="G19" i="5"/>
  <c r="G21" i="5" s="1"/>
  <c r="E70" i="2" s="1"/>
  <c r="I28" i="5"/>
  <c r="I32" i="5"/>
  <c r="H39" i="5"/>
  <c r="H24" i="5"/>
  <c r="F43" i="5"/>
  <c r="I24" i="5"/>
  <c r="I39" i="5"/>
  <c r="G28" i="5"/>
  <c r="G34" i="5" s="1"/>
  <c r="G36" i="5" s="1"/>
  <c r="E71" i="2" s="1"/>
  <c r="M45" i="5"/>
  <c r="K72" i="2" s="1"/>
  <c r="N45" i="5"/>
  <c r="L72" i="2" s="1"/>
  <c r="H19" i="5"/>
  <c r="H21" i="5" s="1"/>
  <c r="F70" i="2" s="1"/>
  <c r="L19" i="5"/>
  <c r="L21" i="5" s="1"/>
  <c r="J70" i="2" s="1"/>
  <c r="F21" i="5"/>
  <c r="D70" i="2" s="1"/>
  <c r="F26" i="5"/>
  <c r="J30" i="5"/>
  <c r="J32" i="5" s="1"/>
  <c r="J34" i="5" s="1"/>
  <c r="J36" i="5" s="1"/>
  <c r="H71" i="2" s="1"/>
  <c r="N30" i="5"/>
  <c r="N32" i="5" s="1"/>
  <c r="N34" i="5" s="1"/>
  <c r="N36" i="5" s="1"/>
  <c r="L71" i="2" s="1"/>
  <c r="I19" i="5"/>
  <c r="I21" i="5" s="1"/>
  <c r="G70" i="2" s="1"/>
  <c r="M19" i="5"/>
  <c r="M21" i="5" s="1"/>
  <c r="K70" i="2" s="1"/>
  <c r="F39" i="5"/>
  <c r="F32" i="5"/>
  <c r="G39" i="5"/>
  <c r="H36" i="5" l="1"/>
  <c r="F71" i="2" s="1"/>
  <c r="F28" i="5"/>
  <c r="G106" i="5"/>
  <c r="G108" i="5" s="1"/>
  <c r="G110" i="5" s="1"/>
  <c r="G112" i="5" s="1"/>
  <c r="E58" i="1" s="1"/>
  <c r="I34" i="5"/>
  <c r="I36" i="5" s="1"/>
  <c r="G71" i="2" s="1"/>
  <c r="I43" i="5"/>
  <c r="I45" i="5" s="1"/>
  <c r="G72" i="2" s="1"/>
  <c r="G43" i="5"/>
  <c r="G45" i="5" s="1"/>
  <c r="E72" i="2" s="1"/>
  <c r="H43" i="5"/>
  <c r="H45" i="5" s="1"/>
  <c r="F72" i="2" s="1"/>
  <c r="F45" i="5"/>
  <c r="D72" i="2" s="1"/>
  <c r="F34" i="5"/>
  <c r="F36" i="5" s="1"/>
  <c r="D71" i="2" s="1"/>
  <c r="D19" i="1" l="1"/>
</calcChain>
</file>

<file path=xl/sharedStrings.xml><?xml version="1.0" encoding="utf-8"?>
<sst xmlns="http://schemas.openxmlformats.org/spreadsheetml/2006/main" count="410" uniqueCount="157">
  <si>
    <t>Delta Natural Gas Company, Inc.</t>
  </si>
  <si>
    <t>Sheet 1 of 3</t>
  </si>
  <si>
    <t>Case No. 2021-00185</t>
  </si>
  <si>
    <t>Witness: Schroeder</t>
  </si>
  <si>
    <t xml:space="preserve">Comparative Financial Data and Earning Measures </t>
  </si>
  <si>
    <t xml:space="preserve">Line No. </t>
  </si>
  <si>
    <t>Description</t>
  </si>
  <si>
    <t>Forecasted Period**</t>
  </si>
  <si>
    <t>Calendar Yr 2021**</t>
  </si>
  <si>
    <t>Base Period Update</t>
  </si>
  <si>
    <t>Gas Plant ($000)</t>
  </si>
  <si>
    <t>($'s Based on Period-End Amounts)</t>
  </si>
  <si>
    <t xml:space="preserve">Total Gas Plant - Gross </t>
  </si>
  <si>
    <t xml:space="preserve">          Less: Accumulated Depreciation and Amortization</t>
  </si>
  <si>
    <t>Gas Plant in Service-Net</t>
  </si>
  <si>
    <t>Capital Structure: ($000)</t>
  </si>
  <si>
    <t>Short-Term Debt (Notes Payable to Associated Companies)</t>
  </si>
  <si>
    <t xml:space="preserve">Long-Term Debt </t>
  </si>
  <si>
    <t xml:space="preserve">Common Equity </t>
  </si>
  <si>
    <t>Total</t>
  </si>
  <si>
    <t>Condensed Income Statement Data: ($000)</t>
  </si>
  <si>
    <t xml:space="preserve">Operating Revenues  </t>
  </si>
  <si>
    <t xml:space="preserve">Operating Expenses (Excluding Income Taxes) </t>
  </si>
  <si>
    <t>Federal and State Income Taxes</t>
  </si>
  <si>
    <t xml:space="preserve">Property and Other Taxes </t>
  </si>
  <si>
    <t>Net Operating Income</t>
  </si>
  <si>
    <t>Other Income (Deductions), Net</t>
  </si>
  <si>
    <t xml:space="preserve">Interest Charges </t>
  </si>
  <si>
    <t xml:space="preserve">Net Income Available for Common Equity </t>
  </si>
  <si>
    <t>Cost of Capital:</t>
  </si>
  <si>
    <t>Embedded Cost of Debt (Short and Long Term)</t>
  </si>
  <si>
    <t>Fixed Charge Coverages</t>
  </si>
  <si>
    <t>Ratio of Earnings to Fixed Charges</t>
  </si>
  <si>
    <t>Stock and Bond Ratings:*</t>
  </si>
  <si>
    <t>n/a</t>
  </si>
  <si>
    <t>Common Share Related Data:*</t>
  </si>
  <si>
    <t>Shares Outstanding - Weighted Average</t>
  </si>
  <si>
    <t>Earnings per Common Share</t>
  </si>
  <si>
    <t>Cash Dividends declared per Common Share</t>
  </si>
  <si>
    <t>Dividend Payout Ratio (Declared Basis)</t>
  </si>
  <si>
    <t>Market Price - High/Low*</t>
  </si>
  <si>
    <t>1st Quarter</t>
  </si>
  <si>
    <t>2nd Quarter</t>
  </si>
  <si>
    <t>3rd Quarter</t>
  </si>
  <si>
    <t>4th Quarter</t>
  </si>
  <si>
    <t>Book Value per Share (Year-End)*</t>
  </si>
  <si>
    <t>Rate of Return Measures:</t>
  </si>
  <si>
    <t>Return on Common Equity (Average)</t>
  </si>
  <si>
    <t>Return on Total Capital (Average)</t>
  </si>
  <si>
    <t>Return on Net Plant in Service (Average)</t>
  </si>
  <si>
    <t>Composite Depreciation Rate</t>
  </si>
  <si>
    <t>* As of September 2017, Delta's stock was no longer publicly traded.</t>
  </si>
  <si>
    <t>**All periods shown include forecasted information.</t>
  </si>
  <si>
    <t>Sheet 2 of 3</t>
  </si>
  <si>
    <t>Gas Distribution</t>
  </si>
  <si>
    <t xml:space="preserve">Gas General Plant </t>
  </si>
  <si>
    <t>Gas Intangible Plant</t>
  </si>
  <si>
    <t>Gas Production Plant</t>
  </si>
  <si>
    <t xml:space="preserve">Gas Underground Storage </t>
  </si>
  <si>
    <t xml:space="preserve">Gas Transmission </t>
  </si>
  <si>
    <t xml:space="preserve">     Total Gas Plant - Gross </t>
  </si>
  <si>
    <t xml:space="preserve">Construction Work In Progress </t>
  </si>
  <si>
    <t xml:space="preserve">Net Utility Plant  </t>
  </si>
  <si>
    <t xml:space="preserve">Deferred Federal and State Income Taxes </t>
  </si>
  <si>
    <t>Investment Tax Credit Adj. - Net</t>
  </si>
  <si>
    <t>All Long-Term Debt Issues were privately placed and therefore, not rated; Delta had no Preferred Stock</t>
  </si>
  <si>
    <t>27.36 / 23.19</t>
  </si>
  <si>
    <t>20.75 / 19.96</t>
  </si>
  <si>
    <t>22.58 / 19.50</t>
  </si>
  <si>
    <t>25.02 / 18.50</t>
  </si>
  <si>
    <t>24.82 / 18.41</t>
  </si>
  <si>
    <t>16.98 / 14.51</t>
  </si>
  <si>
    <t>15.81 / 13.17</t>
  </si>
  <si>
    <t>31.29 / 22.16</t>
  </si>
  <si>
    <t xml:space="preserve">21.38 / 20.26 </t>
  </si>
  <si>
    <t>21.54 / 19.50</t>
  </si>
  <si>
    <t>22.90 / 19.98</t>
  </si>
  <si>
    <t>22.16 / 17.08</t>
  </si>
  <si>
    <t>17.24 / 14.12</t>
  </si>
  <si>
    <t>16.49 / 14.76</t>
  </si>
  <si>
    <t>30.85 / 25.00</t>
  </si>
  <si>
    <t>23.70 / 20.83</t>
  </si>
  <si>
    <t>21.39 / 19.10</t>
  </si>
  <si>
    <t>22.29 / 18.44</t>
  </si>
  <si>
    <t>22.08 / 18.88</t>
  </si>
  <si>
    <t>19.61 / 16.72</t>
  </si>
  <si>
    <t>17.00 / 15.10</t>
  </si>
  <si>
    <t>30.82 / 29.70</t>
  </si>
  <si>
    <t>28.22 / 22.11</t>
  </si>
  <si>
    <t>20.84 / 19.39</t>
  </si>
  <si>
    <t>22.13 / 18.43</t>
  </si>
  <si>
    <t>24.18 / 19.99</t>
  </si>
  <si>
    <t>23.15 / 18.83</t>
  </si>
  <si>
    <t>16.49 / 15.00</t>
  </si>
  <si>
    <t>Sheet 3 of 3</t>
  </si>
  <si>
    <t>Peoples Gas of Kentucky</t>
  </si>
  <si>
    <t>2013 *</t>
  </si>
  <si>
    <t>2012 *</t>
  </si>
  <si>
    <t>2011 *</t>
  </si>
  <si>
    <t>Net Operating Income (Loss)</t>
  </si>
  <si>
    <t>Stock and Bond Ratings:</t>
  </si>
  <si>
    <t>Peoples was a privately held company until being acquired by Aqua America (now Essential Utilities) in 2020.</t>
  </si>
  <si>
    <t>Common Share Related Data:</t>
  </si>
  <si>
    <t>*</t>
  </si>
  <si>
    <t>Peoples Gas KY was formed in 2013; no records are available prior to formation.</t>
  </si>
  <si>
    <t>Delta Natural Gas Company - Support Calculations</t>
  </si>
  <si>
    <t>Fiscal year was July - June</t>
  </si>
  <si>
    <t>Forecasted Period</t>
  </si>
  <si>
    <t>Base Period</t>
  </si>
  <si>
    <t>Book Value per Share (Year-End)</t>
  </si>
  <si>
    <t>10-K - Consolidated Balance Sheet (pg 41 or 43)</t>
  </si>
  <si>
    <t>Total shareholders' equity</t>
  </si>
  <si>
    <t>Total number of shares  - year-end</t>
  </si>
  <si>
    <t>Calculated</t>
  </si>
  <si>
    <t>Calculated from PSC Annual Report</t>
  </si>
  <si>
    <t>Net Income - Current Year</t>
  </si>
  <si>
    <t>Income Statement</t>
  </si>
  <si>
    <t>Total Shareholders' Equity Current Year</t>
  </si>
  <si>
    <t>Balance Sheet</t>
  </si>
  <si>
    <t>Total Shareholders' Equity Previous Year</t>
  </si>
  <si>
    <t>Total Shareholders' Equity Average</t>
  </si>
  <si>
    <t>Total Long-Term Debt Current Year</t>
  </si>
  <si>
    <t>Subtotal - Current Year</t>
  </si>
  <si>
    <t>Total Long-Term Debt Previous Year</t>
  </si>
  <si>
    <t>Subtotal - Previous Year</t>
  </si>
  <si>
    <t>Total Shareholders' Equity/LTD Average</t>
  </si>
  <si>
    <t>Total Net Property, Plant &amp; Equipment Current Year</t>
  </si>
  <si>
    <t>Total Net Property, Plant &amp; Equipment Previous Year</t>
  </si>
  <si>
    <t>Total Net Property, Plant &amp; Equipment Average</t>
  </si>
  <si>
    <t>Return on Net Plant In Service (Average)</t>
  </si>
  <si>
    <t>Net Income</t>
  </si>
  <si>
    <t>Provisions for Income Taxes</t>
  </si>
  <si>
    <t>Fixed Charges</t>
  </si>
  <si>
    <t>Interest on debt</t>
  </si>
  <si>
    <t>Amortization of debt expense</t>
  </si>
  <si>
    <t>One third of rental expense</t>
  </si>
  <si>
    <t>Total - Fixed Charges</t>
  </si>
  <si>
    <t>Ratio of earnings to fixed charges</t>
  </si>
  <si>
    <t>Depr Exp / YE Gross Plant</t>
  </si>
  <si>
    <t>Depreciation Expense</t>
  </si>
  <si>
    <t>Gross Plant</t>
  </si>
  <si>
    <t>used 10-K reported number for filing</t>
  </si>
  <si>
    <t>(order below does not follow order on the schedule)</t>
  </si>
  <si>
    <t>COMBINED - DELTA &amp; PKY</t>
  </si>
  <si>
    <t>FTY</t>
  </si>
  <si>
    <t>BASE</t>
  </si>
  <si>
    <t>BASE-UPDATE</t>
  </si>
  <si>
    <t>not found for FTY or BP so excluded for 2021</t>
  </si>
  <si>
    <t>removed pension item</t>
  </si>
  <si>
    <t>Earnings</t>
  </si>
  <si>
    <t>Provision for Income Taxes</t>
  </si>
  <si>
    <t>Provision for Deferred Income Tax was excluded from the calculation</t>
  </si>
  <si>
    <t>TOTAL</t>
  </si>
  <si>
    <t>Interest on Debt</t>
  </si>
  <si>
    <t>One third of rental expense (?)</t>
  </si>
  <si>
    <t>implausible results with negative net income and equity</t>
  </si>
  <si>
    <t>show as 0% on reported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</si>
</sst>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?_);_(@_)"/>
    <numFmt numFmtId="166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7" fontId="0" fillId="0" borderId="0" xfId="0" applyNumberFormat="1"/>
    <xf numFmtId="8" fontId="0" fillId="0" borderId="0" xfId="0" applyNumberFormat="1"/>
    <xf numFmtId="42" fontId="0" fillId="0" borderId="0" xfId="0" applyNumberFormat="1" applyFill="1"/>
    <xf numFmtId="42" fontId="0" fillId="0" borderId="0" xfId="0" applyNumberFormat="1"/>
    <xf numFmtId="41" fontId="0" fillId="0" borderId="0" xfId="0" applyNumberFormat="1" applyFill="1"/>
    <xf numFmtId="41" fontId="0" fillId="0" borderId="0" xfId="0" applyNumberFormat="1"/>
    <xf numFmtId="41" fontId="0" fillId="0" borderId="0" xfId="0" applyNumberFormat="1" applyFill="1" applyProtection="1">
      <protection locked="0"/>
    </xf>
    <xf numFmtId="41" fontId="0" fillId="0" borderId="0" xfId="0" applyNumberFormat="1" applyProtection="1">
      <protection locked="0"/>
    </xf>
    <xf numFmtId="42" fontId="0" fillId="0" borderId="1" xfId="0" applyNumberFormat="1" applyBorder="1"/>
    <xf numFmtId="41" fontId="2" fillId="0" borderId="0" xfId="0" applyNumberFormat="1" applyFont="1"/>
    <xf numFmtId="41" fontId="0" fillId="0" borderId="0" xfId="1" applyNumberFormat="1" applyFont="1"/>
    <xf numFmtId="41" fontId="0" fillId="0" borderId="2" xfId="0" applyNumberFormat="1" applyBorder="1"/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right"/>
    </xf>
    <xf numFmtId="41" fontId="0" fillId="0" borderId="2" xfId="0" applyNumberFormat="1" applyBorder="1" applyAlignment="1">
      <alignment horizontal="right" vertical="top"/>
    </xf>
    <xf numFmtId="41" fontId="0" fillId="0" borderId="0" xfId="0" applyNumberFormat="1" applyAlignment="1">
      <alignment horizontal="right" vertical="top"/>
    </xf>
    <xf numFmtId="42" fontId="0" fillId="0" borderId="1" xfId="0" applyNumberFormat="1" applyBorder="1" applyAlignment="1">
      <alignment horizontal="right" vertical="top"/>
    </xf>
    <xf numFmtId="42" fontId="0" fillId="0" borderId="0" xfId="0" applyNumberFormat="1" applyAlignment="1">
      <alignment horizontal="right" vertical="top"/>
    </xf>
    <xf numFmtId="41" fontId="0" fillId="0" borderId="2" xfId="0" applyNumberFormat="1" applyFill="1" applyBorder="1" applyProtection="1">
      <protection locked="0"/>
    </xf>
    <xf numFmtId="41" fontId="0" fillId="0" borderId="2" xfId="0" applyNumberFormat="1" applyBorder="1" applyProtection="1">
      <protection locked="0"/>
    </xf>
    <xf numFmtId="0" fontId="0" fillId="0" borderId="0" xfId="0" applyBorder="1"/>
    <xf numFmtId="41" fontId="0" fillId="0" borderId="0" xfId="0" applyNumberFormat="1" applyAlignment="1">
      <alignment horizontal="center" wrapText="1"/>
    </xf>
    <xf numFmtId="0" fontId="0" fillId="0" borderId="0" xfId="0" applyFill="1"/>
    <xf numFmtId="37" fontId="0" fillId="0" borderId="0" xfId="0" applyNumberFormat="1" applyFill="1"/>
    <xf numFmtId="0" fontId="3" fillId="0" borderId="0" xfId="0" applyFont="1" applyFill="1"/>
    <xf numFmtId="0" fontId="3" fillId="0" borderId="0" xfId="0" applyFont="1"/>
    <xf numFmtId="37" fontId="3" fillId="0" borderId="0" xfId="0" applyNumberFormat="1" applyFont="1"/>
    <xf numFmtId="10" fontId="0" fillId="0" borderId="0" xfId="1" applyNumberFormat="1" applyFont="1"/>
    <xf numFmtId="44" fontId="0" fillId="0" borderId="0" xfId="3" applyFont="1"/>
    <xf numFmtId="0" fontId="4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42" fontId="0" fillId="0" borderId="0" xfId="0" applyNumberFormat="1" applyBorder="1"/>
    <xf numFmtId="0" fontId="0" fillId="0" borderId="3" xfId="0" applyFill="1" applyBorder="1"/>
    <xf numFmtId="164" fontId="0" fillId="0" borderId="0" xfId="1" applyNumberFormat="1" applyFont="1"/>
    <xf numFmtId="10" fontId="0" fillId="0" borderId="0" xfId="0" applyNumberFormat="1" applyAlignment="1">
      <alignment horizontal="center"/>
    </xf>
    <xf numFmtId="43" fontId="0" fillId="0" borderId="0" xfId="0" applyNumberFormat="1"/>
    <xf numFmtId="165" fontId="0" fillId="0" borderId="0" xfId="0" applyNumberFormat="1"/>
    <xf numFmtId="37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3" fontId="0" fillId="0" borderId="0" xfId="2" applyFont="1"/>
    <xf numFmtId="41" fontId="0" fillId="0" borderId="3" xfId="0" applyNumberFormat="1" applyFill="1" applyBorder="1"/>
    <xf numFmtId="2" fontId="0" fillId="0" borderId="0" xfId="0" applyNumberFormat="1" applyAlignment="1">
      <alignment horizontal="center"/>
    </xf>
    <xf numFmtId="42" fontId="0" fillId="0" borderId="1" xfId="0" applyNumberFormat="1" applyFill="1" applyBorder="1"/>
    <xf numFmtId="0" fontId="0" fillId="0" borderId="0" xfId="0" applyFill="1" applyAlignment="1">
      <alignment horizontal="center"/>
    </xf>
    <xf numFmtId="41" fontId="0" fillId="0" borderId="2" xfId="0" applyNumberFormat="1" applyFill="1" applyBorder="1"/>
    <xf numFmtId="10" fontId="0" fillId="0" borderId="0" xfId="1" applyNumberFormat="1" applyFont="1" applyFill="1"/>
    <xf numFmtId="10" fontId="0" fillId="0" borderId="0" xfId="0" applyNumberFormat="1" applyFill="1"/>
    <xf numFmtId="41" fontId="0" fillId="0" borderId="3" xfId="0" applyNumberFormat="1" applyBorder="1"/>
    <xf numFmtId="0" fontId="0" fillId="0" borderId="3" xfId="0" applyBorder="1"/>
    <xf numFmtId="10" fontId="0" fillId="0" borderId="0" xfId="0" applyNumberFormat="1"/>
    <xf numFmtId="42" fontId="0" fillId="0" borderId="0" xfId="3" applyNumberFormat="1" applyFont="1" applyFill="1"/>
    <xf numFmtId="0" fontId="0" fillId="0" borderId="0" xfId="0" applyFill="1" applyBorder="1"/>
    <xf numFmtId="41" fontId="0" fillId="0" borderId="0" xfId="0" applyNumberFormat="1" applyBorder="1"/>
    <xf numFmtId="41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41" fontId="0" fillId="0" borderId="0" xfId="0" applyNumberFormat="1" applyFill="1" applyAlignment="1">
      <alignment horizontal="right"/>
    </xf>
    <xf numFmtId="42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4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2" fontId="5" fillId="0" borderId="0" xfId="3" applyNumberFormat="1" applyFont="1"/>
    <xf numFmtId="3" fontId="5" fillId="0" borderId="3" xfId="0" applyNumberFormat="1" applyFont="1" applyBorder="1"/>
    <xf numFmtId="0" fontId="5" fillId="0" borderId="0" xfId="0" applyFont="1" applyAlignment="1">
      <alignment horizontal="left" indent="2"/>
    </xf>
    <xf numFmtId="44" fontId="5" fillId="0" borderId="0" xfId="3" applyFont="1"/>
    <xf numFmtId="0" fontId="6" fillId="0" borderId="0" xfId="0" applyFont="1" applyFill="1"/>
    <xf numFmtId="0" fontId="7" fillId="0" borderId="0" xfId="0" applyFont="1" applyFill="1"/>
    <xf numFmtId="0" fontId="5" fillId="3" borderId="3" xfId="0" applyFont="1" applyFill="1" applyBorder="1"/>
    <xf numFmtId="0" fontId="5" fillId="0" borderId="0" xfId="0" applyFont="1" applyFill="1" applyAlignment="1">
      <alignment horizontal="left" indent="1"/>
    </xf>
    <xf numFmtId="42" fontId="5" fillId="3" borderId="0" xfId="3" applyNumberFormat="1" applyFont="1" applyFill="1"/>
    <xf numFmtId="42" fontId="5" fillId="3" borderId="3" xfId="3" applyNumberFormat="1" applyFont="1" applyFill="1" applyBorder="1"/>
    <xf numFmtId="42" fontId="5" fillId="0" borderId="3" xfId="3" applyNumberFormat="1" applyFont="1" applyBorder="1"/>
    <xf numFmtId="0" fontId="5" fillId="3" borderId="0" xfId="0" applyFont="1" applyFill="1"/>
    <xf numFmtId="0" fontId="5" fillId="0" borderId="0" xfId="0" applyFont="1" applyFill="1" applyAlignment="1">
      <alignment horizontal="left" indent="2"/>
    </xf>
    <xf numFmtId="10" fontId="5" fillId="3" borderId="0" xfId="1" applyNumberFormat="1" applyFont="1" applyFill="1"/>
    <xf numFmtId="10" fontId="5" fillId="0" borderId="0" xfId="1" applyNumberFormat="1" applyFont="1"/>
    <xf numFmtId="44" fontId="5" fillId="0" borderId="0" xfId="0" applyNumberFormat="1" applyFont="1"/>
    <xf numFmtId="42" fontId="5" fillId="3" borderId="0" xfId="0" applyNumberFormat="1" applyFont="1" applyFill="1"/>
    <xf numFmtId="42" fontId="5" fillId="0" borderId="0" xfId="0" applyNumberFormat="1" applyFont="1"/>
    <xf numFmtId="42" fontId="5" fillId="0" borderId="3" xfId="0" applyNumberFormat="1" applyFont="1" applyBorder="1"/>
    <xf numFmtId="42" fontId="5" fillId="3" borderId="3" xfId="0" applyNumberFormat="1" applyFont="1" applyFill="1" applyBorder="1"/>
    <xf numFmtId="42" fontId="5" fillId="3" borderId="0" xfId="0" applyNumberFormat="1" applyFont="1" applyFill="1" applyBorder="1"/>
    <xf numFmtId="42" fontId="5" fillId="0" borderId="0" xfId="0" applyNumberFormat="1" applyFont="1" applyBorder="1"/>
    <xf numFmtId="0" fontId="5" fillId="0" borderId="3" xfId="0" applyFont="1" applyFill="1" applyBorder="1"/>
    <xf numFmtId="41" fontId="5" fillId="3" borderId="0" xfId="0" applyNumberFormat="1" applyFont="1" applyFill="1"/>
    <xf numFmtId="41" fontId="5" fillId="3" borderId="3" xfId="0" applyNumberFormat="1" applyFont="1" applyFill="1" applyBorder="1"/>
    <xf numFmtId="166" fontId="5" fillId="3" borderId="0" xfId="0" applyNumberFormat="1" applyFont="1" applyFill="1" applyAlignment="1">
      <alignment horizontal="center"/>
    </xf>
    <xf numFmtId="41" fontId="5" fillId="0" borderId="0" xfId="0" applyNumberFormat="1" applyFont="1"/>
    <xf numFmtId="164" fontId="5" fillId="0" borderId="0" xfId="1" applyNumberFormat="1" applyFont="1"/>
    <xf numFmtId="164" fontId="5" fillId="0" borderId="3" xfId="1" applyNumberFormat="1" applyFont="1" applyBorder="1"/>
    <xf numFmtId="0" fontId="5" fillId="0" borderId="3" xfId="0" applyFont="1" applyBorder="1"/>
    <xf numFmtId="0" fontId="6" fillId="0" borderId="3" xfId="0" applyFont="1" applyBorder="1"/>
    <xf numFmtId="0" fontId="5" fillId="0" borderId="0" xfId="0" applyFont="1" applyFill="1"/>
    <xf numFmtId="42" fontId="5" fillId="0" borderId="0" xfId="0" applyNumberFormat="1" applyFont="1" applyFill="1"/>
    <xf numFmtId="41" fontId="5" fillId="0" borderId="0" xfId="0" applyNumberFormat="1" applyFont="1" applyFill="1"/>
    <xf numFmtId="41" fontId="5" fillId="0" borderId="3" xfId="0" applyNumberFormat="1" applyFont="1" applyFill="1" applyBorder="1"/>
    <xf numFmtId="166" fontId="5" fillId="0" borderId="0" xfId="0" applyNumberFormat="1" applyFont="1" applyFill="1" applyAlignment="1">
      <alignment horizontal="center"/>
    </xf>
    <xf numFmtId="0" fontId="5" fillId="4" borderId="0" xfId="0" applyFont="1" applyFill="1"/>
    <xf numFmtId="42" fontId="5" fillId="4" borderId="0" xfId="0" applyNumberFormat="1" applyFont="1" applyFill="1"/>
    <xf numFmtId="42" fontId="5" fillId="0" borderId="0" xfId="3" applyNumberFormat="1" applyFont="1" applyFill="1"/>
    <xf numFmtId="10" fontId="5" fillId="0" borderId="0" xfId="1" applyNumberFormat="1" applyFont="1" applyFill="1"/>
    <xf numFmtId="42" fontId="5" fillId="0" borderId="3" xfId="0" applyNumberFormat="1" applyFont="1" applyFill="1" applyBorder="1"/>
    <xf numFmtId="41" fontId="8" fillId="0" borderId="0" xfId="0" applyNumberFormat="1" applyFont="1" applyFill="1"/>
    <xf numFmtId="41" fontId="8" fillId="0" borderId="0" xfId="0" applyNumberFormat="1" applyFont="1"/>
    <xf numFmtId="0" fontId="9" fillId="0" borderId="0" xfId="0" applyFont="1"/>
    <xf numFmtId="41" fontId="9" fillId="0" borderId="0" xfId="0" applyNumberFormat="1" applyFont="1"/>
    <xf numFmtId="41" fontId="8" fillId="0" borderId="3" xfId="0" applyNumberFormat="1" applyFont="1" applyFill="1" applyBorder="1"/>
    <xf numFmtId="42" fontId="8" fillId="0" borderId="0" xfId="0" applyNumberFormat="1" applyFont="1" applyFill="1"/>
    <xf numFmtId="166" fontId="8" fillId="0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42" fontId="8" fillId="0" borderId="0" xfId="0" applyNumberFormat="1" applyFont="1"/>
    <xf numFmtId="0" fontId="8" fillId="0" borderId="0" xfId="0" applyFont="1"/>
    <xf numFmtId="42" fontId="8" fillId="0" borderId="0" xfId="3" applyNumberFormat="1" applyFont="1" applyFill="1"/>
    <xf numFmtId="10" fontId="8" fillId="0" borderId="0" xfId="1" applyNumberFormat="1" applyFont="1" applyFill="1"/>
    <xf numFmtId="42" fontId="8" fillId="0" borderId="3" xfId="0" applyNumberFormat="1" applyFont="1" applyBorder="1"/>
    <xf numFmtId="43" fontId="0" fillId="0" borderId="0" xfId="0" applyNumberFormat="1" applyFill="1"/>
    <xf numFmtId="0" fontId="8" fillId="0" borderId="3" xfId="0" applyFont="1" applyBorder="1"/>
    <xf numFmtId="10" fontId="8" fillId="0" borderId="0" xfId="1" applyNumberFormat="1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opLeftCell="A46" zoomScale="90" zoomScaleNormal="90" workbookViewId="0">
      <selection activeCell="H1" sqref="H1:H1048576"/>
    </sheetView>
  </sheetViews>
  <sheetFormatPr defaultRowHeight="15" x14ac:dyDescent="0.25"/>
  <cols>
    <col min="2" max="2" width="5.5703125" customWidth="1"/>
    <col min="3" max="3" width="50.5703125" customWidth="1"/>
    <col min="4" max="6" width="14.7109375" style="8" customWidth="1"/>
    <col min="7" max="8" width="12.7109375" customWidth="1"/>
  </cols>
  <sheetData>
    <row r="1" spans="1:6" x14ac:dyDescent="0.25">
      <c r="C1" s="68" t="s">
        <v>0</v>
      </c>
      <c r="D1" s="19" t="s">
        <v>1</v>
      </c>
    </row>
    <row r="2" spans="1:6" x14ac:dyDescent="0.25">
      <c r="C2" s="68" t="s">
        <v>2</v>
      </c>
      <c r="D2" s="69" t="s">
        <v>3</v>
      </c>
    </row>
    <row r="3" spans="1:6" x14ac:dyDescent="0.25">
      <c r="C3" s="68" t="s">
        <v>4</v>
      </c>
    </row>
    <row r="4" spans="1:6" x14ac:dyDescent="0.25">
      <c r="D4"/>
      <c r="E4"/>
      <c r="F4"/>
    </row>
    <row r="5" spans="1:6" x14ac:dyDescent="0.25">
      <c r="E5" s="66"/>
      <c r="F5" s="66"/>
    </row>
    <row r="6" spans="1:6" ht="30" x14ac:dyDescent="0.25">
      <c r="A6" t="s">
        <v>5</v>
      </c>
      <c r="B6" t="s">
        <v>6</v>
      </c>
      <c r="D6" s="25" t="s">
        <v>7</v>
      </c>
      <c r="E6" s="25" t="s">
        <v>8</v>
      </c>
      <c r="F6" s="124" t="s">
        <v>9</v>
      </c>
    </row>
    <row r="7" spans="1:6" x14ac:dyDescent="0.25">
      <c r="D7" s="67">
        <v>44926</v>
      </c>
      <c r="E7" s="67">
        <v>44561</v>
      </c>
      <c r="F7" s="67">
        <v>44439</v>
      </c>
    </row>
    <row r="8" spans="1:6" x14ac:dyDescent="0.25">
      <c r="A8" s="1">
        <v>1</v>
      </c>
      <c r="B8" t="s">
        <v>10</v>
      </c>
      <c r="F8" s="119"/>
    </row>
    <row r="9" spans="1:6" ht="15" customHeight="1" x14ac:dyDescent="0.25">
      <c r="A9" s="1">
        <f>1+A8</f>
        <v>2</v>
      </c>
      <c r="B9" s="26" t="s">
        <v>11</v>
      </c>
      <c r="F9" s="120"/>
    </row>
    <row r="10" spans="1:6" x14ac:dyDescent="0.25">
      <c r="A10" s="1">
        <f>1+A9</f>
        <v>3</v>
      </c>
      <c r="B10" s="26"/>
      <c r="C10" s="26" t="s">
        <v>12</v>
      </c>
      <c r="D10" s="5">
        <v>301256</v>
      </c>
      <c r="E10" s="5">
        <f>293472611/1000</f>
        <v>293472.61099999998</v>
      </c>
      <c r="F10" s="5">
        <v>281376</v>
      </c>
    </row>
    <row r="11" spans="1:6" x14ac:dyDescent="0.25">
      <c r="A11" s="1">
        <f>1+A10</f>
        <v>4</v>
      </c>
      <c r="B11" s="26"/>
      <c r="C11" s="26" t="s">
        <v>13</v>
      </c>
      <c r="D11" s="46">
        <v>-127857</v>
      </c>
      <c r="E11" s="46">
        <f>-123935779/1000</f>
        <v>-123935.77899999999</v>
      </c>
      <c r="F11" s="46">
        <v>-119428</v>
      </c>
    </row>
    <row r="12" spans="1:6" x14ac:dyDescent="0.25">
      <c r="A12" s="1">
        <f>1+A11</f>
        <v>5</v>
      </c>
      <c r="B12" s="26"/>
      <c r="C12" s="26" t="s">
        <v>14</v>
      </c>
      <c r="D12" s="5">
        <f>+D10+D11</f>
        <v>173399</v>
      </c>
      <c r="E12" s="5">
        <f>+E10+E11</f>
        <v>169536.83199999999</v>
      </c>
      <c r="F12" s="5">
        <f>+F10+F11</f>
        <v>161948</v>
      </c>
    </row>
    <row r="13" spans="1:6" x14ac:dyDescent="0.25">
      <c r="A13" s="49"/>
      <c r="B13" s="26"/>
      <c r="C13" s="26"/>
      <c r="D13" s="130"/>
      <c r="E13" s="130"/>
      <c r="F13" s="130"/>
    </row>
    <row r="14" spans="1:6" x14ac:dyDescent="0.25">
      <c r="A14" s="49">
        <f>1+A12</f>
        <v>6</v>
      </c>
      <c r="B14" s="26" t="s">
        <v>15</v>
      </c>
      <c r="C14" s="26"/>
      <c r="D14" s="7"/>
      <c r="E14" s="7"/>
      <c r="F14" s="7"/>
    </row>
    <row r="15" spans="1:6" x14ac:dyDescent="0.25">
      <c r="A15" s="1">
        <f>1+A14</f>
        <v>7</v>
      </c>
      <c r="B15" s="26" t="s">
        <v>11</v>
      </c>
      <c r="C15" s="26"/>
      <c r="D15" s="7"/>
      <c r="E15" s="7"/>
      <c r="F15" s="7"/>
    </row>
    <row r="16" spans="1:6" x14ac:dyDescent="0.25">
      <c r="A16" s="1">
        <f>1+A15</f>
        <v>8</v>
      </c>
      <c r="B16" s="26" t="s">
        <v>16</v>
      </c>
      <c r="C16" s="26"/>
      <c r="D16" s="5">
        <v>0</v>
      </c>
      <c r="E16" s="5">
        <v>0</v>
      </c>
      <c r="F16" s="5">
        <v>19541</v>
      </c>
    </row>
    <row r="17" spans="1:6" x14ac:dyDescent="0.25">
      <c r="A17" s="1">
        <f>1+A16</f>
        <v>9</v>
      </c>
      <c r="B17" s="26" t="s">
        <v>17</v>
      </c>
      <c r="C17" s="26"/>
      <c r="D17" s="7">
        <v>67017</v>
      </c>
      <c r="E17" s="7">
        <f>67133275/1000</f>
        <v>67133.274999999994</v>
      </c>
      <c r="F17" s="7">
        <v>43318</v>
      </c>
    </row>
    <row r="18" spans="1:6" x14ac:dyDescent="0.25">
      <c r="A18" s="1">
        <f>1+A17</f>
        <v>10</v>
      </c>
      <c r="B18" s="26" t="s">
        <v>18</v>
      </c>
      <c r="C18" s="26"/>
      <c r="D18" s="7">
        <v>71843</v>
      </c>
      <c r="E18" s="7">
        <f>68340604/1000</f>
        <v>68340.604000000007</v>
      </c>
      <c r="F18" s="7">
        <v>59922</v>
      </c>
    </row>
    <row r="19" spans="1:6" ht="15.75" thickBot="1" x14ac:dyDescent="0.3">
      <c r="A19" s="1">
        <f>1+A18</f>
        <v>11</v>
      </c>
      <c r="B19" s="26" t="s">
        <v>19</v>
      </c>
      <c r="C19" s="26"/>
      <c r="D19" s="48">
        <f>SUM(D16:D18)</f>
        <v>138860</v>
      </c>
      <c r="E19" s="48">
        <f>SUM(E16:E18)</f>
        <v>135473.87900000002</v>
      </c>
      <c r="F19" s="48">
        <f>SUM(F16:F18)</f>
        <v>122781</v>
      </c>
    </row>
    <row r="20" spans="1:6" ht="15.75" thickTop="1" x14ac:dyDescent="0.25">
      <c r="A20" s="49"/>
      <c r="B20" s="26"/>
      <c r="C20" s="26"/>
      <c r="D20" s="7"/>
      <c r="E20" s="7"/>
      <c r="F20" s="5"/>
    </row>
    <row r="21" spans="1:6" x14ac:dyDescent="0.25">
      <c r="A21" s="49">
        <f>1+A19</f>
        <v>12</v>
      </c>
      <c r="B21" s="26" t="s">
        <v>20</v>
      </c>
      <c r="C21" s="26"/>
      <c r="D21" s="7"/>
      <c r="E21" s="7"/>
      <c r="F21" s="5"/>
    </row>
    <row r="22" spans="1:6" ht="15" customHeight="1" x14ac:dyDescent="0.25">
      <c r="A22" s="1">
        <f>1+A21</f>
        <v>13</v>
      </c>
      <c r="B22" s="26" t="s">
        <v>21</v>
      </c>
      <c r="C22" s="26"/>
      <c r="D22" s="5">
        <v>56738</v>
      </c>
      <c r="E22" s="5">
        <f>50679298/1000</f>
        <v>50679.298000000003</v>
      </c>
      <c r="F22" s="5">
        <v>47401</v>
      </c>
    </row>
    <row r="23" spans="1:6" x14ac:dyDescent="0.25">
      <c r="A23" s="1">
        <f>1+A22</f>
        <v>14</v>
      </c>
      <c r="B23" s="26" t="s">
        <v>22</v>
      </c>
      <c r="C23" s="26"/>
      <c r="D23" s="7">
        <f>15822+15144+9903+1</f>
        <v>40870</v>
      </c>
      <c r="E23" s="7">
        <f>(45815958-3885001-1022121)/1000</f>
        <v>40908.836000000003</v>
      </c>
      <c r="F23" s="7">
        <v>36695</v>
      </c>
    </row>
    <row r="24" spans="1:6" x14ac:dyDescent="0.25">
      <c r="A24" s="1">
        <f>1+A23</f>
        <v>15</v>
      </c>
      <c r="B24" s="26" t="s">
        <v>23</v>
      </c>
      <c r="C24" s="27"/>
      <c r="D24" s="7">
        <v>1529</v>
      </c>
      <c r="E24" s="7">
        <f>1022121/1000</f>
        <v>1022.121</v>
      </c>
      <c r="F24" s="7">
        <f>2247-1037+1</f>
        <v>1211</v>
      </c>
    </row>
    <row r="25" spans="1:6" x14ac:dyDescent="0.25">
      <c r="A25" s="1">
        <f>1+A24</f>
        <v>16</v>
      </c>
      <c r="B25" s="26" t="s">
        <v>24</v>
      </c>
      <c r="C25" s="26"/>
      <c r="D25" s="7">
        <v>3893</v>
      </c>
      <c r="E25" s="7">
        <f>3885001/1000</f>
        <v>3885.0010000000002</v>
      </c>
      <c r="F25" s="7">
        <f>3396+1</f>
        <v>3397</v>
      </c>
    </row>
    <row r="26" spans="1:6" x14ac:dyDescent="0.25">
      <c r="A26" s="1">
        <f>1+A25</f>
        <v>17</v>
      </c>
      <c r="B26" s="26" t="s">
        <v>25</v>
      </c>
      <c r="C26" s="26"/>
      <c r="D26" s="50">
        <f>D22-D23-D24-D25</f>
        <v>10446</v>
      </c>
      <c r="E26" s="50">
        <f>E22-E23-E24-E25</f>
        <v>4863.34</v>
      </c>
      <c r="F26" s="50">
        <f>F22-F23-F24-F25</f>
        <v>6098</v>
      </c>
    </row>
    <row r="27" spans="1:6" x14ac:dyDescent="0.25">
      <c r="A27" s="49"/>
      <c r="B27" s="26"/>
      <c r="C27" s="26"/>
      <c r="D27" s="7"/>
      <c r="E27" s="7"/>
      <c r="F27" s="5"/>
    </row>
    <row r="28" spans="1:6" x14ac:dyDescent="0.25">
      <c r="A28" s="49">
        <f>1+A26</f>
        <v>18</v>
      </c>
      <c r="B28" s="26" t="s">
        <v>26</v>
      </c>
      <c r="C28" s="26"/>
      <c r="D28" s="5">
        <v>1333</v>
      </c>
      <c r="E28" s="5">
        <f>843573/1000</f>
        <v>843.57299999999998</v>
      </c>
      <c r="F28" s="5">
        <v>231</v>
      </c>
    </row>
    <row r="29" spans="1:6" x14ac:dyDescent="0.25">
      <c r="A29" s="1">
        <f>1+A28</f>
        <v>19</v>
      </c>
      <c r="B29" s="26" t="s">
        <v>27</v>
      </c>
      <c r="C29" s="26"/>
      <c r="D29" s="7">
        <v>2754</v>
      </c>
      <c r="E29" s="7">
        <f>2632355/1000</f>
        <v>2632.355</v>
      </c>
      <c r="F29" s="7">
        <v>2245</v>
      </c>
    </row>
    <row r="30" spans="1:6" x14ac:dyDescent="0.25">
      <c r="A30" s="49"/>
      <c r="B30" s="26"/>
      <c r="C30" s="26"/>
      <c r="D30" s="7"/>
      <c r="E30" s="7"/>
      <c r="F30" s="5"/>
    </row>
    <row r="31" spans="1:6" ht="15.75" thickBot="1" x14ac:dyDescent="0.3">
      <c r="A31" s="49">
        <f>1+A29</f>
        <v>20</v>
      </c>
      <c r="B31" s="26" t="s">
        <v>28</v>
      </c>
      <c r="C31" s="26"/>
      <c r="D31" s="48">
        <f>+D26+D28-D29</f>
        <v>9025</v>
      </c>
      <c r="E31" s="48">
        <f>+E26+E28-E29</f>
        <v>3074.5580000000004</v>
      </c>
      <c r="F31" s="48">
        <f>F26+F28-F29</f>
        <v>4084</v>
      </c>
    </row>
    <row r="32" spans="1:6" ht="15.75" thickTop="1" x14ac:dyDescent="0.25">
      <c r="A32" s="49"/>
      <c r="B32" s="26"/>
      <c r="C32" s="26"/>
      <c r="D32" s="7"/>
      <c r="E32" s="7"/>
      <c r="F32" s="5"/>
    </row>
    <row r="33" spans="1:6" x14ac:dyDescent="0.25">
      <c r="A33" s="49"/>
      <c r="B33" s="26"/>
      <c r="C33" s="26"/>
      <c r="D33" s="7"/>
      <c r="E33" s="7"/>
      <c r="F33"/>
    </row>
    <row r="34" spans="1:6" x14ac:dyDescent="0.25">
      <c r="A34" s="49">
        <f>+A31+1</f>
        <v>21</v>
      </c>
      <c r="B34" s="28" t="s">
        <v>29</v>
      </c>
      <c r="C34" s="26"/>
      <c r="D34" s="7"/>
      <c r="E34" s="7"/>
      <c r="F34"/>
    </row>
    <row r="35" spans="1:6" x14ac:dyDescent="0.25">
      <c r="A35" s="1">
        <f>1+A34</f>
        <v>22</v>
      </c>
      <c r="B35" s="26" t="s">
        <v>30</v>
      </c>
      <c r="C35" s="26"/>
      <c r="D35" s="64">
        <f>+D29/(D16+D17)</f>
        <v>4.109405076323918E-2</v>
      </c>
      <c r="E35" s="64">
        <f>+E29/(E16+E17)</f>
        <v>3.9210883127629333E-2</v>
      </c>
      <c r="F35" s="64">
        <f>+F29/(F16+F17)</f>
        <v>3.57148538793172E-2</v>
      </c>
    </row>
    <row r="36" spans="1:6" x14ac:dyDescent="0.25">
      <c r="A36" s="49"/>
      <c r="B36" s="26"/>
      <c r="C36" s="26"/>
      <c r="D36" s="65"/>
      <c r="E36" s="65"/>
      <c r="F36"/>
    </row>
    <row r="37" spans="1:6" x14ac:dyDescent="0.25">
      <c r="A37" s="49">
        <f>1+A35</f>
        <v>23</v>
      </c>
      <c r="B37" s="28" t="s">
        <v>31</v>
      </c>
      <c r="C37" s="26"/>
      <c r="D37" s="65"/>
      <c r="E37" s="65"/>
      <c r="F37"/>
    </row>
    <row r="38" spans="1:6" x14ac:dyDescent="0.25">
      <c r="A38" s="1">
        <f>1+A37</f>
        <v>24</v>
      </c>
      <c r="B38" s="26" t="s">
        <v>32</v>
      </c>
      <c r="C38" s="26"/>
      <c r="D38" s="65">
        <f>+'SUPPORT-Delta Calculations'!F87</f>
        <v>4.8322440087145972</v>
      </c>
      <c r="E38" s="65">
        <f>+'SUPPORT-Delta Calculations'!G87</f>
        <v>2.5562790733012832</v>
      </c>
      <c r="F38" s="61">
        <f>'SUPPORT-Delta Calculations'!J87</f>
        <v>3.3585746102449887</v>
      </c>
    </row>
    <row r="39" spans="1:6" x14ac:dyDescent="0.25">
      <c r="A39" s="49"/>
      <c r="B39" s="26"/>
      <c r="C39" s="26"/>
      <c r="D39" s="47"/>
      <c r="E39" s="47"/>
      <c r="F39"/>
    </row>
    <row r="40" spans="1:6" x14ac:dyDescent="0.25">
      <c r="A40" s="49">
        <f>1+A38</f>
        <v>25</v>
      </c>
      <c r="B40" s="28" t="s">
        <v>33</v>
      </c>
      <c r="C40" s="26"/>
      <c r="D40" s="62" t="s">
        <v>34</v>
      </c>
      <c r="E40" s="62" t="s">
        <v>34</v>
      </c>
      <c r="F40" s="63" t="s">
        <v>34</v>
      </c>
    </row>
    <row r="41" spans="1:6" x14ac:dyDescent="0.25">
      <c r="A41" s="49"/>
      <c r="B41" s="28"/>
      <c r="C41" s="26"/>
      <c r="D41" s="7"/>
      <c r="E41" s="7"/>
      <c r="F41" s="5"/>
    </row>
    <row r="42" spans="1:6" x14ac:dyDescent="0.25">
      <c r="A42" s="49">
        <f>1+A40</f>
        <v>26</v>
      </c>
      <c r="B42" s="28" t="s">
        <v>35</v>
      </c>
      <c r="C42" s="26"/>
      <c r="D42" s="62" t="s">
        <v>34</v>
      </c>
      <c r="E42" s="62" t="s">
        <v>34</v>
      </c>
      <c r="F42" s="63" t="s">
        <v>34</v>
      </c>
    </row>
    <row r="43" spans="1:6" x14ac:dyDescent="0.25">
      <c r="A43" s="1">
        <f>1+A42</f>
        <v>27</v>
      </c>
      <c r="B43" s="26" t="s">
        <v>36</v>
      </c>
      <c r="C43" s="26"/>
      <c r="D43" s="62" t="s">
        <v>34</v>
      </c>
      <c r="E43" s="62" t="s">
        <v>34</v>
      </c>
      <c r="F43" s="62" t="s">
        <v>34</v>
      </c>
    </row>
    <row r="44" spans="1:6" x14ac:dyDescent="0.25">
      <c r="A44" s="1">
        <f>1+A43</f>
        <v>28</v>
      </c>
      <c r="B44" s="26" t="s">
        <v>37</v>
      </c>
      <c r="C44" s="26"/>
      <c r="D44" s="62" t="str">
        <f t="shared" ref="D44:F46" si="0">$D$42</f>
        <v>n/a</v>
      </c>
      <c r="E44" s="62" t="str">
        <f t="shared" si="0"/>
        <v>n/a</v>
      </c>
      <c r="F44" s="62" t="str">
        <f t="shared" si="0"/>
        <v>n/a</v>
      </c>
    </row>
    <row r="45" spans="1:6" x14ac:dyDescent="0.25">
      <c r="A45" s="1">
        <f>1+A44</f>
        <v>29</v>
      </c>
      <c r="B45" s="26" t="s">
        <v>38</v>
      </c>
      <c r="C45" s="26"/>
      <c r="D45" s="62" t="str">
        <f t="shared" si="0"/>
        <v>n/a</v>
      </c>
      <c r="E45" s="62" t="str">
        <f t="shared" si="0"/>
        <v>n/a</v>
      </c>
      <c r="F45" s="62" t="str">
        <f t="shared" si="0"/>
        <v>n/a</v>
      </c>
    </row>
    <row r="46" spans="1:6" x14ac:dyDescent="0.25">
      <c r="A46" s="1">
        <f>1+A45</f>
        <v>30</v>
      </c>
      <c r="B46" s="26" t="s">
        <v>39</v>
      </c>
      <c r="C46" s="26"/>
      <c r="D46" s="62" t="str">
        <f t="shared" si="0"/>
        <v>n/a</v>
      </c>
      <c r="E46" s="62" t="str">
        <f t="shared" si="0"/>
        <v>n/a</v>
      </c>
      <c r="F46" s="62" t="str">
        <f t="shared" si="0"/>
        <v>n/a</v>
      </c>
    </row>
    <row r="47" spans="1:6" x14ac:dyDescent="0.25">
      <c r="A47" s="49"/>
      <c r="B47" s="26"/>
      <c r="C47" s="26"/>
      <c r="D47" s="7"/>
      <c r="E47" s="7"/>
      <c r="F47" s="5"/>
    </row>
    <row r="48" spans="1:6" x14ac:dyDescent="0.25">
      <c r="A48" s="49">
        <f>1+A46</f>
        <v>31</v>
      </c>
      <c r="B48" s="26" t="s">
        <v>40</v>
      </c>
      <c r="C48" s="26"/>
      <c r="D48" s="62" t="str">
        <f t="shared" ref="D48:F52" si="1">$D$42</f>
        <v>n/a</v>
      </c>
      <c r="E48" s="62" t="str">
        <f t="shared" si="1"/>
        <v>n/a</v>
      </c>
      <c r="F48" s="62" t="str">
        <f t="shared" si="1"/>
        <v>n/a</v>
      </c>
    </row>
    <row r="49" spans="1:6" x14ac:dyDescent="0.25">
      <c r="A49" s="1">
        <f>1+A48</f>
        <v>32</v>
      </c>
      <c r="B49" s="26" t="s">
        <v>41</v>
      </c>
      <c r="C49" s="26"/>
      <c r="D49" s="62" t="str">
        <f t="shared" si="1"/>
        <v>n/a</v>
      </c>
      <c r="E49" s="62" t="str">
        <f t="shared" si="1"/>
        <v>n/a</v>
      </c>
      <c r="F49" s="62" t="str">
        <f t="shared" si="1"/>
        <v>n/a</v>
      </c>
    </row>
    <row r="50" spans="1:6" x14ac:dyDescent="0.25">
      <c r="A50" s="1">
        <f>1+A49</f>
        <v>33</v>
      </c>
      <c r="B50" s="26" t="s">
        <v>42</v>
      </c>
      <c r="C50" s="26"/>
      <c r="D50" s="62" t="str">
        <f t="shared" si="1"/>
        <v>n/a</v>
      </c>
      <c r="E50" s="62" t="str">
        <f t="shared" si="1"/>
        <v>n/a</v>
      </c>
      <c r="F50" s="62" t="str">
        <f t="shared" si="1"/>
        <v>n/a</v>
      </c>
    </row>
    <row r="51" spans="1:6" x14ac:dyDescent="0.25">
      <c r="A51" s="1">
        <f>1+A50</f>
        <v>34</v>
      </c>
      <c r="B51" s="26" t="s">
        <v>43</v>
      </c>
      <c r="C51" s="26"/>
      <c r="D51" s="62" t="str">
        <f t="shared" si="1"/>
        <v>n/a</v>
      </c>
      <c r="E51" s="62" t="str">
        <f t="shared" si="1"/>
        <v>n/a</v>
      </c>
      <c r="F51" s="62" t="str">
        <f t="shared" si="1"/>
        <v>n/a</v>
      </c>
    </row>
    <row r="52" spans="1:6" x14ac:dyDescent="0.25">
      <c r="A52" s="1">
        <f>1+A51</f>
        <v>35</v>
      </c>
      <c r="B52" s="26" t="s">
        <v>44</v>
      </c>
      <c r="C52" s="26"/>
      <c r="D52" s="62" t="str">
        <f t="shared" si="1"/>
        <v>n/a</v>
      </c>
      <c r="E52" s="62" t="str">
        <f t="shared" si="1"/>
        <v>n/a</v>
      </c>
      <c r="F52" s="62" t="str">
        <f t="shared" si="1"/>
        <v>n/a</v>
      </c>
    </row>
    <row r="53" spans="1:6" x14ac:dyDescent="0.25">
      <c r="A53" s="49"/>
      <c r="B53" s="26"/>
      <c r="C53" s="26"/>
      <c r="D53" s="7"/>
      <c r="E53" s="7"/>
      <c r="F53" s="5"/>
    </row>
    <row r="54" spans="1:6" x14ac:dyDescent="0.25">
      <c r="A54" s="49">
        <f>1+A52</f>
        <v>36</v>
      </c>
      <c r="B54" s="26" t="s">
        <v>45</v>
      </c>
      <c r="C54" s="26"/>
      <c r="D54" s="62" t="str">
        <f>$D$42</f>
        <v>n/a</v>
      </c>
      <c r="E54" s="62" t="str">
        <f>$D$42</f>
        <v>n/a</v>
      </c>
      <c r="F54" s="62" t="str">
        <f>$D$42</f>
        <v>n/a</v>
      </c>
    </row>
    <row r="55" spans="1:6" x14ac:dyDescent="0.25">
      <c r="A55" s="49"/>
      <c r="B55" s="26"/>
      <c r="C55" s="26"/>
      <c r="D55" s="7"/>
      <c r="E55" s="7"/>
      <c r="F55"/>
    </row>
    <row r="56" spans="1:6" x14ac:dyDescent="0.25">
      <c r="A56" s="49">
        <f>1+A54</f>
        <v>37</v>
      </c>
      <c r="B56" s="28" t="s">
        <v>46</v>
      </c>
      <c r="C56" s="26"/>
      <c r="D56" s="7"/>
      <c r="E56" s="7"/>
      <c r="F56"/>
    </row>
    <row r="57" spans="1:6" x14ac:dyDescent="0.25">
      <c r="A57" s="1">
        <f>1+A56</f>
        <v>38</v>
      </c>
      <c r="B57" s="26" t="s">
        <v>47</v>
      </c>
      <c r="C57" s="26"/>
      <c r="D57" s="51">
        <f>+'SUPPORT-Delta Calculations'!F97</f>
        <v>0.12162620672814205</v>
      </c>
      <c r="E57" s="51">
        <f>+'SUPPORT-Delta Calculations'!G97</f>
        <v>4.9119208320338177E-2</v>
      </c>
      <c r="F57" s="51">
        <f>+'SUPPORT-Delta Calculations'!J97</f>
        <v>6.9950072365096899E-2</v>
      </c>
    </row>
    <row r="58" spans="1:6" x14ac:dyDescent="0.25">
      <c r="A58" s="1">
        <f>1+A57</f>
        <v>39</v>
      </c>
      <c r="B58" s="26" t="s">
        <v>48</v>
      </c>
      <c r="C58" s="26"/>
      <c r="D58" s="51">
        <f>+'SUPPORT-Delta Calculations'!F112</f>
        <v>6.2150544665320023E-2</v>
      </c>
      <c r="E58" s="51">
        <f>+'SUPPORT-Delta Calculations'!G112</f>
        <v>2.6130770997162562E-2</v>
      </c>
      <c r="F58" s="51">
        <f>+'SUPPORT-Delta Calculations'!J112</f>
        <v>3.7983630952380949E-2</v>
      </c>
    </row>
    <row r="59" spans="1:6" x14ac:dyDescent="0.25">
      <c r="A59" s="1">
        <f>1+A58</f>
        <v>40</v>
      </c>
      <c r="B59" s="26" t="s">
        <v>49</v>
      </c>
      <c r="C59" s="26"/>
      <c r="D59" s="51" t="e">
        <f>+'SUPPORT-Delta Calculations'!F121</f>
        <v>#REF!</v>
      </c>
      <c r="E59" s="51">
        <f>+'SUPPORT-Delta Calculations'!G121</f>
        <v>9.5362681396280111E-3</v>
      </c>
      <c r="F59" s="51">
        <f>+'SUPPORT-Delta Calculations'!J121</f>
        <v>1.319517813813581E-2</v>
      </c>
    </row>
    <row r="60" spans="1:6" x14ac:dyDescent="0.25">
      <c r="A60" s="26"/>
      <c r="B60" s="26"/>
      <c r="C60" s="26"/>
      <c r="D60" s="7"/>
      <c r="E60" s="7"/>
      <c r="F60"/>
    </row>
    <row r="61" spans="1:6" x14ac:dyDescent="0.25">
      <c r="A61" s="49">
        <f>1+A59</f>
        <v>41</v>
      </c>
      <c r="B61" s="28" t="s">
        <v>50</v>
      </c>
      <c r="C61" s="26"/>
      <c r="D61" s="52">
        <f>+'SUPPORT-Delta Calculations'!F72</f>
        <v>3.1445853360596972E-2</v>
      </c>
      <c r="E61" s="52">
        <f>+'SUPPORT-Delta Calculations'!G72</f>
        <v>2.7740159370442923E-2</v>
      </c>
      <c r="F61" s="52">
        <f>+'SUPPORT-Delta Calculations'!J72</f>
        <v>2.773142698737632E-2</v>
      </c>
    </row>
    <row r="62" spans="1:6" x14ac:dyDescent="0.25">
      <c r="A62" s="26"/>
      <c r="B62" s="26"/>
      <c r="C62" s="26"/>
      <c r="D62" s="7"/>
    </row>
    <row r="63" spans="1:6" x14ac:dyDescent="0.25">
      <c r="B63" t="s">
        <v>51</v>
      </c>
    </row>
    <row r="64" spans="1:6" x14ac:dyDescent="0.25">
      <c r="B64" t="s">
        <v>52</v>
      </c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9"/>
  <sheetViews>
    <sheetView zoomScaleNormal="100" zoomScaleSheetLayoutView="90" workbookViewId="0">
      <pane xSplit="3" ySplit="8" topLeftCell="D27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RowHeight="15" x14ac:dyDescent="0.25"/>
  <cols>
    <col min="1" max="1" width="8.28515625" bestFit="1" customWidth="1"/>
    <col min="2" max="2" width="5.5703125" customWidth="1"/>
    <col min="3" max="3" width="50.7109375" bestFit="1" customWidth="1"/>
    <col min="4" max="7" width="15" bestFit="1" customWidth="1"/>
    <col min="8" max="13" width="13.140625" customWidth="1"/>
    <col min="16" max="16" width="28" bestFit="1" customWidth="1"/>
    <col min="17" max="20" width="14.140625" customWidth="1"/>
  </cols>
  <sheetData>
    <row r="1" spans="1:13" x14ac:dyDescent="0.25">
      <c r="C1" s="68" t="s">
        <v>0</v>
      </c>
      <c r="D1" s="19" t="s">
        <v>53</v>
      </c>
      <c r="E1" s="8"/>
    </row>
    <row r="2" spans="1:13" x14ac:dyDescent="0.25">
      <c r="C2" s="68" t="s">
        <v>2</v>
      </c>
      <c r="D2" s="69" t="s">
        <v>3</v>
      </c>
      <c r="E2" s="8"/>
    </row>
    <row r="3" spans="1:13" x14ac:dyDescent="0.25">
      <c r="C3" s="68" t="s">
        <v>4</v>
      </c>
      <c r="D3" s="8"/>
      <c r="E3" s="8"/>
    </row>
    <row r="5" spans="1:13" x14ac:dyDescent="0.25">
      <c r="A5" t="s">
        <v>0</v>
      </c>
    </row>
    <row r="7" spans="1:13" x14ac:dyDescent="0.25">
      <c r="A7" t="s">
        <v>5</v>
      </c>
      <c r="B7" t="s">
        <v>6</v>
      </c>
    </row>
    <row r="8" spans="1:13" x14ac:dyDescent="0.25">
      <c r="D8" s="1">
        <v>2020</v>
      </c>
      <c r="E8" s="1">
        <v>2019</v>
      </c>
      <c r="F8" s="1">
        <v>2018</v>
      </c>
      <c r="G8" s="1">
        <v>2017</v>
      </c>
      <c r="H8" s="1">
        <v>2016</v>
      </c>
      <c r="I8" s="1">
        <v>2015</v>
      </c>
      <c r="J8" s="1">
        <v>2014</v>
      </c>
      <c r="K8" s="1">
        <v>2013</v>
      </c>
      <c r="L8" s="1">
        <v>2012</v>
      </c>
      <c r="M8" s="1">
        <v>2011</v>
      </c>
    </row>
    <row r="9" spans="1:13" x14ac:dyDescent="0.25">
      <c r="A9" s="1">
        <v>1</v>
      </c>
      <c r="B9" s="29" t="s">
        <v>10</v>
      </c>
      <c r="G9" s="3"/>
    </row>
    <row r="10" spans="1:13" x14ac:dyDescent="0.25">
      <c r="A10" s="1">
        <v>2</v>
      </c>
      <c r="B10" t="s">
        <v>11</v>
      </c>
      <c r="G10" s="3"/>
    </row>
    <row r="11" spans="1:13" x14ac:dyDescent="0.25">
      <c r="A11" s="1">
        <v>3</v>
      </c>
      <c r="C11" t="s">
        <v>54</v>
      </c>
      <c r="D11" s="5">
        <v>143466</v>
      </c>
      <c r="E11" s="6">
        <v>138983</v>
      </c>
      <c r="F11" s="6">
        <v>130183</v>
      </c>
      <c r="G11" s="6">
        <v>126218</v>
      </c>
      <c r="H11" s="6">
        <v>123349</v>
      </c>
      <c r="I11" s="6">
        <v>119537</v>
      </c>
      <c r="J11" s="6">
        <v>117226</v>
      </c>
      <c r="K11" s="6">
        <v>113536</v>
      </c>
      <c r="L11" s="6">
        <v>110523</v>
      </c>
      <c r="M11" s="6">
        <v>105608</v>
      </c>
    </row>
    <row r="12" spans="1:13" x14ac:dyDescent="0.25">
      <c r="A12" s="1">
        <v>4</v>
      </c>
      <c r="C12" t="s">
        <v>55</v>
      </c>
      <c r="D12" s="7">
        <v>19759</v>
      </c>
      <c r="E12" s="8">
        <v>19996</v>
      </c>
      <c r="F12" s="8">
        <v>23181</v>
      </c>
      <c r="G12" s="8">
        <v>24267</v>
      </c>
      <c r="H12" s="8">
        <v>23888</v>
      </c>
      <c r="I12" s="8">
        <v>23644</v>
      </c>
      <c r="J12" s="8">
        <v>23033</v>
      </c>
      <c r="K12" s="8">
        <v>22782</v>
      </c>
      <c r="L12" s="8">
        <v>22596</v>
      </c>
      <c r="M12" s="8">
        <v>22579</v>
      </c>
    </row>
    <row r="13" spans="1:13" x14ac:dyDescent="0.25">
      <c r="A13" s="1">
        <v>5</v>
      </c>
      <c r="C13" t="s">
        <v>56</v>
      </c>
      <c r="D13" s="7">
        <v>4999</v>
      </c>
      <c r="E13" s="8">
        <v>4578</v>
      </c>
      <c r="F13" s="8">
        <v>53</v>
      </c>
      <c r="G13" s="8">
        <v>53</v>
      </c>
      <c r="H13" s="8">
        <v>53</v>
      </c>
      <c r="I13" s="8">
        <v>53</v>
      </c>
      <c r="J13" s="8">
        <v>53</v>
      </c>
      <c r="K13" s="8">
        <v>53</v>
      </c>
      <c r="L13" s="8">
        <v>53</v>
      </c>
      <c r="M13" s="8">
        <v>53</v>
      </c>
    </row>
    <row r="14" spans="1:13" x14ac:dyDescent="0.25">
      <c r="A14" s="1">
        <v>6</v>
      </c>
      <c r="C14" t="s">
        <v>57</v>
      </c>
      <c r="D14" s="7">
        <v>3664</v>
      </c>
      <c r="E14" s="8">
        <v>3562</v>
      </c>
      <c r="F14" s="8">
        <v>3130</v>
      </c>
      <c r="G14" s="8">
        <v>3347</v>
      </c>
      <c r="H14" s="8">
        <v>3212</v>
      </c>
      <c r="I14" s="8">
        <v>3104</v>
      </c>
      <c r="J14" s="8">
        <v>3051</v>
      </c>
      <c r="K14" s="8">
        <v>3051</v>
      </c>
      <c r="L14" s="8">
        <v>3050</v>
      </c>
      <c r="M14" s="8">
        <v>3036</v>
      </c>
    </row>
    <row r="15" spans="1:13" x14ac:dyDescent="0.25">
      <c r="A15" s="1">
        <v>7</v>
      </c>
      <c r="C15" t="s">
        <v>58</v>
      </c>
      <c r="D15" s="7">
        <v>30477</v>
      </c>
      <c r="E15" s="8">
        <v>30476</v>
      </c>
      <c r="F15" s="8">
        <v>30405</v>
      </c>
      <c r="G15" s="8">
        <v>30273</v>
      </c>
      <c r="H15" s="8">
        <v>25960</v>
      </c>
      <c r="I15" s="8">
        <v>25857</v>
      </c>
      <c r="J15" s="8">
        <v>25633</v>
      </c>
      <c r="K15" s="8">
        <v>22478</v>
      </c>
      <c r="L15" s="8">
        <v>20945</v>
      </c>
      <c r="M15" s="8">
        <v>20192</v>
      </c>
    </row>
    <row r="16" spans="1:13" x14ac:dyDescent="0.25">
      <c r="A16" s="1">
        <v>8</v>
      </c>
      <c r="C16" t="s">
        <v>59</v>
      </c>
      <c r="D16" s="7">
        <v>62658</v>
      </c>
      <c r="E16" s="8">
        <v>61594</v>
      </c>
      <c r="F16" s="8">
        <v>60800</v>
      </c>
      <c r="G16" s="8">
        <v>60481</v>
      </c>
      <c r="H16" s="8">
        <v>60585</v>
      </c>
      <c r="I16" s="8">
        <v>60176</v>
      </c>
      <c r="J16" s="8">
        <v>58627</v>
      </c>
      <c r="K16" s="8">
        <v>57528</v>
      </c>
      <c r="L16" s="8">
        <v>55777</v>
      </c>
      <c r="M16" s="8">
        <v>55546</v>
      </c>
    </row>
    <row r="17" spans="1:14" x14ac:dyDescent="0.25">
      <c r="A17" s="1">
        <v>9</v>
      </c>
      <c r="C17" t="s">
        <v>60</v>
      </c>
      <c r="D17" s="7">
        <v>265024</v>
      </c>
      <c r="E17" s="7">
        <v>259190</v>
      </c>
      <c r="F17" s="7">
        <v>247752</v>
      </c>
      <c r="G17" s="7">
        <v>244639</v>
      </c>
      <c r="H17" s="7">
        <v>237047</v>
      </c>
      <c r="I17" s="7">
        <v>232371</v>
      </c>
      <c r="J17" s="7">
        <v>227623</v>
      </c>
      <c r="K17" s="7">
        <v>219428</v>
      </c>
      <c r="L17" s="7">
        <v>212944</v>
      </c>
      <c r="M17" s="7">
        <v>207015</v>
      </c>
    </row>
    <row r="18" spans="1:14" x14ac:dyDescent="0.25">
      <c r="A18" s="1">
        <v>10</v>
      </c>
      <c r="C18" t="s">
        <v>13</v>
      </c>
      <c r="D18" s="7">
        <v>116730</v>
      </c>
      <c r="E18" s="8">
        <v>114231</v>
      </c>
      <c r="F18" s="8">
        <v>111218</v>
      </c>
      <c r="G18" s="8">
        <v>107443</v>
      </c>
      <c r="H18" s="8">
        <v>102904</v>
      </c>
      <c r="I18" s="8">
        <v>97770</v>
      </c>
      <c r="J18" s="8">
        <v>92196</v>
      </c>
      <c r="K18" s="8">
        <v>87512</v>
      </c>
      <c r="L18" s="8">
        <v>82791</v>
      </c>
      <c r="M18" s="8">
        <v>78118</v>
      </c>
    </row>
    <row r="19" spans="1:14" x14ac:dyDescent="0.25">
      <c r="A19" s="1">
        <v>11</v>
      </c>
      <c r="C19" t="s">
        <v>14</v>
      </c>
      <c r="D19" s="22">
        <v>148294</v>
      </c>
      <c r="E19" s="23">
        <v>144959</v>
      </c>
      <c r="F19" s="23">
        <v>136534</v>
      </c>
      <c r="G19" s="23">
        <v>137196</v>
      </c>
      <c r="H19" s="23">
        <v>134143</v>
      </c>
      <c r="I19" s="23">
        <v>134601</v>
      </c>
      <c r="J19" s="23">
        <v>135428</v>
      </c>
      <c r="K19" s="23">
        <v>131916</v>
      </c>
      <c r="L19" s="23">
        <v>130153</v>
      </c>
      <c r="M19" s="23">
        <v>128896</v>
      </c>
      <c r="N19" s="24"/>
    </row>
    <row r="20" spans="1:14" x14ac:dyDescent="0.25">
      <c r="A20" s="1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4" x14ac:dyDescent="0.25">
      <c r="A21" s="1">
        <v>11</v>
      </c>
      <c r="B21" t="s">
        <v>61</v>
      </c>
      <c r="D21" s="9">
        <v>4576</v>
      </c>
      <c r="E21" s="10">
        <v>2600</v>
      </c>
      <c r="F21" s="10">
        <v>1326</v>
      </c>
      <c r="G21" s="10">
        <v>565</v>
      </c>
      <c r="H21" s="10">
        <v>1901</v>
      </c>
      <c r="I21" s="10">
        <v>996</v>
      </c>
      <c r="J21" s="10">
        <v>-374</v>
      </c>
      <c r="K21" s="10">
        <v>1223</v>
      </c>
      <c r="L21" s="10">
        <v>1245</v>
      </c>
      <c r="M21" s="10">
        <v>885</v>
      </c>
    </row>
    <row r="22" spans="1:14" x14ac:dyDescent="0.25">
      <c r="A22" s="1"/>
      <c r="E22" s="3"/>
      <c r="G22" s="3"/>
    </row>
    <row r="23" spans="1:14" ht="15.75" thickBot="1" x14ac:dyDescent="0.3">
      <c r="A23" s="1">
        <v>12</v>
      </c>
      <c r="B23" t="s">
        <v>62</v>
      </c>
      <c r="D23" s="11">
        <v>152870</v>
      </c>
      <c r="E23" s="11">
        <v>147559</v>
      </c>
      <c r="F23" s="11">
        <v>137860</v>
      </c>
      <c r="G23" s="11">
        <v>137761</v>
      </c>
      <c r="H23" s="11">
        <v>136044</v>
      </c>
      <c r="I23" s="11">
        <v>135597</v>
      </c>
      <c r="J23" s="11">
        <v>135053</v>
      </c>
      <c r="K23" s="11">
        <v>133139</v>
      </c>
      <c r="L23" s="11">
        <v>131397</v>
      </c>
      <c r="M23" s="11">
        <v>129781</v>
      </c>
    </row>
    <row r="24" spans="1:14" ht="15.75" thickTop="1" x14ac:dyDescent="0.25">
      <c r="A24" s="1"/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1:14" x14ac:dyDescent="0.25">
      <c r="A25" s="1">
        <v>13</v>
      </c>
      <c r="B25" s="29" t="s">
        <v>15</v>
      </c>
      <c r="D25" s="1"/>
      <c r="E25" s="1"/>
      <c r="F25" s="1"/>
      <c r="G25" s="1"/>
      <c r="H25" s="1"/>
    </row>
    <row r="26" spans="1:14" x14ac:dyDescent="0.25">
      <c r="A26" s="1">
        <v>14</v>
      </c>
      <c r="B26" t="s">
        <v>11</v>
      </c>
      <c r="G26" s="3"/>
    </row>
    <row r="27" spans="1:14" x14ac:dyDescent="0.25">
      <c r="A27" s="1">
        <v>15</v>
      </c>
      <c r="B27" t="s">
        <v>16</v>
      </c>
      <c r="D27" s="6">
        <v>15783</v>
      </c>
      <c r="E27" s="6">
        <v>4337</v>
      </c>
      <c r="F27" s="6">
        <v>3348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4" x14ac:dyDescent="0.25">
      <c r="A28" s="1">
        <v>16</v>
      </c>
      <c r="B28" t="s">
        <v>17</v>
      </c>
      <c r="D28" s="8">
        <v>43000</v>
      </c>
      <c r="E28" s="8">
        <v>44500</v>
      </c>
      <c r="F28" s="8">
        <v>47500</v>
      </c>
      <c r="G28" s="8">
        <v>49000</v>
      </c>
      <c r="H28" s="8">
        <v>50500</v>
      </c>
      <c r="I28" s="8">
        <v>52000</v>
      </c>
      <c r="J28" s="8">
        <v>53500</v>
      </c>
      <c r="K28" s="8">
        <v>53500</v>
      </c>
      <c r="L28" s="8">
        <v>55000</v>
      </c>
      <c r="M28" s="8">
        <v>56500</v>
      </c>
    </row>
    <row r="29" spans="1:14" x14ac:dyDescent="0.25">
      <c r="A29" s="1">
        <v>17</v>
      </c>
      <c r="B29" t="s">
        <v>18</v>
      </c>
      <c r="D29" s="8">
        <v>56847</v>
      </c>
      <c r="E29" s="8">
        <v>67300</v>
      </c>
      <c r="F29" s="8">
        <v>65166</v>
      </c>
      <c r="G29" s="8">
        <v>69750</v>
      </c>
      <c r="H29" s="8">
        <v>77100</v>
      </c>
      <c r="I29" s="8">
        <v>76006</v>
      </c>
      <c r="J29" s="8">
        <v>75350</v>
      </c>
      <c r="K29" s="8">
        <v>71597</v>
      </c>
      <c r="L29" s="8">
        <v>67712</v>
      </c>
      <c r="M29" s="8">
        <v>63963</v>
      </c>
    </row>
    <row r="30" spans="1:14" ht="15.75" thickBot="1" x14ac:dyDescent="0.3">
      <c r="A30" s="1">
        <v>18</v>
      </c>
      <c r="B30" t="s">
        <v>19</v>
      </c>
      <c r="D30" s="11">
        <v>115630</v>
      </c>
      <c r="E30" s="11">
        <v>116137</v>
      </c>
      <c r="F30" s="11">
        <v>116014</v>
      </c>
      <c r="G30" s="11">
        <v>118750</v>
      </c>
      <c r="H30" s="11">
        <v>127600</v>
      </c>
      <c r="I30" s="11">
        <v>128006</v>
      </c>
      <c r="J30" s="11">
        <v>128850</v>
      </c>
      <c r="K30" s="11">
        <v>125097</v>
      </c>
      <c r="L30" s="11">
        <v>122712</v>
      </c>
      <c r="M30" s="11">
        <v>120463</v>
      </c>
    </row>
    <row r="31" spans="1:14" ht="15.75" thickTop="1" x14ac:dyDescent="0.25">
      <c r="A31" s="1"/>
      <c r="G31" s="3"/>
    </row>
    <row r="32" spans="1:14" x14ac:dyDescent="0.25">
      <c r="A32" s="1">
        <v>19</v>
      </c>
      <c r="B32" s="29" t="s">
        <v>20</v>
      </c>
      <c r="G32" s="3"/>
    </row>
    <row r="33" spans="1:13" x14ac:dyDescent="0.25">
      <c r="A33" s="1">
        <v>20</v>
      </c>
      <c r="B33" t="s">
        <v>21</v>
      </c>
      <c r="D33" s="6">
        <v>43855</v>
      </c>
      <c r="E33" s="6">
        <v>47621</v>
      </c>
      <c r="F33" s="6">
        <v>49586</v>
      </c>
      <c r="G33" s="6">
        <v>48563</v>
      </c>
      <c r="H33" s="6">
        <v>46352</v>
      </c>
      <c r="I33" s="6">
        <v>51178</v>
      </c>
      <c r="J33" s="6">
        <v>61314</v>
      </c>
      <c r="K33" s="6">
        <v>54437</v>
      </c>
      <c r="L33" s="6">
        <v>47008</v>
      </c>
      <c r="M33" s="6">
        <v>51184</v>
      </c>
    </row>
    <row r="34" spans="1:13" x14ac:dyDescent="0.25">
      <c r="A34" s="1">
        <v>21</v>
      </c>
      <c r="B34" t="s">
        <v>22</v>
      </c>
      <c r="D34" s="8">
        <v>32478</v>
      </c>
      <c r="E34" s="8">
        <v>34073</v>
      </c>
      <c r="F34" s="8">
        <v>36670</v>
      </c>
      <c r="G34" s="8">
        <v>34012</v>
      </c>
      <c r="H34" s="8">
        <v>32230</v>
      </c>
      <c r="I34" s="8">
        <v>37603</v>
      </c>
      <c r="J34" s="8">
        <v>45828</v>
      </c>
      <c r="K34" s="8">
        <v>39636</v>
      </c>
      <c r="L34" s="8">
        <v>33858</v>
      </c>
      <c r="M34" s="8">
        <v>36785</v>
      </c>
    </row>
    <row r="35" spans="1:13" x14ac:dyDescent="0.25">
      <c r="A35" s="1">
        <v>22</v>
      </c>
      <c r="B35" t="s">
        <v>23</v>
      </c>
      <c r="C35" s="3"/>
      <c r="D35" s="8">
        <v>891</v>
      </c>
      <c r="E35" s="8">
        <v>1387</v>
      </c>
      <c r="F35" s="8">
        <v>1891</v>
      </c>
      <c r="G35" s="8">
        <v>3259</v>
      </c>
      <c r="H35" s="8">
        <v>1518</v>
      </c>
      <c r="I35" s="8">
        <v>2443</v>
      </c>
      <c r="J35" s="8">
        <v>3454</v>
      </c>
      <c r="K35" s="8">
        <v>2430</v>
      </c>
      <c r="L35" s="8">
        <v>-368</v>
      </c>
      <c r="M35" s="8">
        <v>802</v>
      </c>
    </row>
    <row r="36" spans="1:13" x14ac:dyDescent="0.25">
      <c r="A36" s="1">
        <v>23</v>
      </c>
      <c r="B36" t="s">
        <v>63</v>
      </c>
      <c r="D36" s="8">
        <v>-412</v>
      </c>
      <c r="E36" s="8">
        <v>-377</v>
      </c>
      <c r="F36" s="12">
        <v>1528</v>
      </c>
      <c r="G36" s="8">
        <v>455</v>
      </c>
      <c r="H36" s="13">
        <v>1688</v>
      </c>
      <c r="I36" s="8">
        <v>496</v>
      </c>
      <c r="J36" s="8">
        <v>176</v>
      </c>
      <c r="K36" s="8">
        <v>1079</v>
      </c>
      <c r="L36" s="8">
        <v>3224</v>
      </c>
      <c r="M36" s="8">
        <v>2387</v>
      </c>
    </row>
    <row r="37" spans="1:13" x14ac:dyDescent="0.25">
      <c r="A37" s="1">
        <v>24</v>
      </c>
      <c r="B37" t="s">
        <v>24</v>
      </c>
      <c r="D37" s="8">
        <v>3575</v>
      </c>
      <c r="E37" s="8">
        <v>3285</v>
      </c>
      <c r="F37" s="8">
        <v>3217</v>
      </c>
      <c r="G37" s="8">
        <v>3175</v>
      </c>
      <c r="H37" s="8">
        <v>2761</v>
      </c>
      <c r="I37" s="8">
        <v>2856</v>
      </c>
      <c r="J37" s="8">
        <v>2570</v>
      </c>
      <c r="K37" s="8">
        <v>2261</v>
      </c>
      <c r="L37" s="8">
        <v>2143</v>
      </c>
      <c r="M37" s="8">
        <v>2005</v>
      </c>
    </row>
    <row r="38" spans="1:13" x14ac:dyDescent="0.25">
      <c r="A38" s="1">
        <v>25</v>
      </c>
      <c r="B38" t="s">
        <v>64</v>
      </c>
      <c r="D38" s="8">
        <v>0</v>
      </c>
      <c r="E38" s="8">
        <v>0</v>
      </c>
      <c r="F38" s="8">
        <v>0</v>
      </c>
      <c r="G38" s="8">
        <v>0</v>
      </c>
      <c r="H38" s="13">
        <v>-5</v>
      </c>
      <c r="I38" s="8">
        <v>-12</v>
      </c>
      <c r="J38" s="8">
        <v>-15</v>
      </c>
      <c r="K38" s="8">
        <v>-19</v>
      </c>
      <c r="L38" s="8">
        <v>-23</v>
      </c>
      <c r="M38" s="8">
        <v>-26</v>
      </c>
    </row>
    <row r="39" spans="1:13" x14ac:dyDescent="0.25">
      <c r="A39" s="1">
        <v>26</v>
      </c>
      <c r="B39" t="s">
        <v>25</v>
      </c>
      <c r="D39" s="14">
        <v>7323</v>
      </c>
      <c r="E39" s="14">
        <v>9253</v>
      </c>
      <c r="F39" s="14">
        <v>6280</v>
      </c>
      <c r="G39" s="14">
        <v>7662</v>
      </c>
      <c r="H39" s="14">
        <v>8160</v>
      </c>
      <c r="I39" s="14">
        <v>7792</v>
      </c>
      <c r="J39" s="14">
        <v>9301</v>
      </c>
      <c r="K39" s="14">
        <v>9050</v>
      </c>
      <c r="L39" s="14">
        <v>8174</v>
      </c>
      <c r="M39" s="14">
        <v>9231</v>
      </c>
    </row>
    <row r="40" spans="1:13" x14ac:dyDescent="0.25">
      <c r="A40" s="1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1">
        <v>27</v>
      </c>
      <c r="B41" t="s">
        <v>26</v>
      </c>
      <c r="D41" s="8">
        <v>67</v>
      </c>
      <c r="E41" s="8">
        <v>37</v>
      </c>
      <c r="F41" s="8">
        <v>-1646</v>
      </c>
      <c r="G41" s="8">
        <v>-2277</v>
      </c>
      <c r="H41" s="8">
        <v>523</v>
      </c>
      <c r="I41" s="8">
        <v>155</v>
      </c>
      <c r="J41" s="8">
        <v>713</v>
      </c>
      <c r="K41" s="8">
        <v>916</v>
      </c>
      <c r="L41" s="8">
        <v>1756</v>
      </c>
      <c r="M41" s="8">
        <v>539</v>
      </c>
    </row>
    <row r="42" spans="1:13" x14ac:dyDescent="0.25">
      <c r="A42" s="1">
        <v>29</v>
      </c>
      <c r="B42" t="s">
        <v>27</v>
      </c>
      <c r="D42" s="8">
        <v>2144</v>
      </c>
      <c r="E42" s="8">
        <v>2157</v>
      </c>
      <c r="F42" s="8">
        <v>2218</v>
      </c>
      <c r="G42" s="8">
        <v>2352</v>
      </c>
      <c r="H42" s="8">
        <v>2447</v>
      </c>
      <c r="I42" s="8">
        <v>2517</v>
      </c>
      <c r="J42" s="8">
        <v>2606</v>
      </c>
      <c r="K42" s="8">
        <v>2643</v>
      </c>
      <c r="L42" s="8">
        <v>2770</v>
      </c>
      <c r="M42" s="8">
        <v>3968</v>
      </c>
    </row>
    <row r="43" spans="1:13" x14ac:dyDescent="0.25">
      <c r="A43" s="1"/>
      <c r="D43" s="3"/>
      <c r="E43" s="3"/>
      <c r="G43" s="3"/>
    </row>
    <row r="44" spans="1:13" ht="15.75" thickBot="1" x14ac:dyDescent="0.3">
      <c r="A44" s="1">
        <v>30</v>
      </c>
      <c r="B44" t="s">
        <v>28</v>
      </c>
      <c r="D44" s="11">
        <v>5246</v>
      </c>
      <c r="E44" s="11">
        <v>7133</v>
      </c>
      <c r="F44" s="11">
        <v>2416</v>
      </c>
      <c r="G44" s="11">
        <v>3033</v>
      </c>
      <c r="H44" s="11">
        <v>6236</v>
      </c>
      <c r="I44" s="11">
        <v>5430</v>
      </c>
      <c r="J44" s="11">
        <v>7408</v>
      </c>
      <c r="K44" s="11">
        <v>7323</v>
      </c>
      <c r="L44" s="11">
        <v>7160</v>
      </c>
      <c r="M44" s="11">
        <v>5802</v>
      </c>
    </row>
    <row r="45" spans="1:13" ht="15.75" thickTop="1" x14ac:dyDescent="0.25">
      <c r="A45" s="1"/>
      <c r="D45" s="3"/>
      <c r="E45" s="3"/>
      <c r="G45" s="3"/>
    </row>
    <row r="46" spans="1:13" x14ac:dyDescent="0.25">
      <c r="A46" s="1"/>
      <c r="B46" s="26"/>
      <c r="G46" s="3"/>
    </row>
    <row r="47" spans="1:13" x14ac:dyDescent="0.25">
      <c r="A47" s="49">
        <v>31</v>
      </c>
      <c r="B47" s="28" t="s">
        <v>29</v>
      </c>
      <c r="G47" s="3"/>
    </row>
    <row r="48" spans="1:13" x14ac:dyDescent="0.25">
      <c r="A48" s="49">
        <v>32</v>
      </c>
      <c r="B48" s="26" t="s">
        <v>30</v>
      </c>
      <c r="D48" s="43">
        <f t="shared" ref="D48:M48" si="0">D42/(D27+D28)</f>
        <v>3.6473129986560743E-2</v>
      </c>
      <c r="E48" s="43">
        <f t="shared" si="0"/>
        <v>4.4167332145709198E-2</v>
      </c>
      <c r="F48" s="43">
        <f t="shared" si="0"/>
        <v>4.3620201384518567E-2</v>
      </c>
      <c r="G48" s="43">
        <f t="shared" si="0"/>
        <v>4.8000000000000001E-2</v>
      </c>
      <c r="H48" s="43">
        <f t="shared" si="0"/>
        <v>4.8455445544554457E-2</v>
      </c>
      <c r="I48" s="43">
        <f t="shared" si="0"/>
        <v>4.8403846153846151E-2</v>
      </c>
      <c r="J48" s="43">
        <f t="shared" si="0"/>
        <v>4.8710280373831773E-2</v>
      </c>
      <c r="K48" s="43">
        <f t="shared" si="0"/>
        <v>4.9401869158878502E-2</v>
      </c>
      <c r="L48" s="43">
        <f t="shared" si="0"/>
        <v>5.036363636363636E-2</v>
      </c>
      <c r="M48" s="43">
        <f t="shared" si="0"/>
        <v>7.0230088495575216E-2</v>
      </c>
    </row>
    <row r="49" spans="1:13" x14ac:dyDescent="0.25">
      <c r="A49" s="49"/>
      <c r="D49" s="1"/>
      <c r="E49" s="1"/>
      <c r="F49" s="1"/>
      <c r="G49" s="42"/>
      <c r="H49" s="1"/>
      <c r="I49" s="1"/>
      <c r="J49" s="1"/>
      <c r="K49" s="1"/>
      <c r="L49" s="1"/>
      <c r="M49" s="1"/>
    </row>
    <row r="50" spans="1:13" x14ac:dyDescent="0.25">
      <c r="A50" s="49">
        <v>33</v>
      </c>
      <c r="B50" s="29" t="s">
        <v>31</v>
      </c>
      <c r="D50" s="1"/>
      <c r="E50" s="1"/>
      <c r="F50" s="1"/>
      <c r="G50" s="42"/>
      <c r="H50" s="1"/>
      <c r="I50" s="1"/>
      <c r="J50" s="1"/>
      <c r="K50" s="1"/>
      <c r="L50" s="1"/>
      <c r="M50" s="1"/>
    </row>
    <row r="51" spans="1:13" x14ac:dyDescent="0.25">
      <c r="A51" s="49">
        <v>34</v>
      </c>
      <c r="B51" t="s">
        <v>32</v>
      </c>
      <c r="D51" s="47">
        <f>+'SUPPORT-Delta Calculations'!F61</f>
        <v>3.6136091325002226</v>
      </c>
      <c r="E51" s="47">
        <f>+'SUPPORT-Delta Calculations'!G61</f>
        <v>4.5988868045749403</v>
      </c>
      <c r="F51" s="47">
        <f>+'SUPPORT-Delta Calculations'!H61</f>
        <v>2.7693341915946532</v>
      </c>
      <c r="G51" s="1">
        <v>4.5199999999999996</v>
      </c>
      <c r="H51" s="1">
        <v>4.4800000000000004</v>
      </c>
      <c r="I51" s="1">
        <v>4.96</v>
      </c>
      <c r="J51" s="1">
        <v>5.87</v>
      </c>
      <c r="K51" s="1">
        <v>5.14</v>
      </c>
      <c r="L51" s="1">
        <v>3.09</v>
      </c>
      <c r="M51" s="1">
        <v>3.46</v>
      </c>
    </row>
    <row r="52" spans="1:13" x14ac:dyDescent="0.25">
      <c r="A52" s="49"/>
      <c r="D52" s="1"/>
      <c r="E52" s="1"/>
      <c r="F52" s="1"/>
      <c r="G52" s="42"/>
      <c r="H52" s="1"/>
      <c r="I52" s="1"/>
      <c r="J52" s="1"/>
      <c r="K52" s="1"/>
      <c r="L52" s="1"/>
      <c r="M52" s="1"/>
    </row>
    <row r="53" spans="1:13" x14ac:dyDescent="0.25">
      <c r="A53" s="49">
        <v>35</v>
      </c>
      <c r="B53" s="29" t="s">
        <v>33</v>
      </c>
      <c r="G53" s="3"/>
    </row>
    <row r="54" spans="1:13" x14ac:dyDescent="0.25">
      <c r="A54" s="49"/>
      <c r="B54" s="29"/>
      <c r="D54" s="1" t="s">
        <v>34</v>
      </c>
      <c r="E54" s="1" t="s">
        <v>34</v>
      </c>
      <c r="F54" s="1" t="s">
        <v>34</v>
      </c>
      <c r="G54" s="30" t="s">
        <v>65</v>
      </c>
    </row>
    <row r="55" spans="1:13" x14ac:dyDescent="0.25">
      <c r="A55" s="49">
        <v>36</v>
      </c>
      <c r="B55" s="29" t="s">
        <v>35</v>
      </c>
      <c r="G55" s="3"/>
    </row>
    <row r="56" spans="1:13" x14ac:dyDescent="0.25">
      <c r="A56" s="49">
        <v>37</v>
      </c>
      <c r="B56" t="s">
        <v>36</v>
      </c>
      <c r="D56" s="1" t="s">
        <v>34</v>
      </c>
      <c r="E56" s="1" t="s">
        <v>34</v>
      </c>
      <c r="F56" s="1" t="s">
        <v>34</v>
      </c>
      <c r="G56" s="8">
        <v>7118170</v>
      </c>
      <c r="H56" s="8">
        <v>7066925</v>
      </c>
      <c r="I56" s="8">
        <v>7002694</v>
      </c>
      <c r="J56" s="8">
        <v>6918725</v>
      </c>
      <c r="K56" s="8">
        <v>6843455</v>
      </c>
      <c r="L56" s="8">
        <v>6777186</v>
      </c>
      <c r="M56" s="8">
        <v>6712804</v>
      </c>
    </row>
    <row r="57" spans="1:13" x14ac:dyDescent="0.25">
      <c r="A57" s="49">
        <v>38</v>
      </c>
      <c r="B57" t="s">
        <v>37</v>
      </c>
      <c r="D57" s="1" t="s">
        <v>34</v>
      </c>
      <c r="E57" s="1" t="s">
        <v>34</v>
      </c>
      <c r="F57" s="1" t="s">
        <v>34</v>
      </c>
      <c r="G57" s="40">
        <v>0.77</v>
      </c>
      <c r="H57" s="40">
        <v>0.78</v>
      </c>
      <c r="I57" s="40">
        <v>0.92</v>
      </c>
      <c r="J57" s="40">
        <v>1.19</v>
      </c>
      <c r="K57" s="40">
        <v>1.05</v>
      </c>
      <c r="L57" s="40">
        <v>0.85</v>
      </c>
      <c r="M57" s="40">
        <v>0.95</v>
      </c>
    </row>
    <row r="58" spans="1:13" x14ac:dyDescent="0.25">
      <c r="A58" s="49">
        <v>39</v>
      </c>
      <c r="B58" t="s">
        <v>38</v>
      </c>
      <c r="D58" s="1" t="s">
        <v>34</v>
      </c>
      <c r="E58" s="1" t="s">
        <v>34</v>
      </c>
      <c r="F58" s="1" t="s">
        <v>34</v>
      </c>
      <c r="G58" s="41">
        <v>1.0375000000000001</v>
      </c>
      <c r="H58" s="40">
        <v>0.82</v>
      </c>
      <c r="I58" s="40">
        <v>0.8</v>
      </c>
      <c r="J58" s="40">
        <v>0.76</v>
      </c>
      <c r="K58" s="40">
        <v>0.72</v>
      </c>
      <c r="L58" s="40">
        <v>0.7</v>
      </c>
      <c r="M58" s="40">
        <v>0.68</v>
      </c>
    </row>
    <row r="59" spans="1:13" x14ac:dyDescent="0.25">
      <c r="A59" s="49">
        <v>40</v>
      </c>
      <c r="B59" t="s">
        <v>39</v>
      </c>
      <c r="D59" s="1" t="s">
        <v>34</v>
      </c>
      <c r="E59" s="1" t="s">
        <v>34</v>
      </c>
      <c r="F59" s="1" t="s">
        <v>34</v>
      </c>
      <c r="G59" s="31">
        <f>+G58/G57</f>
        <v>1.3474025974025974</v>
      </c>
      <c r="H59" s="31">
        <f t="shared" ref="H59:M59" si="1">+H58/H57</f>
        <v>1.0512820512820511</v>
      </c>
      <c r="I59" s="31">
        <f t="shared" si="1"/>
        <v>0.86956521739130432</v>
      </c>
      <c r="J59" s="31">
        <f t="shared" si="1"/>
        <v>0.63865546218487401</v>
      </c>
      <c r="K59" s="31">
        <f t="shared" si="1"/>
        <v>0.68571428571428561</v>
      </c>
      <c r="L59" s="31">
        <f t="shared" si="1"/>
        <v>0.82352941176470584</v>
      </c>
      <c r="M59" s="31">
        <f t="shared" si="1"/>
        <v>0.71578947368421064</v>
      </c>
    </row>
    <row r="60" spans="1:13" x14ac:dyDescent="0.25">
      <c r="A60" s="49"/>
      <c r="G60" s="3"/>
    </row>
    <row r="61" spans="1:13" x14ac:dyDescent="0.25">
      <c r="A61" s="49">
        <v>41</v>
      </c>
      <c r="B61" t="s">
        <v>40</v>
      </c>
      <c r="G61" s="3"/>
    </row>
    <row r="62" spans="1:13" x14ac:dyDescent="0.25">
      <c r="A62" s="49">
        <v>42</v>
      </c>
      <c r="B62" t="s">
        <v>41</v>
      </c>
      <c r="D62" s="1" t="s">
        <v>34</v>
      </c>
      <c r="E62" s="1" t="s">
        <v>34</v>
      </c>
      <c r="F62" s="1" t="s">
        <v>34</v>
      </c>
      <c r="G62" s="1" t="s">
        <v>66</v>
      </c>
      <c r="H62" s="1" t="s">
        <v>67</v>
      </c>
      <c r="I62" s="1" t="s">
        <v>68</v>
      </c>
      <c r="J62" s="1" t="s">
        <v>69</v>
      </c>
      <c r="K62" s="1" t="s">
        <v>70</v>
      </c>
      <c r="L62" s="1" t="s">
        <v>71</v>
      </c>
      <c r="M62" s="1" t="s">
        <v>72</v>
      </c>
    </row>
    <row r="63" spans="1:13" x14ac:dyDescent="0.25">
      <c r="A63" s="49">
        <v>43</v>
      </c>
      <c r="B63" t="s">
        <v>42</v>
      </c>
      <c r="D63" s="1" t="s">
        <v>34</v>
      </c>
      <c r="E63" s="1" t="s">
        <v>34</v>
      </c>
      <c r="F63" s="1" t="s">
        <v>34</v>
      </c>
      <c r="G63" s="1" t="s">
        <v>73</v>
      </c>
      <c r="H63" s="1" t="s">
        <v>74</v>
      </c>
      <c r="I63" s="1" t="s">
        <v>75</v>
      </c>
      <c r="J63" s="1" t="s">
        <v>76</v>
      </c>
      <c r="K63" s="1" t="s">
        <v>77</v>
      </c>
      <c r="L63" s="1" t="s">
        <v>78</v>
      </c>
      <c r="M63" s="1" t="s">
        <v>79</v>
      </c>
    </row>
    <row r="64" spans="1:13" x14ac:dyDescent="0.25">
      <c r="A64" s="49">
        <v>44</v>
      </c>
      <c r="B64" t="s">
        <v>43</v>
      </c>
      <c r="D64" s="1" t="s">
        <v>34</v>
      </c>
      <c r="E64" s="1" t="s">
        <v>34</v>
      </c>
      <c r="F64" s="1" t="s">
        <v>34</v>
      </c>
      <c r="G64" s="1" t="s">
        <v>80</v>
      </c>
      <c r="H64" s="1" t="s">
        <v>81</v>
      </c>
      <c r="I64" s="1" t="s">
        <v>82</v>
      </c>
      <c r="J64" s="1" t="s">
        <v>83</v>
      </c>
      <c r="K64" s="1" t="s">
        <v>84</v>
      </c>
      <c r="L64" s="1" t="s">
        <v>85</v>
      </c>
      <c r="M64" s="1" t="s">
        <v>86</v>
      </c>
    </row>
    <row r="65" spans="1:13" x14ac:dyDescent="0.25">
      <c r="A65" s="49">
        <v>45</v>
      </c>
      <c r="B65" t="s">
        <v>44</v>
      </c>
      <c r="D65" s="1" t="s">
        <v>34</v>
      </c>
      <c r="E65" s="1" t="s">
        <v>34</v>
      </c>
      <c r="F65" s="1" t="s">
        <v>34</v>
      </c>
      <c r="G65" s="1" t="s">
        <v>87</v>
      </c>
      <c r="H65" s="1" t="s">
        <v>88</v>
      </c>
      <c r="I65" s="1" t="s">
        <v>89</v>
      </c>
      <c r="J65" s="1" t="s">
        <v>90</v>
      </c>
      <c r="K65" s="1" t="s">
        <v>91</v>
      </c>
      <c r="L65" s="1" t="s">
        <v>92</v>
      </c>
      <c r="M65" s="1" t="s">
        <v>93</v>
      </c>
    </row>
    <row r="66" spans="1:13" x14ac:dyDescent="0.25">
      <c r="A66" s="49"/>
      <c r="G66" s="3"/>
    </row>
    <row r="67" spans="1:13" x14ac:dyDescent="0.25">
      <c r="A67" s="49">
        <v>46</v>
      </c>
      <c r="B67" s="26" t="s">
        <v>45</v>
      </c>
      <c r="D67" s="1" t="s">
        <v>34</v>
      </c>
      <c r="E67" s="1" t="s">
        <v>34</v>
      </c>
      <c r="F67" s="1" t="s">
        <v>34</v>
      </c>
      <c r="G67" s="32">
        <f>+'SUPPORT-Delta Calculations'!I10</f>
        <v>10.723876050237568</v>
      </c>
      <c r="H67" s="32">
        <f>+'SUPPORT-Delta Calculations'!J10</f>
        <v>10.966362724933484</v>
      </c>
      <c r="I67" s="32">
        <f>+'SUPPORT-Delta Calculations'!K10</f>
        <v>10.990059631395432</v>
      </c>
      <c r="J67" s="32">
        <f>+'SUPPORT-Delta Calculations'!L10</f>
        <v>10.763496581617852</v>
      </c>
      <c r="K67" s="32">
        <f>+'SUPPORT-Delta Calculations'!M10</f>
        <v>10.19854818871041</v>
      </c>
      <c r="L67" s="32">
        <f>+'SUPPORT-Delta Calculations'!N10</f>
        <v>9.7326545012662518</v>
      </c>
      <c r="M67" s="32">
        <f>+'SUPPORT-Delta Calculations'!O10</f>
        <v>9.4717655544636461</v>
      </c>
    </row>
    <row r="68" spans="1:13" x14ac:dyDescent="0.25">
      <c r="A68" s="49"/>
      <c r="G68" s="3"/>
    </row>
    <row r="69" spans="1:13" x14ac:dyDescent="0.25">
      <c r="A69" s="49">
        <v>47</v>
      </c>
      <c r="B69" s="28" t="s">
        <v>46</v>
      </c>
      <c r="G69" s="3"/>
    </row>
    <row r="70" spans="1:13" x14ac:dyDescent="0.25">
      <c r="A70" s="49">
        <v>48</v>
      </c>
      <c r="B70" s="26" t="s">
        <v>47</v>
      </c>
      <c r="D70" s="39">
        <f>+'SUPPORT-Delta Calculations'!F21</f>
        <v>8.4512714765560187E-2</v>
      </c>
      <c r="E70" s="39">
        <f>+'SUPPORT-Delta Calculations'!G21</f>
        <v>0.1076955596152975</v>
      </c>
      <c r="F70" s="39">
        <f>+'SUPPORT-Delta Calculations'!H21</f>
        <v>3.5814877405200271E-2</v>
      </c>
      <c r="G70" s="39">
        <f>+'SUPPORT-Delta Calculations'!I21</f>
        <v>4.1307456588355468E-2</v>
      </c>
      <c r="H70" s="39">
        <f>+'SUPPORT-Delta Calculations'!J21</f>
        <v>7.1370469681424659E-2</v>
      </c>
      <c r="I70" s="39">
        <f>+'SUPPORT-Delta Calculations'!K21</f>
        <v>8.5502872569810887E-2</v>
      </c>
      <c r="J70" s="39">
        <f>+'SUPPORT-Delta Calculations'!L21</f>
        <v>0.11434965276624079</v>
      </c>
      <c r="K70" s="39">
        <f>+'SUPPORT-Delta Calculations'!M21</f>
        <v>0.10571822425854036</v>
      </c>
      <c r="L70" s="39">
        <f>+'SUPPORT-Delta Calculations'!N21</f>
        <v>8.8993079347089374E-2</v>
      </c>
      <c r="M70" s="39">
        <f>+'SUPPORT-Delta Calculations'!O21</f>
        <v>0.10222484932908797</v>
      </c>
    </row>
    <row r="71" spans="1:13" x14ac:dyDescent="0.25">
      <c r="A71" s="49">
        <v>49</v>
      </c>
      <c r="B71" s="26" t="s">
        <v>48</v>
      </c>
      <c r="D71" s="39">
        <f>+'SUPPORT-Delta Calculations'!F36</f>
        <v>4.9573109942498597E-2</v>
      </c>
      <c r="E71" s="39">
        <f>+'SUPPORT-Delta Calculations'!G36</f>
        <v>6.3555282314470787E-2</v>
      </c>
      <c r="F71" s="39">
        <f>+'SUPPORT-Delta Calculations'!H36</f>
        <v>2.088014657586338E-2</v>
      </c>
      <c r="G71" s="39">
        <f>+'SUPPORT-Delta Calculations'!I36</f>
        <v>2.4623503145930585E-2</v>
      </c>
      <c r="H71" s="39">
        <f>+'SUPPORT-Delta Calculations'!J36</f>
        <v>4.2982059986812815E-2</v>
      </c>
      <c r="I71" s="39">
        <f>+'SUPPORT-Delta Calculations'!K36</f>
        <v>5.0481208685976303E-2</v>
      </c>
      <c r="J71" s="39">
        <f>+'SUPPORT-Delta Calculations'!L36</f>
        <v>6.5355644296836601E-2</v>
      </c>
      <c r="K71" s="39">
        <f>+'SUPPORT-Delta Calculations'!M36</f>
        <v>5.8135045768462519E-2</v>
      </c>
      <c r="L71" s="39">
        <f>+'SUPPORT-Delta Calculations'!N36</f>
        <v>4.7558225309119011E-2</v>
      </c>
      <c r="M71" s="39">
        <f>+'SUPPORT-Delta Calculations'!O36</f>
        <v>5.3398929386238601E-2</v>
      </c>
    </row>
    <row r="72" spans="1:13" x14ac:dyDescent="0.25">
      <c r="A72" s="49">
        <v>50</v>
      </c>
      <c r="B72" s="26" t="s">
        <v>49</v>
      </c>
      <c r="D72" s="39">
        <f>+'SUPPORT-Delta Calculations'!F45</f>
        <v>1.7461696440756385E-2</v>
      </c>
      <c r="E72" s="39">
        <f>+'SUPPORT-Delta Calculations'!G45</f>
        <v>2.4991328538044068E-2</v>
      </c>
      <c r="F72" s="39">
        <f>+'SUPPORT-Delta Calculations'!H45</f>
        <v>8.7656600912122077E-3</v>
      </c>
      <c r="G72" s="39">
        <f>+'SUPPORT-Delta Calculations'!I45</f>
        <v>1.1077226493307281E-2</v>
      </c>
      <c r="H72" s="39">
        <f>+'SUPPORT-Delta Calculations'!J45</f>
        <v>4.0114464301459769E-2</v>
      </c>
      <c r="I72" s="39">
        <f>+'SUPPORT-Delta Calculations'!K45</f>
        <v>4.7441814747435064E-2</v>
      </c>
      <c r="J72" s="39">
        <f>+'SUPPORT-Delta Calculations'!L45</f>
        <v>6.1086423883322381E-2</v>
      </c>
      <c r="K72" s="39">
        <f>+'SUPPORT-Delta Calculations'!M45</f>
        <v>5.3447302371134445E-2</v>
      </c>
      <c r="L72" s="39">
        <f>+'SUPPORT-Delta Calculations'!N45</f>
        <v>4.3242539830372184E-2</v>
      </c>
      <c r="M72" s="39">
        <f>+'SUPPORT-Delta Calculations'!O45</f>
        <v>4.8285993806136192E-2</v>
      </c>
    </row>
    <row r="73" spans="1:13" x14ac:dyDescent="0.25">
      <c r="A73" s="26"/>
      <c r="G73" s="42"/>
      <c r="H73" s="1"/>
      <c r="I73" s="1"/>
      <c r="J73" s="1"/>
      <c r="K73" s="1"/>
      <c r="L73" s="1"/>
      <c r="M73" s="1"/>
    </row>
    <row r="74" spans="1:13" x14ac:dyDescent="0.25">
      <c r="A74" s="49">
        <v>51</v>
      </c>
      <c r="B74" s="28" t="s">
        <v>50</v>
      </c>
      <c r="D74" s="39">
        <f>+'SUPPORT-Delta Calculations'!F66</f>
        <v>2.8000000000000001E-2</v>
      </c>
      <c r="E74" s="39">
        <f>+'SUPPORT-Delta Calculations'!G66</f>
        <v>2.9000000000000001E-2</v>
      </c>
      <c r="F74" s="39">
        <f>+'SUPPORT-Delta Calculations'!H66</f>
        <v>2.7E-2</v>
      </c>
      <c r="G74" s="39">
        <v>2.7E-2</v>
      </c>
      <c r="H74" s="39">
        <v>2.8000000000000001E-2</v>
      </c>
      <c r="I74" s="39">
        <v>2.8000000000000001E-2</v>
      </c>
      <c r="J74" s="39">
        <v>2.8000000000000001E-2</v>
      </c>
      <c r="K74" s="39">
        <v>2.9000000000000001E-2</v>
      </c>
      <c r="L74" s="39">
        <v>2.9000000000000001E-2</v>
      </c>
      <c r="M74" s="39">
        <v>2.5999999999999999E-2</v>
      </c>
    </row>
    <row r="75" spans="1:13" x14ac:dyDescent="0.25">
      <c r="A75" s="26"/>
      <c r="G75" s="3"/>
    </row>
    <row r="76" spans="1:13" x14ac:dyDescent="0.25">
      <c r="A76" s="26"/>
      <c r="G76" s="3"/>
    </row>
    <row r="77" spans="1:13" x14ac:dyDescent="0.25">
      <c r="B77" t="s">
        <v>51</v>
      </c>
      <c r="G77" s="3"/>
    </row>
    <row r="78" spans="1:13" x14ac:dyDescent="0.25">
      <c r="G78" s="3"/>
    </row>
    <row r="79" spans="1:13" x14ac:dyDescent="0.25">
      <c r="G79" s="3"/>
    </row>
    <row r="80" spans="1:13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</sheetData>
  <pageMargins left="0.7" right="0.7" top="0.75" bottom="0.75" header="0.3" footer="0.3"/>
  <pageSetup scale="60" fitToHeight="0" orientation="landscape" r:id="rId1"/>
  <rowBreaks count="1" manualBreakCount="1">
    <brk id="4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8"/>
  <sheetViews>
    <sheetView zoomScaleNormal="100" workbookViewId="0">
      <pane xSplit="3" ySplit="8" topLeftCell="D30" activePane="bottomRight" state="frozen"/>
      <selection pane="topRight" activeCell="D1" sqref="D1"/>
      <selection pane="bottomLeft" activeCell="A5" sqref="A5"/>
      <selection pane="bottomRight" activeCell="F21" sqref="F21"/>
    </sheetView>
  </sheetViews>
  <sheetFormatPr defaultRowHeight="15" x14ac:dyDescent="0.25"/>
  <cols>
    <col min="1" max="1" width="8" bestFit="1" customWidth="1"/>
    <col min="2" max="2" width="5.5703125" customWidth="1"/>
    <col min="3" max="3" width="50.5703125" customWidth="1"/>
    <col min="4" max="9" width="11.85546875" bestFit="1" customWidth="1"/>
    <col min="10" max="11" width="11.28515625" bestFit="1" customWidth="1"/>
    <col min="12" max="12" width="11.5703125" customWidth="1"/>
    <col min="14" max="14" width="11.28515625" style="44" bestFit="1" customWidth="1"/>
    <col min="16" max="16" width="12.85546875" bestFit="1" customWidth="1"/>
  </cols>
  <sheetData>
    <row r="1" spans="1:20" x14ac:dyDescent="0.25">
      <c r="C1" s="68" t="s">
        <v>0</v>
      </c>
      <c r="D1" s="19" t="s">
        <v>94</v>
      </c>
      <c r="E1" s="8"/>
      <c r="F1" s="16"/>
    </row>
    <row r="2" spans="1:20" x14ac:dyDescent="0.25">
      <c r="C2" s="68" t="s">
        <v>2</v>
      </c>
      <c r="D2" s="69" t="s">
        <v>3</v>
      </c>
      <c r="E2" s="8"/>
      <c r="F2" s="16"/>
    </row>
    <row r="3" spans="1:20" x14ac:dyDescent="0.25">
      <c r="C3" s="68" t="s">
        <v>4</v>
      </c>
      <c r="D3" s="8"/>
      <c r="E3" s="8"/>
      <c r="F3" s="16"/>
    </row>
    <row r="4" spans="1:20" x14ac:dyDescent="0.25">
      <c r="E4" s="17"/>
      <c r="F4" s="16"/>
    </row>
    <row r="5" spans="1:20" x14ac:dyDescent="0.25">
      <c r="A5" t="s">
        <v>95</v>
      </c>
      <c r="E5" s="17"/>
      <c r="F5" s="16"/>
    </row>
    <row r="7" spans="1:20" x14ac:dyDescent="0.25">
      <c r="A7" t="s">
        <v>5</v>
      </c>
      <c r="B7" t="s">
        <v>6</v>
      </c>
    </row>
    <row r="8" spans="1:20" x14ac:dyDescent="0.25">
      <c r="D8" s="1">
        <v>2020</v>
      </c>
      <c r="E8" s="1">
        <v>2019</v>
      </c>
      <c r="F8" s="1">
        <v>2018</v>
      </c>
      <c r="G8" s="1">
        <v>2017</v>
      </c>
      <c r="H8" s="1">
        <v>2016</v>
      </c>
      <c r="I8" s="1">
        <v>2015</v>
      </c>
      <c r="J8" s="1">
        <v>2014</v>
      </c>
      <c r="K8" s="1" t="s">
        <v>96</v>
      </c>
      <c r="L8" s="1" t="s">
        <v>97</v>
      </c>
      <c r="M8" s="1" t="s">
        <v>98</v>
      </c>
    </row>
    <row r="9" spans="1:20" x14ac:dyDescent="0.25">
      <c r="A9" s="1">
        <v>1</v>
      </c>
      <c r="B9" t="s">
        <v>10</v>
      </c>
    </row>
    <row r="10" spans="1:20" x14ac:dyDescent="0.25">
      <c r="A10" s="1">
        <v>2</v>
      </c>
      <c r="B10" t="s">
        <v>11</v>
      </c>
    </row>
    <row r="11" spans="1:20" x14ac:dyDescent="0.25">
      <c r="A11" s="1">
        <v>3</v>
      </c>
      <c r="C11" t="s">
        <v>54</v>
      </c>
      <c r="D11" s="6">
        <v>2872</v>
      </c>
      <c r="E11" s="6">
        <v>2508</v>
      </c>
      <c r="F11" s="6">
        <v>2421</v>
      </c>
      <c r="G11" s="6">
        <v>2251</v>
      </c>
      <c r="H11" s="6">
        <v>2026</v>
      </c>
      <c r="I11" s="6">
        <v>1798</v>
      </c>
      <c r="J11" s="6">
        <v>1616</v>
      </c>
      <c r="K11" s="6">
        <v>1355</v>
      </c>
      <c r="L11" s="15"/>
      <c r="M11" s="15"/>
    </row>
    <row r="12" spans="1:20" x14ac:dyDescent="0.25">
      <c r="A12" s="1">
        <v>4</v>
      </c>
      <c r="C12" t="s">
        <v>60</v>
      </c>
      <c r="D12" s="18">
        <v>2872</v>
      </c>
      <c r="E12" s="18">
        <v>2508</v>
      </c>
      <c r="F12" s="18">
        <v>2421</v>
      </c>
      <c r="G12" s="18">
        <v>2251</v>
      </c>
      <c r="H12" s="18">
        <v>2026</v>
      </c>
      <c r="I12" s="18">
        <v>1798</v>
      </c>
      <c r="J12" s="18">
        <v>1616</v>
      </c>
      <c r="K12" s="18">
        <v>1355</v>
      </c>
      <c r="L12" s="15"/>
      <c r="M12" s="15"/>
      <c r="O12" s="2"/>
      <c r="P12" s="2"/>
    </row>
    <row r="13" spans="1:20" x14ac:dyDescent="0.25">
      <c r="A13" s="1">
        <v>5</v>
      </c>
      <c r="C13" t="s">
        <v>13</v>
      </c>
      <c r="D13" s="19">
        <v>848</v>
      </c>
      <c r="E13" s="19">
        <v>732</v>
      </c>
      <c r="F13" s="19">
        <v>696</v>
      </c>
      <c r="G13" s="19">
        <v>608</v>
      </c>
      <c r="H13" s="19">
        <v>663</v>
      </c>
      <c r="I13" s="19">
        <v>725</v>
      </c>
      <c r="J13" s="19">
        <v>668</v>
      </c>
      <c r="K13" s="19">
        <v>588</v>
      </c>
      <c r="L13" s="15"/>
      <c r="M13" s="15"/>
      <c r="O13" s="2"/>
      <c r="P13" s="2"/>
      <c r="Q13" s="2"/>
      <c r="R13" s="2"/>
      <c r="S13" s="2"/>
      <c r="T13" s="2"/>
    </row>
    <row r="14" spans="1:20" x14ac:dyDescent="0.25">
      <c r="A14" s="1">
        <v>6</v>
      </c>
      <c r="C14" t="s">
        <v>14</v>
      </c>
      <c r="D14" s="14">
        <v>2024</v>
      </c>
      <c r="E14" s="14">
        <v>1776</v>
      </c>
      <c r="F14" s="14">
        <v>1725</v>
      </c>
      <c r="G14" s="14">
        <v>1643</v>
      </c>
      <c r="H14" s="14">
        <v>1363</v>
      </c>
      <c r="I14" s="14">
        <v>1073</v>
      </c>
      <c r="J14" s="14">
        <v>948</v>
      </c>
      <c r="K14" s="14">
        <v>767</v>
      </c>
      <c r="L14" s="15"/>
      <c r="M14" s="15"/>
      <c r="O14" s="2"/>
      <c r="P14" s="2"/>
      <c r="Q14" s="2"/>
      <c r="R14" s="2"/>
      <c r="S14" s="2"/>
      <c r="T14" s="2"/>
    </row>
    <row r="15" spans="1:20" x14ac:dyDescent="0.25">
      <c r="A15" s="1">
        <v>7</v>
      </c>
      <c r="D15" s="8"/>
      <c r="E15" s="8"/>
      <c r="F15" s="8"/>
      <c r="G15" s="8"/>
      <c r="H15" s="8"/>
      <c r="I15" s="8"/>
      <c r="J15" s="8"/>
      <c r="K15" s="8"/>
      <c r="L15" s="15"/>
      <c r="M15" s="15"/>
    </row>
    <row r="16" spans="1:20" x14ac:dyDescent="0.25">
      <c r="A16" s="1">
        <v>8</v>
      </c>
      <c r="B16" t="s">
        <v>61</v>
      </c>
      <c r="D16" s="19">
        <v>10</v>
      </c>
      <c r="E16" s="19">
        <v>69</v>
      </c>
      <c r="F16" s="19">
        <v>38</v>
      </c>
      <c r="G16" s="19">
        <v>18</v>
      </c>
      <c r="H16" s="19">
        <v>51</v>
      </c>
      <c r="I16" s="19">
        <v>107</v>
      </c>
      <c r="J16" s="19">
        <v>25</v>
      </c>
      <c r="K16" s="19">
        <v>74</v>
      </c>
      <c r="L16" s="15"/>
      <c r="M16" s="15"/>
      <c r="O16" s="2"/>
      <c r="P16" s="2"/>
    </row>
    <row r="17" spans="1:16" x14ac:dyDescent="0.25">
      <c r="A17" s="1"/>
      <c r="D17" s="8"/>
      <c r="E17" s="8"/>
      <c r="F17" s="8"/>
      <c r="G17" s="8"/>
      <c r="H17" s="8"/>
      <c r="I17" s="8"/>
      <c r="J17" s="8"/>
      <c r="K17" s="8"/>
      <c r="L17" s="15"/>
      <c r="M17" s="15"/>
    </row>
    <row r="18" spans="1:16" ht="15.75" thickBot="1" x14ac:dyDescent="0.3">
      <c r="A18" s="1">
        <v>9</v>
      </c>
      <c r="B18" t="s">
        <v>62</v>
      </c>
      <c r="D18" s="11">
        <v>2034</v>
      </c>
      <c r="E18" s="11">
        <v>1845</v>
      </c>
      <c r="F18" s="20">
        <v>1763</v>
      </c>
      <c r="G18" s="20">
        <v>1661</v>
      </c>
      <c r="H18" s="20">
        <v>1414</v>
      </c>
      <c r="I18" s="20">
        <v>1180</v>
      </c>
      <c r="J18" s="20">
        <v>973</v>
      </c>
      <c r="K18" s="20">
        <v>841</v>
      </c>
      <c r="L18" s="15"/>
      <c r="M18" s="15"/>
      <c r="O18" s="2"/>
      <c r="P18" s="2"/>
    </row>
    <row r="19" spans="1:16" ht="15.75" thickTop="1" x14ac:dyDescent="0.25">
      <c r="A19" s="1"/>
      <c r="D19" s="8"/>
      <c r="E19" s="8"/>
      <c r="F19" s="8"/>
      <c r="G19" s="8"/>
      <c r="H19" s="8"/>
      <c r="I19" s="8"/>
      <c r="J19" s="8"/>
      <c r="K19" s="8"/>
      <c r="L19" s="15"/>
      <c r="M19" s="15"/>
    </row>
    <row r="20" spans="1:16" x14ac:dyDescent="0.25">
      <c r="A20" s="1">
        <v>10</v>
      </c>
      <c r="B20" t="s">
        <v>15</v>
      </c>
      <c r="D20" s="8"/>
      <c r="E20" s="8"/>
      <c r="F20" s="8"/>
      <c r="G20" s="8"/>
      <c r="H20" s="8"/>
      <c r="I20" s="8"/>
      <c r="J20" s="8"/>
      <c r="K20" s="8"/>
      <c r="L20" s="15"/>
      <c r="M20" s="15"/>
    </row>
    <row r="21" spans="1:16" x14ac:dyDescent="0.25">
      <c r="A21" s="1">
        <v>11</v>
      </c>
      <c r="B21" t="s">
        <v>11</v>
      </c>
      <c r="D21" s="8"/>
      <c r="E21" s="8"/>
      <c r="F21" s="8"/>
      <c r="G21" s="8"/>
      <c r="H21" s="8"/>
      <c r="I21" s="8"/>
      <c r="J21" s="8"/>
      <c r="K21" s="8"/>
      <c r="L21" s="15"/>
      <c r="M21" s="15"/>
    </row>
    <row r="22" spans="1:16" x14ac:dyDescent="0.25">
      <c r="A22" s="1">
        <v>12</v>
      </c>
      <c r="B22" t="s">
        <v>16</v>
      </c>
      <c r="D22" s="21">
        <v>758</v>
      </c>
      <c r="E22" s="21">
        <v>5186</v>
      </c>
      <c r="F22" s="21">
        <v>4380</v>
      </c>
      <c r="G22" s="21">
        <v>3185</v>
      </c>
      <c r="H22" s="21">
        <v>2046</v>
      </c>
      <c r="I22" s="21">
        <v>1173</v>
      </c>
      <c r="J22" s="21">
        <v>542</v>
      </c>
      <c r="K22" s="21">
        <v>0</v>
      </c>
      <c r="L22" s="15"/>
      <c r="M22" s="15"/>
      <c r="O22" s="2"/>
      <c r="P22" s="2"/>
    </row>
    <row r="23" spans="1:16" x14ac:dyDescent="0.25">
      <c r="A23" s="1">
        <v>13</v>
      </c>
      <c r="B23" t="s">
        <v>17</v>
      </c>
      <c r="D23" s="19">
        <v>319</v>
      </c>
      <c r="E23" s="19">
        <v>319</v>
      </c>
      <c r="F23" s="19">
        <v>319</v>
      </c>
      <c r="G23" s="19">
        <v>319</v>
      </c>
      <c r="H23" s="19">
        <v>319</v>
      </c>
      <c r="I23" s="19">
        <v>500</v>
      </c>
      <c r="J23" s="19">
        <v>500</v>
      </c>
      <c r="K23" s="19">
        <v>500</v>
      </c>
      <c r="L23" s="15"/>
      <c r="M23" s="15"/>
      <c r="O23" s="2"/>
      <c r="P23" s="2"/>
    </row>
    <row r="24" spans="1:16" x14ac:dyDescent="0.25">
      <c r="A24" s="1">
        <v>14</v>
      </c>
      <c r="B24" t="s">
        <v>18</v>
      </c>
      <c r="D24" s="19">
        <v>1140</v>
      </c>
      <c r="E24" s="19">
        <v>-3834</v>
      </c>
      <c r="F24" s="19">
        <v>-3040</v>
      </c>
      <c r="G24" s="19">
        <v>-2089</v>
      </c>
      <c r="H24" s="19">
        <v>-1350</v>
      </c>
      <c r="I24" s="19">
        <v>-702</v>
      </c>
      <c r="J24" s="19">
        <v>-338</v>
      </c>
      <c r="K24" s="19">
        <v>66</v>
      </c>
      <c r="L24" s="15"/>
      <c r="M24" s="15"/>
      <c r="O24" s="2"/>
      <c r="P24" s="2"/>
    </row>
    <row r="25" spans="1:16" ht="15.75" thickBot="1" x14ac:dyDescent="0.3">
      <c r="A25" s="1">
        <v>15</v>
      </c>
      <c r="B25" t="s">
        <v>19</v>
      </c>
      <c r="D25" s="11">
        <v>2217</v>
      </c>
      <c r="E25" s="11">
        <v>1671</v>
      </c>
      <c r="F25" s="11">
        <v>1659</v>
      </c>
      <c r="G25" s="11">
        <v>1415</v>
      </c>
      <c r="H25" s="11">
        <v>1015</v>
      </c>
      <c r="I25" s="11">
        <v>971</v>
      </c>
      <c r="J25" s="11">
        <v>704</v>
      </c>
      <c r="K25" s="11">
        <v>566</v>
      </c>
      <c r="L25" s="15"/>
      <c r="M25" s="15"/>
    </row>
    <row r="26" spans="1:16" ht="15.75" thickTop="1" x14ac:dyDescent="0.25">
      <c r="A26" s="1"/>
      <c r="D26" s="7"/>
      <c r="E26" s="7"/>
      <c r="F26" s="7"/>
      <c r="G26" s="7"/>
      <c r="H26" s="7"/>
      <c r="I26" s="7"/>
      <c r="J26" s="7"/>
      <c r="K26" s="7"/>
      <c r="L26" s="15"/>
      <c r="M26" s="15"/>
    </row>
    <row r="27" spans="1:16" x14ac:dyDescent="0.25">
      <c r="A27" s="1">
        <v>16</v>
      </c>
      <c r="B27" t="s">
        <v>20</v>
      </c>
      <c r="D27" s="8"/>
      <c r="E27" s="8"/>
      <c r="F27" s="8"/>
      <c r="G27" s="8"/>
      <c r="H27" s="8"/>
      <c r="I27" s="8"/>
      <c r="J27" s="8"/>
      <c r="K27" s="8"/>
      <c r="L27" s="15"/>
      <c r="M27" s="15"/>
    </row>
    <row r="28" spans="1:16" x14ac:dyDescent="0.25">
      <c r="A28" s="1">
        <v>17</v>
      </c>
      <c r="B28" t="s">
        <v>21</v>
      </c>
      <c r="D28" s="6">
        <v>1338</v>
      </c>
      <c r="E28" s="6">
        <v>1794</v>
      </c>
      <c r="F28" s="6">
        <v>1715</v>
      </c>
      <c r="G28" s="6">
        <v>1440</v>
      </c>
      <c r="H28" s="6">
        <v>1541</v>
      </c>
      <c r="I28" s="6">
        <v>1797</v>
      </c>
      <c r="J28" s="6">
        <v>2277</v>
      </c>
      <c r="K28" s="6">
        <v>132</v>
      </c>
      <c r="L28" s="15"/>
      <c r="M28" s="15"/>
    </row>
    <row r="29" spans="1:16" x14ac:dyDescent="0.25">
      <c r="A29" s="1">
        <v>18</v>
      </c>
      <c r="B29" t="s">
        <v>22</v>
      </c>
      <c r="D29" s="8">
        <v>2199</v>
      </c>
      <c r="E29" s="8">
        <v>2679</v>
      </c>
      <c r="F29" s="8">
        <v>2718</v>
      </c>
      <c r="G29" s="8">
        <v>2498</v>
      </c>
      <c r="H29" s="8">
        <v>2446</v>
      </c>
      <c r="I29" s="8">
        <v>2459</v>
      </c>
      <c r="J29" s="8">
        <v>2696</v>
      </c>
      <c r="K29" s="8">
        <v>182</v>
      </c>
      <c r="L29" s="15"/>
      <c r="M29" s="15"/>
      <c r="P29" s="45"/>
    </row>
    <row r="30" spans="1:16" x14ac:dyDescent="0.25">
      <c r="A30" s="1">
        <v>19</v>
      </c>
      <c r="B30" t="s">
        <v>23</v>
      </c>
      <c r="D30" s="8">
        <v>-251</v>
      </c>
      <c r="E30" s="8">
        <v>-353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15"/>
      <c r="M30" s="15"/>
    </row>
    <row r="31" spans="1:16" x14ac:dyDescent="0.25">
      <c r="A31" s="1">
        <v>20</v>
      </c>
      <c r="B31" t="s">
        <v>63</v>
      </c>
      <c r="D31" s="8">
        <v>0</v>
      </c>
      <c r="E31" s="8">
        <v>-37</v>
      </c>
      <c r="F31" s="8">
        <v>-311</v>
      </c>
      <c r="G31" s="8">
        <v>-474</v>
      </c>
      <c r="H31" s="8">
        <v>-390</v>
      </c>
      <c r="I31" s="8">
        <v>-297</v>
      </c>
      <c r="J31" s="8">
        <v>-189</v>
      </c>
      <c r="K31" s="8">
        <v>-20</v>
      </c>
      <c r="L31" s="15"/>
      <c r="M31" s="15"/>
    </row>
    <row r="32" spans="1:16" x14ac:dyDescent="0.25">
      <c r="A32" s="1">
        <v>21</v>
      </c>
      <c r="B32" t="s">
        <v>24</v>
      </c>
      <c r="D32" s="8">
        <v>99</v>
      </c>
      <c r="E32" s="8">
        <v>114</v>
      </c>
      <c r="F32" s="8">
        <v>93</v>
      </c>
      <c r="G32" s="8">
        <v>74</v>
      </c>
      <c r="H32" s="8">
        <v>63</v>
      </c>
      <c r="I32" s="8">
        <v>72</v>
      </c>
      <c r="J32" s="8">
        <v>44</v>
      </c>
      <c r="K32" s="8">
        <v>2</v>
      </c>
      <c r="L32" s="15"/>
      <c r="M32" s="15"/>
    </row>
    <row r="33" spans="1:16" x14ac:dyDescent="0.25">
      <c r="A33" s="1">
        <v>22</v>
      </c>
      <c r="B33" t="s">
        <v>99</v>
      </c>
      <c r="D33" s="14">
        <v>-709</v>
      </c>
      <c r="E33" s="14">
        <v>-609</v>
      </c>
      <c r="F33" s="14">
        <v>-785</v>
      </c>
      <c r="G33" s="14">
        <v>-658</v>
      </c>
      <c r="H33" s="14">
        <v>-578</v>
      </c>
      <c r="I33" s="14">
        <v>-437</v>
      </c>
      <c r="J33" s="14">
        <v>-274</v>
      </c>
      <c r="K33" s="14">
        <v>-32</v>
      </c>
      <c r="L33" s="15"/>
      <c r="M33" s="15"/>
      <c r="P33" s="40"/>
    </row>
    <row r="34" spans="1:16" x14ac:dyDescent="0.25">
      <c r="A34" s="1"/>
      <c r="D34" s="14"/>
      <c r="E34" s="14"/>
      <c r="F34" s="14"/>
      <c r="G34" s="14"/>
      <c r="H34" s="14"/>
      <c r="I34" s="14"/>
      <c r="J34" s="14"/>
      <c r="K34" s="14"/>
      <c r="L34" s="15"/>
      <c r="M34" s="15"/>
    </row>
    <row r="35" spans="1:16" x14ac:dyDescent="0.25">
      <c r="A35" s="1">
        <v>23</v>
      </c>
      <c r="B35" t="s">
        <v>26</v>
      </c>
      <c r="D35" s="8">
        <v>16</v>
      </c>
      <c r="E35" s="8">
        <v>12</v>
      </c>
      <c r="F35" s="8">
        <v>18</v>
      </c>
      <c r="G35" s="8">
        <v>20</v>
      </c>
      <c r="H35" s="8">
        <v>15</v>
      </c>
      <c r="I35" s="8">
        <v>0</v>
      </c>
      <c r="J35" s="8">
        <v>0</v>
      </c>
      <c r="K35" s="8">
        <v>0</v>
      </c>
      <c r="L35" s="15"/>
      <c r="M35" s="15"/>
    </row>
    <row r="36" spans="1:16" x14ac:dyDescent="0.25">
      <c r="A36" s="1">
        <v>24</v>
      </c>
      <c r="B36" t="s">
        <v>27</v>
      </c>
      <c r="D36" s="8">
        <v>114</v>
      </c>
      <c r="E36" s="8">
        <v>200</v>
      </c>
      <c r="F36" s="8">
        <v>164</v>
      </c>
      <c r="G36" s="8">
        <v>99</v>
      </c>
      <c r="H36" s="8">
        <v>52</v>
      </c>
      <c r="I36" s="8">
        <v>32</v>
      </c>
      <c r="J36" s="8">
        <v>24</v>
      </c>
      <c r="K36" s="8">
        <v>0</v>
      </c>
      <c r="L36" s="15"/>
      <c r="M36" s="15"/>
    </row>
    <row r="37" spans="1:16" x14ac:dyDescent="0.25">
      <c r="A37" s="1"/>
      <c r="D37" s="8"/>
      <c r="E37" s="8"/>
      <c r="F37" s="8"/>
      <c r="G37" s="8"/>
      <c r="H37" s="8"/>
      <c r="I37" s="8"/>
      <c r="J37" s="8"/>
      <c r="K37" s="8"/>
      <c r="L37" s="15"/>
      <c r="M37" s="15"/>
    </row>
    <row r="38" spans="1:16" ht="15.75" thickBot="1" x14ac:dyDescent="0.3">
      <c r="A38" s="1">
        <v>25</v>
      </c>
      <c r="B38" t="s">
        <v>28</v>
      </c>
      <c r="D38" s="11">
        <v>-823</v>
      </c>
      <c r="E38" s="11">
        <v>-801</v>
      </c>
      <c r="F38" s="11">
        <v>-937</v>
      </c>
      <c r="G38" s="11">
        <v>-741</v>
      </c>
      <c r="H38" s="11">
        <v>-615</v>
      </c>
      <c r="I38" s="11">
        <v>-469</v>
      </c>
      <c r="J38" s="11">
        <v>-298</v>
      </c>
      <c r="K38" s="11">
        <v>-32</v>
      </c>
      <c r="L38" s="15"/>
      <c r="M38" s="15"/>
    </row>
    <row r="39" spans="1:16" ht="15.75" thickTop="1" x14ac:dyDescent="0.25">
      <c r="A39" s="1"/>
      <c r="D39" s="3"/>
      <c r="E39" s="3"/>
      <c r="F39" s="3"/>
      <c r="G39" s="3"/>
      <c r="H39" s="3"/>
      <c r="I39" s="3"/>
      <c r="J39" s="3"/>
      <c r="K39" s="3"/>
    </row>
    <row r="40" spans="1:16" x14ac:dyDescent="0.25">
      <c r="B40" s="26"/>
    </row>
    <row r="41" spans="1:16" x14ac:dyDescent="0.25">
      <c r="A41" s="1">
        <v>26</v>
      </c>
      <c r="B41" s="28" t="s">
        <v>29</v>
      </c>
    </row>
    <row r="42" spans="1:16" x14ac:dyDescent="0.25">
      <c r="A42" s="1">
        <v>27</v>
      </c>
      <c r="B42" s="26" t="s">
        <v>30</v>
      </c>
      <c r="D42" s="31">
        <f>+D36/(D22+D23)</f>
        <v>0.10584958217270195</v>
      </c>
      <c r="E42" s="31">
        <f t="shared" ref="E42:K42" si="0">+E36/(E22+E23)</f>
        <v>3.6330608537693009E-2</v>
      </c>
      <c r="F42" s="31">
        <f t="shared" si="0"/>
        <v>3.4901042775058524E-2</v>
      </c>
      <c r="G42" s="31">
        <f t="shared" si="0"/>
        <v>2.8253424657534245E-2</v>
      </c>
      <c r="H42" s="31">
        <f t="shared" si="0"/>
        <v>2.1987315010570826E-2</v>
      </c>
      <c r="I42" s="31">
        <f t="shared" si="0"/>
        <v>1.9127316198445904E-2</v>
      </c>
      <c r="J42" s="31">
        <f t="shared" si="0"/>
        <v>2.3032629558541268E-2</v>
      </c>
      <c r="K42" s="31">
        <f t="shared" si="0"/>
        <v>0</v>
      </c>
    </row>
    <row r="43" spans="1:16" x14ac:dyDescent="0.25">
      <c r="A43" s="1">
        <v>28</v>
      </c>
    </row>
    <row r="44" spans="1:16" x14ac:dyDescent="0.25">
      <c r="A44" s="1">
        <v>29</v>
      </c>
      <c r="B44" s="29" t="s">
        <v>31</v>
      </c>
    </row>
    <row r="45" spans="1:16" x14ac:dyDescent="0.25">
      <c r="A45" s="1">
        <v>30</v>
      </c>
      <c r="B45" t="s">
        <v>32</v>
      </c>
      <c r="D45" s="61">
        <f>+'SUPPORT-Peoples Calcs'!E28</f>
        <v>-3.3333333333333335</v>
      </c>
      <c r="E45" s="61">
        <f>+'SUPPORT-Peoples Calcs'!F28</f>
        <v>-1.1642512077294687</v>
      </c>
      <c r="F45" s="61">
        <f>+'SUPPORT-Peoples Calcs'!G28</f>
        <v>-4.4795321637426904</v>
      </c>
      <c r="G45" s="61">
        <f>+'SUPPORT-Peoples Calcs'!H28</f>
        <v>-6.1941747572815533</v>
      </c>
      <c r="H45" s="61">
        <f>+'SUPPORT-Peoples Calcs'!I28</f>
        <v>-10.826923076923077</v>
      </c>
      <c r="I45" s="61">
        <f>+'SUPPORT-Peoples Calcs'!J28</f>
        <v>-13.65625</v>
      </c>
      <c r="J45" s="61">
        <f>+'SUPPORT-Peoples Calcs'!K28</f>
        <v>-11.416666666666666</v>
      </c>
      <c r="K45" s="61">
        <v>0</v>
      </c>
    </row>
    <row r="46" spans="1:16" x14ac:dyDescent="0.25">
      <c r="A46" s="1"/>
    </row>
    <row r="47" spans="1:16" x14ac:dyDescent="0.25">
      <c r="A47" s="1">
        <v>31</v>
      </c>
      <c r="B47" s="29" t="s">
        <v>100</v>
      </c>
      <c r="D47" s="29" t="s">
        <v>101</v>
      </c>
    </row>
    <row r="48" spans="1:16" x14ac:dyDescent="0.25">
      <c r="A48" s="1"/>
      <c r="B48" s="29"/>
    </row>
    <row r="49" spans="1:11" x14ac:dyDescent="0.25">
      <c r="A49" s="1">
        <v>32</v>
      </c>
      <c r="B49" s="29" t="s">
        <v>102</v>
      </c>
      <c r="D49" s="29" t="s">
        <v>101</v>
      </c>
    </row>
    <row r="50" spans="1:11" x14ac:dyDescent="0.25">
      <c r="A50" s="1"/>
    </row>
    <row r="51" spans="1:11" x14ac:dyDescent="0.25">
      <c r="A51" s="1">
        <v>33</v>
      </c>
      <c r="B51" s="28" t="s">
        <v>46</v>
      </c>
    </row>
    <row r="52" spans="1:11" x14ac:dyDescent="0.25">
      <c r="A52" s="1">
        <v>34</v>
      </c>
      <c r="B52" s="26" t="s">
        <v>47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</row>
    <row r="53" spans="1:11" x14ac:dyDescent="0.25">
      <c r="A53" s="1">
        <v>35</v>
      </c>
      <c r="B53" s="26" t="s">
        <v>48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5">
      <c r="A54" s="1">
        <v>36</v>
      </c>
      <c r="B54" s="26" t="s">
        <v>49</v>
      </c>
      <c r="D54" s="55">
        <f>+'SUPPORT-Peoples Calcs'!E62</f>
        <v>-0.43315789473684213</v>
      </c>
      <c r="E54" s="55">
        <f>+'SUPPORT-Peoples Calcs'!F62</f>
        <v>-0.45758354755784064</v>
      </c>
      <c r="F54" s="55">
        <f>+'SUPPORT-Peoples Calcs'!G62</f>
        <v>-0.55641330166270786</v>
      </c>
      <c r="G54" s="55">
        <f>+'SUPPORT-Peoples Calcs'!H62</f>
        <v>-0.49301397205588821</v>
      </c>
      <c r="H54" s="55">
        <f>+'SUPPORT-Peoples Calcs'!I62</f>
        <v>-0.50492610837438423</v>
      </c>
      <c r="I54" s="55">
        <f>+'SUPPORT-Peoples Calcs'!J62</f>
        <v>-0.46412666996536367</v>
      </c>
      <c r="J54" s="55">
        <f>+'SUPPORT-Peoples Calcs'!K62</f>
        <v>-0.34752186588921286</v>
      </c>
      <c r="K54" s="55">
        <f>+'SUPPORT-Peoples Calcs'!L62</f>
        <v>-8.344198174706649E-2</v>
      </c>
    </row>
    <row r="55" spans="1:11" x14ac:dyDescent="0.25">
      <c r="A55" s="1"/>
    </row>
    <row r="56" spans="1:11" x14ac:dyDescent="0.25">
      <c r="A56" s="1">
        <v>37</v>
      </c>
      <c r="B56" s="28" t="s">
        <v>50</v>
      </c>
      <c r="D56" s="39">
        <f>+'SUPPORT-Peoples Calcs'!E11</f>
        <v>3.3000000000000002E-2</v>
      </c>
      <c r="E56" s="39">
        <f>+'SUPPORT-Peoples Calcs'!F11</f>
        <v>3.5999999999999997E-2</v>
      </c>
      <c r="F56" s="39">
        <f>+'SUPPORT-Peoples Calcs'!G11</f>
        <v>3.5000000000000003E-2</v>
      </c>
      <c r="G56" s="39">
        <f>+'SUPPORT-Peoples Calcs'!H11</f>
        <v>3.2000000000000001E-2</v>
      </c>
      <c r="H56" s="39">
        <f>+'SUPPORT-Peoples Calcs'!I11</f>
        <v>3.3000000000000002E-2</v>
      </c>
      <c r="I56" s="39">
        <f>+'SUPPORT-Peoples Calcs'!J11</f>
        <v>3.1E-2</v>
      </c>
      <c r="J56" s="39">
        <f>+'SUPPORT-Peoples Calcs'!K11</f>
        <v>6.9000000000000006E-2</v>
      </c>
      <c r="K56" s="39">
        <f>+'SUPPORT-Peoples Calcs'!L11</f>
        <v>3.0000000000000001E-3</v>
      </c>
    </row>
    <row r="58" spans="1:11" x14ac:dyDescent="0.25">
      <c r="B58" s="17" t="s">
        <v>103</v>
      </c>
      <c r="C58" s="16" t="s">
        <v>104</v>
      </c>
    </row>
  </sheetData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3"/>
  <sheetViews>
    <sheetView zoomScale="80" zoomScaleNormal="80" workbookViewId="0">
      <selection activeCell="J69" sqref="J69:J74"/>
    </sheetView>
  </sheetViews>
  <sheetFormatPr defaultColWidth="9.140625" defaultRowHeight="15" x14ac:dyDescent="0.25"/>
  <cols>
    <col min="1" max="1" width="9.140625" style="70"/>
    <col min="2" max="2" width="30.28515625" style="70" bestFit="1" customWidth="1"/>
    <col min="3" max="3" width="9.140625" style="70"/>
    <col min="4" max="4" width="9.5703125" style="70" bestFit="1" customWidth="1"/>
    <col min="5" max="5" width="9.140625" style="70"/>
    <col min="6" max="15" width="14.42578125" style="70" customWidth="1"/>
    <col min="16" max="16384" width="9.140625" style="70"/>
  </cols>
  <sheetData>
    <row r="1" spans="2:15" x14ac:dyDescent="0.25">
      <c r="B1" s="70" t="s">
        <v>105</v>
      </c>
      <c r="I1" s="71"/>
    </row>
    <row r="2" spans="2:15" x14ac:dyDescent="0.25">
      <c r="I2" s="72" t="s">
        <v>106</v>
      </c>
    </row>
    <row r="3" spans="2:15" ht="30" x14ac:dyDescent="0.25">
      <c r="D3" s="73" t="s">
        <v>107</v>
      </c>
      <c r="E3" s="73" t="s">
        <v>108</v>
      </c>
      <c r="F3" s="74">
        <v>2020</v>
      </c>
      <c r="G3" s="74">
        <v>2019</v>
      </c>
      <c r="H3" s="74">
        <v>2018</v>
      </c>
      <c r="I3" s="74">
        <v>2017</v>
      </c>
      <c r="J3" s="74">
        <v>2016</v>
      </c>
      <c r="K3" s="74">
        <v>2015</v>
      </c>
      <c r="L3" s="74">
        <v>2014</v>
      </c>
      <c r="M3" s="74">
        <v>2013</v>
      </c>
      <c r="N3" s="74">
        <v>2012</v>
      </c>
      <c r="O3" s="74">
        <v>2011</v>
      </c>
    </row>
    <row r="7" spans="2:15" x14ac:dyDescent="0.25">
      <c r="B7" s="70" t="s">
        <v>109</v>
      </c>
      <c r="D7" s="70" t="s">
        <v>110</v>
      </c>
    </row>
    <row r="8" spans="2:15" x14ac:dyDescent="0.25">
      <c r="B8" s="75" t="s">
        <v>111</v>
      </c>
      <c r="I8" s="76">
        <v>76494995</v>
      </c>
      <c r="J8" s="76">
        <v>77726969</v>
      </c>
      <c r="K8" s="76">
        <v>77221654</v>
      </c>
      <c r="L8" s="76">
        <v>74728352</v>
      </c>
      <c r="M8" s="76">
        <v>70005415</v>
      </c>
      <c r="N8" s="76">
        <v>66220407</v>
      </c>
      <c r="O8" s="76">
        <v>63767184</v>
      </c>
    </row>
    <row r="9" spans="2:15" x14ac:dyDescent="0.25">
      <c r="B9" s="75" t="s">
        <v>112</v>
      </c>
      <c r="I9" s="77">
        <v>7133148</v>
      </c>
      <c r="J9" s="77">
        <v>7087762</v>
      </c>
      <c r="K9" s="77">
        <v>7026500</v>
      </c>
      <c r="L9" s="77">
        <v>6942758</v>
      </c>
      <c r="M9" s="77">
        <v>6864253</v>
      </c>
      <c r="N9" s="77">
        <v>6803941</v>
      </c>
      <c r="O9" s="77">
        <v>6732344</v>
      </c>
    </row>
    <row r="10" spans="2:15" x14ac:dyDescent="0.25">
      <c r="B10" s="78" t="s">
        <v>109</v>
      </c>
      <c r="D10" s="70" t="s">
        <v>113</v>
      </c>
      <c r="I10" s="79">
        <f t="shared" ref="I10:O10" si="0">+I8/I9</f>
        <v>10.723876050237568</v>
      </c>
      <c r="J10" s="79">
        <f t="shared" si="0"/>
        <v>10.966362724933484</v>
      </c>
      <c r="K10" s="79">
        <f t="shared" si="0"/>
        <v>10.990059631395432</v>
      </c>
      <c r="L10" s="79">
        <f t="shared" si="0"/>
        <v>10.763496581617852</v>
      </c>
      <c r="M10" s="79">
        <f t="shared" si="0"/>
        <v>10.19854818871041</v>
      </c>
      <c r="N10" s="79">
        <f t="shared" si="0"/>
        <v>9.7326545012662518</v>
      </c>
      <c r="O10" s="79">
        <f t="shared" si="0"/>
        <v>9.4717655544636461</v>
      </c>
    </row>
    <row r="13" spans="2:15" x14ac:dyDescent="0.25">
      <c r="B13" s="80" t="s">
        <v>46</v>
      </c>
    </row>
    <row r="14" spans="2:15" x14ac:dyDescent="0.25">
      <c r="B14" s="81" t="s">
        <v>47</v>
      </c>
      <c r="F14" s="82" t="s">
        <v>114</v>
      </c>
      <c r="G14" s="82"/>
      <c r="H14" s="82"/>
      <c r="I14" s="82"/>
    </row>
    <row r="15" spans="2:15" x14ac:dyDescent="0.25">
      <c r="B15" s="83" t="s">
        <v>115</v>
      </c>
      <c r="D15" s="70" t="s">
        <v>116</v>
      </c>
      <c r="F15" s="84">
        <f>+Delta!D44</f>
        <v>5246</v>
      </c>
      <c r="G15" s="84">
        <f>+Delta!E44</f>
        <v>7133</v>
      </c>
      <c r="H15" s="84">
        <f>+Delta!F44</f>
        <v>2416</v>
      </c>
      <c r="I15" s="84">
        <f>+Delta!G44</f>
        <v>3033</v>
      </c>
      <c r="J15" s="76">
        <v>5529378</v>
      </c>
      <c r="K15" s="76">
        <v>6496081</v>
      </c>
      <c r="L15" s="76">
        <v>8275128</v>
      </c>
      <c r="M15" s="76">
        <v>7200776</v>
      </c>
      <c r="N15" s="76">
        <v>5783998</v>
      </c>
      <c r="O15" s="76">
        <v>6364895</v>
      </c>
    </row>
    <row r="16" spans="2:15" x14ac:dyDescent="0.25">
      <c r="B16" s="83"/>
      <c r="F16" s="84"/>
      <c r="G16" s="84"/>
      <c r="H16" s="84"/>
      <c r="I16" s="84"/>
      <c r="J16" s="76"/>
      <c r="K16" s="76"/>
      <c r="L16" s="76"/>
      <c r="M16" s="76"/>
      <c r="N16" s="76"/>
      <c r="O16" s="76"/>
    </row>
    <row r="17" spans="2:15" x14ac:dyDescent="0.25">
      <c r="B17" s="83" t="s">
        <v>117</v>
      </c>
      <c r="D17" s="70" t="s">
        <v>118</v>
      </c>
      <c r="F17" s="84">
        <f>+Delta!D29</f>
        <v>56847</v>
      </c>
      <c r="G17" s="84">
        <f>+Delta!E29</f>
        <v>67300</v>
      </c>
      <c r="H17" s="84">
        <f>+Delta!F29</f>
        <v>65166</v>
      </c>
      <c r="I17" s="84">
        <f>+Delta!G29</f>
        <v>69750</v>
      </c>
      <c r="J17" s="76">
        <v>77726969</v>
      </c>
      <c r="K17" s="76">
        <v>77221654</v>
      </c>
      <c r="L17" s="76">
        <v>74728352</v>
      </c>
      <c r="M17" s="76">
        <v>70005415</v>
      </c>
      <c r="N17" s="76">
        <v>66220407</v>
      </c>
      <c r="O17" s="76">
        <v>63767184</v>
      </c>
    </row>
    <row r="18" spans="2:15" x14ac:dyDescent="0.25">
      <c r="B18" s="83" t="s">
        <v>119</v>
      </c>
      <c r="D18" s="70" t="s">
        <v>118</v>
      </c>
      <c r="F18" s="85">
        <f>+Delta!E29</f>
        <v>67300</v>
      </c>
      <c r="G18" s="85">
        <f>+Delta!F29</f>
        <v>65166</v>
      </c>
      <c r="H18" s="85">
        <f>+Delta!G29</f>
        <v>69750</v>
      </c>
      <c r="I18" s="85">
        <f>+Delta!H29</f>
        <v>77100</v>
      </c>
      <c r="J18" s="86">
        <f>+K17</f>
        <v>77221654</v>
      </c>
      <c r="K18" s="86">
        <f>+L17</f>
        <v>74728352</v>
      </c>
      <c r="L18" s="86">
        <f>+M17</f>
        <v>70005415</v>
      </c>
      <c r="M18" s="86">
        <f>+N17</f>
        <v>66220407</v>
      </c>
      <c r="N18" s="86">
        <f>+O17</f>
        <v>63767184</v>
      </c>
      <c r="O18" s="86">
        <v>60760170</v>
      </c>
    </row>
    <row r="19" spans="2:15" x14ac:dyDescent="0.25">
      <c r="B19" s="83" t="s">
        <v>120</v>
      </c>
      <c r="D19" s="70" t="s">
        <v>113</v>
      </c>
      <c r="F19" s="84">
        <f t="shared" ref="F19:K19" si="1">AVERAGE(F17:F18)</f>
        <v>62073.5</v>
      </c>
      <c r="G19" s="84">
        <f t="shared" si="1"/>
        <v>66233</v>
      </c>
      <c r="H19" s="84">
        <f t="shared" si="1"/>
        <v>67458</v>
      </c>
      <c r="I19" s="84">
        <f t="shared" si="1"/>
        <v>73425</v>
      </c>
      <c r="J19" s="76">
        <f t="shared" si="1"/>
        <v>77474311.5</v>
      </c>
      <c r="K19" s="76">
        <f t="shared" si="1"/>
        <v>75975003</v>
      </c>
      <c r="L19" s="76">
        <f>AVERAGE(L17:L18)</f>
        <v>72366883.5</v>
      </c>
      <c r="M19" s="76">
        <f>AVERAGE(M17:M18)</f>
        <v>68112911</v>
      </c>
      <c r="N19" s="76">
        <f>AVERAGE(N17:N18)</f>
        <v>64993795.5</v>
      </c>
      <c r="O19" s="76">
        <f>AVERAGE(O17:O18)</f>
        <v>62263677</v>
      </c>
    </row>
    <row r="20" spans="2:15" x14ac:dyDescent="0.25">
      <c r="B20" s="83"/>
      <c r="F20" s="87"/>
      <c r="G20" s="87"/>
      <c r="H20" s="87"/>
      <c r="I20" s="84"/>
      <c r="J20" s="76"/>
      <c r="K20" s="76"/>
      <c r="L20" s="76"/>
      <c r="M20" s="76"/>
      <c r="N20" s="76"/>
      <c r="O20" s="76"/>
    </row>
    <row r="21" spans="2:15" x14ac:dyDescent="0.25">
      <c r="B21" s="88" t="s">
        <v>47</v>
      </c>
      <c r="D21" s="70" t="s">
        <v>113</v>
      </c>
      <c r="F21" s="89">
        <f t="shared" ref="F21:O21" si="2">+F15/F19</f>
        <v>8.4512714765560187E-2</v>
      </c>
      <c r="G21" s="89">
        <f t="shared" si="2"/>
        <v>0.1076955596152975</v>
      </c>
      <c r="H21" s="89">
        <f t="shared" si="2"/>
        <v>3.5814877405200271E-2</v>
      </c>
      <c r="I21" s="89">
        <f t="shared" si="2"/>
        <v>4.1307456588355468E-2</v>
      </c>
      <c r="J21" s="90">
        <f t="shared" si="2"/>
        <v>7.1370469681424659E-2</v>
      </c>
      <c r="K21" s="90">
        <f t="shared" si="2"/>
        <v>8.5502872569810887E-2</v>
      </c>
      <c r="L21" s="90">
        <f t="shared" si="2"/>
        <v>0.11434965276624079</v>
      </c>
      <c r="M21" s="90">
        <f t="shared" si="2"/>
        <v>0.10571822425854036</v>
      </c>
      <c r="N21" s="90">
        <f t="shared" si="2"/>
        <v>8.8993079347089374E-2</v>
      </c>
      <c r="O21" s="90">
        <f t="shared" si="2"/>
        <v>0.10222484932908797</v>
      </c>
    </row>
    <row r="22" spans="2:15" x14ac:dyDescent="0.25">
      <c r="F22" s="87"/>
      <c r="G22" s="87"/>
      <c r="H22" s="87"/>
      <c r="I22" s="87"/>
      <c r="L22" s="91"/>
    </row>
    <row r="23" spans="2:15" x14ac:dyDescent="0.25">
      <c r="B23" s="81" t="s">
        <v>48</v>
      </c>
      <c r="F23" s="87"/>
      <c r="G23" s="87"/>
      <c r="H23" s="87"/>
      <c r="I23" s="87"/>
    </row>
    <row r="24" spans="2:15" x14ac:dyDescent="0.25">
      <c r="B24" s="83" t="s">
        <v>115</v>
      </c>
      <c r="D24" s="70" t="s">
        <v>116</v>
      </c>
      <c r="F24" s="84">
        <f>+F15</f>
        <v>5246</v>
      </c>
      <c r="G24" s="84">
        <f>+G15</f>
        <v>7133</v>
      </c>
      <c r="H24" s="84">
        <f>+H15</f>
        <v>2416</v>
      </c>
      <c r="I24" s="84">
        <f>+I15</f>
        <v>3033</v>
      </c>
      <c r="J24" s="76">
        <f t="shared" ref="J24:O24" si="3">+J15</f>
        <v>5529378</v>
      </c>
      <c r="K24" s="76">
        <f t="shared" si="3"/>
        <v>6496081</v>
      </c>
      <c r="L24" s="76">
        <f t="shared" si="3"/>
        <v>8275128</v>
      </c>
      <c r="M24" s="76">
        <f t="shared" si="3"/>
        <v>7200776</v>
      </c>
      <c r="N24" s="76">
        <f t="shared" si="3"/>
        <v>5783998</v>
      </c>
      <c r="O24" s="76">
        <f t="shared" si="3"/>
        <v>6364895</v>
      </c>
    </row>
    <row r="25" spans="2:15" x14ac:dyDescent="0.25">
      <c r="B25" s="83"/>
      <c r="F25" s="87"/>
      <c r="G25" s="87"/>
      <c r="H25" s="87"/>
      <c r="I25" s="84"/>
      <c r="J25" s="76"/>
      <c r="K25" s="76"/>
      <c r="L25" s="76"/>
      <c r="M25" s="76"/>
      <c r="N25" s="76"/>
      <c r="O25" s="76"/>
    </row>
    <row r="26" spans="2:15" x14ac:dyDescent="0.25">
      <c r="B26" s="83" t="s">
        <v>117</v>
      </c>
      <c r="D26" s="70" t="s">
        <v>118</v>
      </c>
      <c r="F26" s="92">
        <f>+F17</f>
        <v>56847</v>
      </c>
      <c r="G26" s="92">
        <f>+G17</f>
        <v>67300</v>
      </c>
      <c r="H26" s="92">
        <f>+H17</f>
        <v>65166</v>
      </c>
      <c r="I26" s="92">
        <f>+I17</f>
        <v>69750</v>
      </c>
      <c r="J26" s="93">
        <f t="shared" ref="J26:O26" si="4">+J17</f>
        <v>77726969</v>
      </c>
      <c r="K26" s="93">
        <f t="shared" si="4"/>
        <v>77221654</v>
      </c>
      <c r="L26" s="93">
        <f t="shared" si="4"/>
        <v>74728352</v>
      </c>
      <c r="M26" s="93">
        <f t="shared" si="4"/>
        <v>70005415</v>
      </c>
      <c r="N26" s="93">
        <f t="shared" si="4"/>
        <v>66220407</v>
      </c>
      <c r="O26" s="93">
        <f t="shared" si="4"/>
        <v>63767184</v>
      </c>
    </row>
    <row r="27" spans="2:15" x14ac:dyDescent="0.25">
      <c r="B27" s="83" t="s">
        <v>121</v>
      </c>
      <c r="D27" s="70" t="s">
        <v>118</v>
      </c>
      <c r="F27" s="85">
        <f>+Delta!D28</f>
        <v>43000</v>
      </c>
      <c r="G27" s="85">
        <f>+Delta!E28</f>
        <v>44500</v>
      </c>
      <c r="H27" s="85">
        <f>+Delta!F28</f>
        <v>47500</v>
      </c>
      <c r="I27" s="85">
        <f>+Delta!G28</f>
        <v>49000</v>
      </c>
      <c r="J27" s="94">
        <v>50422796</v>
      </c>
      <c r="K27" s="94">
        <v>51916296</v>
      </c>
      <c r="L27" s="94">
        <v>53500000</v>
      </c>
      <c r="M27" s="94">
        <v>55000000</v>
      </c>
      <c r="N27" s="94">
        <v>56500000</v>
      </c>
      <c r="O27" s="94">
        <v>56751006</v>
      </c>
    </row>
    <row r="28" spans="2:15" x14ac:dyDescent="0.25">
      <c r="B28" s="88" t="s">
        <v>122</v>
      </c>
      <c r="D28" s="70" t="s">
        <v>113</v>
      </c>
      <c r="F28" s="92">
        <f>+F26+F27</f>
        <v>99847</v>
      </c>
      <c r="G28" s="92">
        <f>+G26+G27</f>
        <v>111800</v>
      </c>
      <c r="H28" s="92">
        <f>+H26+H27</f>
        <v>112666</v>
      </c>
      <c r="I28" s="92">
        <f>+I26+I27</f>
        <v>118750</v>
      </c>
      <c r="J28" s="93">
        <f t="shared" ref="J28:O28" si="5">+J26+J27</f>
        <v>128149765</v>
      </c>
      <c r="K28" s="93">
        <f t="shared" si="5"/>
        <v>129137950</v>
      </c>
      <c r="L28" s="93">
        <f t="shared" si="5"/>
        <v>128228352</v>
      </c>
      <c r="M28" s="93">
        <f t="shared" si="5"/>
        <v>125005415</v>
      </c>
      <c r="N28" s="93">
        <f t="shared" si="5"/>
        <v>122720407</v>
      </c>
      <c r="O28" s="93">
        <f t="shared" si="5"/>
        <v>120518190</v>
      </c>
    </row>
    <row r="29" spans="2:15" x14ac:dyDescent="0.25">
      <c r="B29" s="88"/>
      <c r="F29" s="87"/>
      <c r="G29" s="87"/>
      <c r="H29" s="87"/>
      <c r="I29" s="92"/>
      <c r="J29" s="93"/>
      <c r="K29" s="93"/>
      <c r="L29" s="93"/>
      <c r="M29" s="93"/>
      <c r="N29" s="93"/>
      <c r="O29" s="93"/>
    </row>
    <row r="30" spans="2:15" x14ac:dyDescent="0.25">
      <c r="B30" s="83" t="s">
        <v>119</v>
      </c>
      <c r="D30" s="70" t="s">
        <v>118</v>
      </c>
      <c r="F30" s="92">
        <f>+F18</f>
        <v>67300</v>
      </c>
      <c r="G30" s="92">
        <f>+G18</f>
        <v>65166</v>
      </c>
      <c r="H30" s="92">
        <f>+H18</f>
        <v>69750</v>
      </c>
      <c r="I30" s="92">
        <f>+I18</f>
        <v>77100</v>
      </c>
      <c r="J30" s="93">
        <f t="shared" ref="J30:O30" si="6">+J18</f>
        <v>77221654</v>
      </c>
      <c r="K30" s="93">
        <f t="shared" si="6"/>
        <v>74728352</v>
      </c>
      <c r="L30" s="93">
        <f t="shared" si="6"/>
        <v>70005415</v>
      </c>
      <c r="M30" s="93">
        <f t="shared" si="6"/>
        <v>66220407</v>
      </c>
      <c r="N30" s="93">
        <f t="shared" si="6"/>
        <v>63767184</v>
      </c>
      <c r="O30" s="93">
        <f t="shared" si="6"/>
        <v>60760170</v>
      </c>
    </row>
    <row r="31" spans="2:15" x14ac:dyDescent="0.25">
      <c r="B31" s="83" t="s">
        <v>123</v>
      </c>
      <c r="D31" s="70" t="s">
        <v>118</v>
      </c>
      <c r="F31" s="95">
        <f>+Delta!E28</f>
        <v>44500</v>
      </c>
      <c r="G31" s="95">
        <f>+Delta!F28</f>
        <v>47500</v>
      </c>
      <c r="H31" s="95">
        <f>+Delta!G28</f>
        <v>49000</v>
      </c>
      <c r="I31" s="95">
        <f>+Delta!H28</f>
        <v>50500</v>
      </c>
      <c r="J31" s="94">
        <f>+K27</f>
        <v>51916296</v>
      </c>
      <c r="K31" s="94">
        <f>+L27</f>
        <v>53500000</v>
      </c>
      <c r="L31" s="94">
        <f>+M27</f>
        <v>55000000</v>
      </c>
      <c r="M31" s="94">
        <f>+N27</f>
        <v>56500000</v>
      </c>
      <c r="N31" s="94">
        <f>+O27</f>
        <v>56751006</v>
      </c>
      <c r="O31" s="94">
        <v>57112000</v>
      </c>
    </row>
    <row r="32" spans="2:15" x14ac:dyDescent="0.25">
      <c r="B32" s="88" t="s">
        <v>124</v>
      </c>
      <c r="D32" s="70" t="s">
        <v>113</v>
      </c>
      <c r="F32" s="96">
        <f>+F30+F31</f>
        <v>111800</v>
      </c>
      <c r="G32" s="96">
        <f>+G30+G31</f>
        <v>112666</v>
      </c>
      <c r="H32" s="96">
        <f>+H30+H31</f>
        <v>118750</v>
      </c>
      <c r="I32" s="96">
        <f>+I30+I31</f>
        <v>127600</v>
      </c>
      <c r="J32" s="97">
        <f t="shared" ref="J32:O32" si="7">+J30+J31</f>
        <v>129137950</v>
      </c>
      <c r="K32" s="97">
        <f t="shared" si="7"/>
        <v>128228352</v>
      </c>
      <c r="L32" s="97">
        <f t="shared" si="7"/>
        <v>125005415</v>
      </c>
      <c r="M32" s="97">
        <f t="shared" si="7"/>
        <v>122720407</v>
      </c>
      <c r="N32" s="97">
        <f t="shared" si="7"/>
        <v>120518190</v>
      </c>
      <c r="O32" s="97">
        <f t="shared" si="7"/>
        <v>117872170</v>
      </c>
    </row>
    <row r="33" spans="2:15" x14ac:dyDescent="0.25">
      <c r="B33" s="88"/>
      <c r="F33" s="96"/>
      <c r="G33" s="96"/>
      <c r="H33" s="96"/>
      <c r="I33" s="96"/>
      <c r="J33" s="97"/>
      <c r="K33" s="97"/>
      <c r="L33" s="97"/>
      <c r="M33" s="97"/>
      <c r="N33" s="97"/>
      <c r="O33" s="97"/>
    </row>
    <row r="34" spans="2:15" x14ac:dyDescent="0.25">
      <c r="B34" s="83" t="s">
        <v>125</v>
      </c>
      <c r="D34" s="70" t="s">
        <v>113</v>
      </c>
      <c r="F34" s="84">
        <f t="shared" ref="F34:O34" si="8">AVERAGE(F28,F32)</f>
        <v>105823.5</v>
      </c>
      <c r="G34" s="84">
        <f t="shared" si="8"/>
        <v>112233</v>
      </c>
      <c r="H34" s="84">
        <f t="shared" si="8"/>
        <v>115708</v>
      </c>
      <c r="I34" s="84">
        <f t="shared" si="8"/>
        <v>123175</v>
      </c>
      <c r="J34" s="76">
        <f t="shared" si="8"/>
        <v>128643857.5</v>
      </c>
      <c r="K34" s="76">
        <f t="shared" si="8"/>
        <v>128683151</v>
      </c>
      <c r="L34" s="76">
        <f t="shared" si="8"/>
        <v>126616883.5</v>
      </c>
      <c r="M34" s="76">
        <f t="shared" si="8"/>
        <v>123862911</v>
      </c>
      <c r="N34" s="76">
        <f t="shared" si="8"/>
        <v>121619298.5</v>
      </c>
      <c r="O34" s="76">
        <f t="shared" si="8"/>
        <v>119195180</v>
      </c>
    </row>
    <row r="35" spans="2:15" x14ac:dyDescent="0.25">
      <c r="B35" s="83"/>
      <c r="F35" s="84"/>
      <c r="G35" s="84"/>
      <c r="H35" s="84"/>
      <c r="I35" s="84"/>
      <c r="J35" s="76"/>
      <c r="K35" s="76"/>
      <c r="L35" s="76"/>
      <c r="M35" s="76"/>
      <c r="N35" s="76"/>
      <c r="O35" s="76"/>
    </row>
    <row r="36" spans="2:15" x14ac:dyDescent="0.25">
      <c r="B36" s="88" t="s">
        <v>48</v>
      </c>
      <c r="D36" s="70" t="s">
        <v>113</v>
      </c>
      <c r="F36" s="89">
        <f t="shared" ref="F36:O36" si="9">+F24/F34</f>
        <v>4.9573109942498597E-2</v>
      </c>
      <c r="G36" s="89">
        <f t="shared" si="9"/>
        <v>6.3555282314470787E-2</v>
      </c>
      <c r="H36" s="89">
        <f t="shared" si="9"/>
        <v>2.088014657586338E-2</v>
      </c>
      <c r="I36" s="89">
        <f t="shared" si="9"/>
        <v>2.4623503145930585E-2</v>
      </c>
      <c r="J36" s="90">
        <f t="shared" si="9"/>
        <v>4.2982059986812815E-2</v>
      </c>
      <c r="K36" s="90">
        <f t="shared" si="9"/>
        <v>5.0481208685976303E-2</v>
      </c>
      <c r="L36" s="90">
        <f t="shared" si="9"/>
        <v>6.5355644296836601E-2</v>
      </c>
      <c r="M36" s="90">
        <f t="shared" si="9"/>
        <v>5.8135045768462519E-2</v>
      </c>
      <c r="N36" s="90">
        <f t="shared" si="9"/>
        <v>4.7558225309119011E-2</v>
      </c>
      <c r="O36" s="90">
        <f t="shared" si="9"/>
        <v>5.3398929386238601E-2</v>
      </c>
    </row>
    <row r="37" spans="2:15" x14ac:dyDescent="0.25">
      <c r="F37" s="87"/>
      <c r="G37" s="87"/>
      <c r="H37" s="87"/>
      <c r="I37" s="87"/>
    </row>
    <row r="38" spans="2:15" x14ac:dyDescent="0.25">
      <c r="B38" s="98" t="s">
        <v>49</v>
      </c>
      <c r="F38" s="87"/>
      <c r="G38" s="87"/>
      <c r="H38" s="87"/>
      <c r="I38" s="87"/>
    </row>
    <row r="39" spans="2:15" x14ac:dyDescent="0.25">
      <c r="B39" s="83" t="s">
        <v>115</v>
      </c>
      <c r="D39" s="70" t="s">
        <v>116</v>
      </c>
      <c r="F39" s="92">
        <f>+F15</f>
        <v>5246</v>
      </c>
      <c r="G39" s="92">
        <f>+G15</f>
        <v>7133</v>
      </c>
      <c r="H39" s="92">
        <f>+H15</f>
        <v>2416</v>
      </c>
      <c r="I39" s="92">
        <f>+I15</f>
        <v>3033</v>
      </c>
      <c r="J39" s="93">
        <f t="shared" ref="J39:O39" si="10">+J15</f>
        <v>5529378</v>
      </c>
      <c r="K39" s="93">
        <f t="shared" si="10"/>
        <v>6496081</v>
      </c>
      <c r="L39" s="93">
        <f t="shared" si="10"/>
        <v>8275128</v>
      </c>
      <c r="M39" s="93">
        <f t="shared" si="10"/>
        <v>7200776</v>
      </c>
      <c r="N39" s="93">
        <f t="shared" si="10"/>
        <v>5783998</v>
      </c>
      <c r="O39" s="93">
        <f t="shared" si="10"/>
        <v>6364895</v>
      </c>
    </row>
    <row r="40" spans="2:15" x14ac:dyDescent="0.25">
      <c r="B40" s="83"/>
      <c r="F40" s="87"/>
      <c r="G40" s="87"/>
      <c r="H40" s="87"/>
      <c r="I40" s="87"/>
    </row>
    <row r="41" spans="2:15" x14ac:dyDescent="0.25">
      <c r="B41" s="83" t="s">
        <v>126</v>
      </c>
      <c r="E41" s="70" t="s">
        <v>118</v>
      </c>
      <c r="F41" s="92">
        <f>+Delta!D23</f>
        <v>152870</v>
      </c>
      <c r="G41" s="92">
        <f>+Delta!E23</f>
        <v>147559</v>
      </c>
      <c r="H41" s="92">
        <f>+Delta!F23</f>
        <v>137860</v>
      </c>
      <c r="I41" s="92">
        <f>+Delta!G23</f>
        <v>137761</v>
      </c>
      <c r="J41" s="76">
        <v>137640873</v>
      </c>
      <c r="K41" s="76">
        <v>138039139</v>
      </c>
      <c r="L41" s="76">
        <v>135815520</v>
      </c>
      <c r="M41" s="76">
        <v>135116300</v>
      </c>
      <c r="N41" s="76">
        <v>134337000</v>
      </c>
      <c r="O41" s="76">
        <v>133177259</v>
      </c>
    </row>
    <row r="42" spans="2:15" x14ac:dyDescent="0.25">
      <c r="B42" s="83" t="s">
        <v>127</v>
      </c>
      <c r="E42" s="70" t="s">
        <v>118</v>
      </c>
      <c r="F42" s="95">
        <f>+Delta!E23</f>
        <v>147559</v>
      </c>
      <c r="G42" s="95">
        <f>+Delta!F23</f>
        <v>137860</v>
      </c>
      <c r="H42" s="95">
        <f>+Delta!G23</f>
        <v>137761</v>
      </c>
      <c r="I42" s="95">
        <f>+Delta!H23</f>
        <v>136044</v>
      </c>
      <c r="J42" s="86">
        <f>+K41</f>
        <v>138039139</v>
      </c>
      <c r="K42" s="86">
        <f>+L41</f>
        <v>135815520</v>
      </c>
      <c r="L42" s="86">
        <f>+M41</f>
        <v>135116300</v>
      </c>
      <c r="M42" s="86">
        <f>+N41</f>
        <v>134337000</v>
      </c>
      <c r="N42" s="86">
        <f>+O41</f>
        <v>133177259</v>
      </c>
      <c r="O42" s="86">
        <v>130455919</v>
      </c>
    </row>
    <row r="43" spans="2:15" x14ac:dyDescent="0.25">
      <c r="B43" s="83" t="s">
        <v>128</v>
      </c>
      <c r="E43" s="70" t="s">
        <v>113</v>
      </c>
      <c r="F43" s="96">
        <f>+F41+F42</f>
        <v>300429</v>
      </c>
      <c r="G43" s="96">
        <f>+G41+G42</f>
        <v>285419</v>
      </c>
      <c r="H43" s="96">
        <f>+H41+H42</f>
        <v>275621</v>
      </c>
      <c r="I43" s="96">
        <f>+I41+I42</f>
        <v>273805</v>
      </c>
      <c r="J43" s="76">
        <f t="shared" ref="J43:O43" si="11">AVERAGE(J41:J42)</f>
        <v>137840006</v>
      </c>
      <c r="K43" s="76">
        <f t="shared" si="11"/>
        <v>136927329.5</v>
      </c>
      <c r="L43" s="76">
        <f t="shared" si="11"/>
        <v>135465910</v>
      </c>
      <c r="M43" s="76">
        <f t="shared" si="11"/>
        <v>134726650</v>
      </c>
      <c r="N43" s="76">
        <f t="shared" si="11"/>
        <v>133757129.5</v>
      </c>
      <c r="O43" s="76">
        <f t="shared" si="11"/>
        <v>131816589</v>
      </c>
    </row>
    <row r="44" spans="2:15" x14ac:dyDescent="0.25">
      <c r="B44" s="83"/>
      <c r="F44" s="87"/>
      <c r="G44" s="87"/>
      <c r="H44" s="87"/>
      <c r="I44" s="84"/>
      <c r="J44" s="76"/>
      <c r="K44" s="76"/>
      <c r="L44" s="76"/>
      <c r="M44" s="76"/>
      <c r="N44" s="76"/>
      <c r="O44" s="76"/>
    </row>
    <row r="45" spans="2:15" x14ac:dyDescent="0.25">
      <c r="B45" s="88" t="s">
        <v>129</v>
      </c>
      <c r="E45" s="70" t="s">
        <v>113</v>
      </c>
      <c r="F45" s="89">
        <f t="shared" ref="F45:O45" si="12">+F39/F43</f>
        <v>1.7461696440756385E-2</v>
      </c>
      <c r="G45" s="89">
        <f t="shared" si="12"/>
        <v>2.4991328538044068E-2</v>
      </c>
      <c r="H45" s="89">
        <f t="shared" si="12"/>
        <v>8.7656600912122077E-3</v>
      </c>
      <c r="I45" s="89">
        <f t="shared" si="12"/>
        <v>1.1077226493307281E-2</v>
      </c>
      <c r="J45" s="90">
        <f t="shared" si="12"/>
        <v>4.0114464301459769E-2</v>
      </c>
      <c r="K45" s="90">
        <f t="shared" si="12"/>
        <v>4.7441814747435064E-2</v>
      </c>
      <c r="L45" s="90">
        <f t="shared" si="12"/>
        <v>6.1086423883322381E-2</v>
      </c>
      <c r="M45" s="90">
        <f t="shared" si="12"/>
        <v>5.3447302371134445E-2</v>
      </c>
      <c r="N45" s="90">
        <f t="shared" si="12"/>
        <v>4.3242539830372184E-2</v>
      </c>
      <c r="O45" s="90">
        <f t="shared" si="12"/>
        <v>4.8285993806136192E-2</v>
      </c>
    </row>
    <row r="48" spans="2:15" x14ac:dyDescent="0.25">
      <c r="B48" s="70" t="s">
        <v>31</v>
      </c>
      <c r="F48" s="87">
        <v>2020</v>
      </c>
      <c r="G48" s="87">
        <v>2019</v>
      </c>
      <c r="H48" s="87">
        <v>2018</v>
      </c>
    </row>
    <row r="49" spans="2:15" x14ac:dyDescent="0.25">
      <c r="F49" s="87"/>
      <c r="G49" s="87"/>
      <c r="H49" s="87"/>
    </row>
    <row r="50" spans="2:15" x14ac:dyDescent="0.25">
      <c r="B50" s="70" t="s">
        <v>130</v>
      </c>
      <c r="F50" s="92">
        <v>5245372</v>
      </c>
      <c r="G50" s="92">
        <v>7133139</v>
      </c>
      <c r="H50" s="92">
        <v>2416569</v>
      </c>
    </row>
    <row r="51" spans="2:15" x14ac:dyDescent="0.25">
      <c r="B51" s="70" t="s">
        <v>131</v>
      </c>
      <c r="F51" s="99">
        <f>623712+267009</f>
        <v>890721</v>
      </c>
      <c r="G51" s="99">
        <f>1279156+107778</f>
        <v>1386934</v>
      </c>
      <c r="H51" s="99">
        <f>1606840+283821</f>
        <v>1890661</v>
      </c>
    </row>
    <row r="52" spans="2:15" x14ac:dyDescent="0.25">
      <c r="B52" s="70" t="s">
        <v>132</v>
      </c>
      <c r="F52" s="100">
        <f>+F59</f>
        <v>2347747</v>
      </c>
      <c r="G52" s="100">
        <f>+G59</f>
        <v>2367419</v>
      </c>
      <c r="H52" s="100">
        <f>+H59</f>
        <v>2434379</v>
      </c>
    </row>
    <row r="53" spans="2:15" x14ac:dyDescent="0.25">
      <c r="B53" s="70" t="s">
        <v>19</v>
      </c>
      <c r="F53" s="92">
        <f>SUM(F50:F52)</f>
        <v>8483840</v>
      </c>
      <c r="G53" s="92">
        <f>SUM(G50:G52)</f>
        <v>10887492</v>
      </c>
      <c r="H53" s="92">
        <f>SUM(H50:H52)</f>
        <v>6741609</v>
      </c>
    </row>
    <row r="54" spans="2:15" x14ac:dyDescent="0.25">
      <c r="F54" s="87"/>
      <c r="G54" s="87"/>
      <c r="H54" s="87"/>
    </row>
    <row r="55" spans="2:15" x14ac:dyDescent="0.25">
      <c r="B55" s="70" t="s">
        <v>132</v>
      </c>
      <c r="F55" s="87"/>
      <c r="G55" s="87"/>
      <c r="H55" s="87"/>
    </row>
    <row r="56" spans="2:15" x14ac:dyDescent="0.25">
      <c r="B56" s="70" t="s">
        <v>133</v>
      </c>
      <c r="F56" s="92">
        <v>2144247</v>
      </c>
      <c r="G56" s="92">
        <v>2157119</v>
      </c>
      <c r="H56" s="92">
        <v>2217679</v>
      </c>
    </row>
    <row r="57" spans="2:15" x14ac:dyDescent="0.25">
      <c r="B57" s="70" t="s">
        <v>134</v>
      </c>
      <c r="F57" s="99">
        <v>203500</v>
      </c>
      <c r="G57" s="99">
        <v>210300</v>
      </c>
      <c r="H57" s="99">
        <v>216700</v>
      </c>
    </row>
    <row r="58" spans="2:15" x14ac:dyDescent="0.25">
      <c r="B58" s="70" t="s">
        <v>135</v>
      </c>
      <c r="F58" s="100"/>
      <c r="G58" s="100"/>
      <c r="H58" s="100"/>
    </row>
    <row r="59" spans="2:15" x14ac:dyDescent="0.25">
      <c r="B59" s="70" t="s">
        <v>136</v>
      </c>
      <c r="F59" s="92">
        <f>SUM(F56:F58)</f>
        <v>2347747</v>
      </c>
      <c r="G59" s="92">
        <f>SUM(G56:G58)</f>
        <v>2367419</v>
      </c>
      <c r="H59" s="92">
        <f>SUM(H56:H58)</f>
        <v>2434379</v>
      </c>
    </row>
    <row r="60" spans="2:15" x14ac:dyDescent="0.25">
      <c r="F60" s="87"/>
      <c r="G60" s="87"/>
      <c r="H60" s="87"/>
    </row>
    <row r="61" spans="2:15" x14ac:dyDescent="0.25">
      <c r="B61" s="70" t="s">
        <v>137</v>
      </c>
      <c r="F61" s="101">
        <f>+F53/F59</f>
        <v>3.6136091325002226</v>
      </c>
      <c r="G61" s="101">
        <f>+G53/G59</f>
        <v>4.5988868045749403</v>
      </c>
      <c r="H61" s="101">
        <f>+H53/H59</f>
        <v>2.7693341915946532</v>
      </c>
    </row>
    <row r="62" spans="2:15" x14ac:dyDescent="0.25">
      <c r="G62" s="101"/>
      <c r="H62" s="101"/>
    </row>
    <row r="63" spans="2:15" x14ac:dyDescent="0.25">
      <c r="B63" s="70" t="s">
        <v>50</v>
      </c>
      <c r="C63" s="70" t="s">
        <v>138</v>
      </c>
    </row>
    <row r="64" spans="2:15" x14ac:dyDescent="0.25">
      <c r="B64" s="70" t="s">
        <v>139</v>
      </c>
      <c r="F64" s="102">
        <f>7518447/1000</f>
        <v>7518.4470000000001</v>
      </c>
      <c r="G64" s="102">
        <f>7422621/1000</f>
        <v>7422.6210000000001</v>
      </c>
      <c r="H64" s="102">
        <f>6658020/1000</f>
        <v>6658.02</v>
      </c>
      <c r="I64" s="102">
        <f>6389586/1000</f>
        <v>6389.5860000000002</v>
      </c>
      <c r="J64" s="102">
        <f>6315467/1000</f>
        <v>6315.4669999999996</v>
      </c>
      <c r="K64" s="102">
        <f>6442131/1000</f>
        <v>6442.1310000000003</v>
      </c>
      <c r="L64" s="102">
        <f>6103238/1000</f>
        <v>6103.2380000000003</v>
      </c>
      <c r="M64" s="102">
        <f>6157719/1000</f>
        <v>6157.7190000000001</v>
      </c>
      <c r="N64" s="102">
        <f>6011463/1000</f>
        <v>6011.4629999999997</v>
      </c>
      <c r="O64" s="102">
        <f>5793798/1000</f>
        <v>5793.7979999999998</v>
      </c>
    </row>
    <row r="65" spans="1:15" x14ac:dyDescent="0.25">
      <c r="B65" s="70" t="s">
        <v>140</v>
      </c>
      <c r="F65" s="102">
        <f>+Delta!D17</f>
        <v>265024</v>
      </c>
      <c r="G65" s="102">
        <f>+Delta!E17</f>
        <v>259190</v>
      </c>
      <c r="H65" s="102">
        <f>+Delta!F17</f>
        <v>247752</v>
      </c>
      <c r="I65" s="102">
        <f>+Delta!G17</f>
        <v>244639</v>
      </c>
      <c r="J65" s="102">
        <f>+Delta!H17</f>
        <v>237047</v>
      </c>
      <c r="K65" s="102">
        <f>+Delta!I17</f>
        <v>232371</v>
      </c>
      <c r="L65" s="102">
        <f>+Delta!J17</f>
        <v>227623</v>
      </c>
      <c r="M65" s="102">
        <f>+Delta!K17</f>
        <v>219428</v>
      </c>
      <c r="N65" s="102">
        <f>+Delta!L17</f>
        <v>212944</v>
      </c>
      <c r="O65" s="102">
        <f>+Delta!M17</f>
        <v>207015</v>
      </c>
    </row>
    <row r="66" spans="1:15" x14ac:dyDescent="0.25">
      <c r="F66" s="103">
        <f>ROUND(+F64/F65,3)</f>
        <v>2.8000000000000001E-2</v>
      </c>
      <c r="G66" s="103">
        <f t="shared" ref="G66:O66" si="13">ROUND(+G64/G65,3)</f>
        <v>2.9000000000000001E-2</v>
      </c>
      <c r="H66" s="103">
        <f t="shared" si="13"/>
        <v>2.7E-2</v>
      </c>
      <c r="I66" s="104">
        <f t="shared" si="13"/>
        <v>2.5999999999999999E-2</v>
      </c>
      <c r="J66" s="104">
        <f t="shared" si="13"/>
        <v>2.7E-2</v>
      </c>
      <c r="K66" s="104">
        <f t="shared" si="13"/>
        <v>2.8000000000000001E-2</v>
      </c>
      <c r="L66" s="104">
        <f t="shared" si="13"/>
        <v>2.7E-2</v>
      </c>
      <c r="M66" s="104">
        <f t="shared" si="13"/>
        <v>2.8000000000000001E-2</v>
      </c>
      <c r="N66" s="104">
        <f t="shared" si="13"/>
        <v>2.8000000000000001E-2</v>
      </c>
      <c r="O66" s="104">
        <f t="shared" si="13"/>
        <v>2.8000000000000001E-2</v>
      </c>
    </row>
    <row r="67" spans="1:15" x14ac:dyDescent="0.25">
      <c r="I67" s="70" t="s">
        <v>141</v>
      </c>
    </row>
    <row r="68" spans="1:15" x14ac:dyDescent="0.25">
      <c r="B68" s="71" t="s">
        <v>142</v>
      </c>
    </row>
    <row r="69" spans="1:15" x14ac:dyDescent="0.25">
      <c r="A69" s="105"/>
      <c r="B69" s="106" t="s">
        <v>143</v>
      </c>
      <c r="C69" s="105"/>
      <c r="D69" s="105"/>
      <c r="E69" s="105"/>
      <c r="F69" s="105" t="s">
        <v>144</v>
      </c>
      <c r="G69" s="105">
        <v>2021</v>
      </c>
      <c r="H69" s="105" t="s">
        <v>145</v>
      </c>
      <c r="I69" s="105"/>
      <c r="J69" s="131" t="s">
        <v>146</v>
      </c>
    </row>
    <row r="70" spans="1:15" x14ac:dyDescent="0.25">
      <c r="B70" s="70" t="s">
        <v>139</v>
      </c>
      <c r="F70" s="70">
        <f>9473252/1000</f>
        <v>9473.2520000000004</v>
      </c>
      <c r="G70" s="107">
        <f>8140977/1000</f>
        <v>8140.9769999999999</v>
      </c>
      <c r="H70" s="70">
        <f>7916269/1000</f>
        <v>7916.2690000000002</v>
      </c>
      <c r="J70" s="126">
        <f>7802958/1000</f>
        <v>7802.9579999999996</v>
      </c>
    </row>
    <row r="71" spans="1:15" x14ac:dyDescent="0.25">
      <c r="B71" s="70" t="s">
        <v>140</v>
      </c>
      <c r="F71" s="93">
        <f>+Combined!D10</f>
        <v>301256</v>
      </c>
      <c r="G71" s="93">
        <f>+Combined!E10</f>
        <v>293472.61099999998</v>
      </c>
      <c r="H71" s="93" t="e">
        <f>+Combined!#REF!</f>
        <v>#REF!</v>
      </c>
      <c r="J71" s="125">
        <f>+Combined!F10</f>
        <v>281376</v>
      </c>
    </row>
    <row r="72" spans="1:15" x14ac:dyDescent="0.25">
      <c r="F72" s="90">
        <f>+F70/F71</f>
        <v>3.1445853360596972E-2</v>
      </c>
      <c r="G72" s="90">
        <f>+G70/G71</f>
        <v>2.7740159370442923E-2</v>
      </c>
      <c r="H72" s="90" t="e">
        <f>+H70/H71</f>
        <v>#REF!</v>
      </c>
      <c r="J72" s="132">
        <f>+J70/J71</f>
        <v>2.773142698737632E-2</v>
      </c>
    </row>
    <row r="73" spans="1:15" x14ac:dyDescent="0.25">
      <c r="J73" s="126"/>
    </row>
    <row r="74" spans="1:15" x14ac:dyDescent="0.25">
      <c r="B74" s="70" t="s">
        <v>31</v>
      </c>
      <c r="F74" s="70" t="s">
        <v>144</v>
      </c>
      <c r="H74" s="70" t="s">
        <v>145</v>
      </c>
      <c r="J74" s="126" t="s">
        <v>146</v>
      </c>
    </row>
    <row r="75" spans="1:15" x14ac:dyDescent="0.25">
      <c r="F75" s="107"/>
      <c r="H75" s="107"/>
    </row>
    <row r="76" spans="1:15" x14ac:dyDescent="0.25">
      <c r="B76" s="70" t="s">
        <v>130</v>
      </c>
      <c r="F76" s="108">
        <f>+Combined!D31</f>
        <v>9025</v>
      </c>
      <c r="G76" s="108">
        <f>3074558/1000</f>
        <v>3074.558</v>
      </c>
      <c r="H76" s="108" t="e">
        <f>+Combined!#REF!</f>
        <v>#REF!</v>
      </c>
      <c r="J76" s="118">
        <f>Combined!F31</f>
        <v>4084</v>
      </c>
    </row>
    <row r="77" spans="1:15" x14ac:dyDescent="0.25">
      <c r="B77" s="70" t="s">
        <v>131</v>
      </c>
      <c r="F77" s="109">
        <f>+Combined!D24</f>
        <v>1529</v>
      </c>
      <c r="G77" s="109">
        <f>1022121/1000</f>
        <v>1022.121</v>
      </c>
      <c r="H77" s="109" t="e">
        <f>+Combined!#REF!</f>
        <v>#REF!</v>
      </c>
      <c r="J77" s="118">
        <f>Combined!F24</f>
        <v>1211</v>
      </c>
    </row>
    <row r="78" spans="1:15" x14ac:dyDescent="0.25">
      <c r="B78" s="70" t="s">
        <v>132</v>
      </c>
      <c r="F78" s="110">
        <f>+F85</f>
        <v>2754</v>
      </c>
      <c r="G78" s="110">
        <f>+G85</f>
        <v>2632.355</v>
      </c>
      <c r="H78" s="110" t="e">
        <f>+H85</f>
        <v>#REF!</v>
      </c>
      <c r="J78" s="121">
        <f>+J85</f>
        <v>2245</v>
      </c>
    </row>
    <row r="79" spans="1:15" x14ac:dyDescent="0.25">
      <c r="B79" s="70" t="s">
        <v>19</v>
      </c>
      <c r="F79" s="108">
        <f>SUM(F76:F78)</f>
        <v>13308</v>
      </c>
      <c r="G79" s="108">
        <f>SUM(G76:G78)</f>
        <v>6729.0339999999997</v>
      </c>
      <c r="H79" s="108" t="e">
        <f>SUM(H76:H78)</f>
        <v>#REF!</v>
      </c>
      <c r="J79" s="122">
        <f>SUM(J76:J78)</f>
        <v>7540</v>
      </c>
    </row>
    <row r="80" spans="1:15" x14ac:dyDescent="0.25">
      <c r="F80" s="107"/>
      <c r="G80" s="107"/>
      <c r="H80" s="107"/>
    </row>
    <row r="81" spans="2:10" x14ac:dyDescent="0.25">
      <c r="B81" s="70" t="s">
        <v>132</v>
      </c>
      <c r="F81" s="107"/>
      <c r="G81" s="107"/>
      <c r="H81" s="107"/>
    </row>
    <row r="82" spans="2:10" x14ac:dyDescent="0.25">
      <c r="B82" s="70" t="s">
        <v>133</v>
      </c>
      <c r="F82" s="108">
        <f>+Combined!D29</f>
        <v>2754</v>
      </c>
      <c r="G82" s="108">
        <f>2632355/1000</f>
        <v>2632.355</v>
      </c>
      <c r="H82" s="108" t="e">
        <f>+Combined!#REF!</f>
        <v>#REF!</v>
      </c>
      <c r="J82" s="118">
        <f>Combined!F29</f>
        <v>2245</v>
      </c>
    </row>
    <row r="83" spans="2:10" x14ac:dyDescent="0.25">
      <c r="B83" s="70" t="s">
        <v>134</v>
      </c>
      <c r="F83" s="109"/>
      <c r="G83" s="109"/>
      <c r="H83" s="109"/>
      <c r="I83" s="70" t="s">
        <v>147</v>
      </c>
    </row>
    <row r="84" spans="2:10" x14ac:dyDescent="0.25">
      <c r="B84" s="70" t="s">
        <v>135</v>
      </c>
      <c r="F84" s="110"/>
      <c r="G84" s="110"/>
      <c r="H84" s="110"/>
      <c r="I84" s="70" t="s">
        <v>147</v>
      </c>
    </row>
    <row r="85" spans="2:10" x14ac:dyDescent="0.25">
      <c r="B85" s="70" t="s">
        <v>136</v>
      </c>
      <c r="F85" s="108">
        <f>SUM(F82:F84)</f>
        <v>2754</v>
      </c>
      <c r="G85" s="108">
        <f>SUM(G82:G84)</f>
        <v>2632.355</v>
      </c>
      <c r="H85" s="108" t="e">
        <f>SUM(H82:H84)</f>
        <v>#REF!</v>
      </c>
      <c r="J85" s="122">
        <f>SUM(J82:J84)</f>
        <v>2245</v>
      </c>
    </row>
    <row r="86" spans="2:10" x14ac:dyDescent="0.25">
      <c r="F86" s="107"/>
      <c r="G86" s="107"/>
      <c r="H86" s="107"/>
    </row>
    <row r="87" spans="2:10" x14ac:dyDescent="0.25">
      <c r="B87" s="70" t="s">
        <v>137</v>
      </c>
      <c r="F87" s="111">
        <f>+F79/F85</f>
        <v>4.8322440087145972</v>
      </c>
      <c r="G87" s="111">
        <f>+G79/G85</f>
        <v>2.5562790733012832</v>
      </c>
      <c r="H87" s="111" t="e">
        <f>+H79/H85</f>
        <v>#REF!</v>
      </c>
      <c r="J87" s="123">
        <f>+J79/J85</f>
        <v>3.3585746102449887</v>
      </c>
    </row>
    <row r="89" spans="2:10" x14ac:dyDescent="0.25">
      <c r="B89" s="80" t="s">
        <v>46</v>
      </c>
    </row>
    <row r="90" spans="2:10" x14ac:dyDescent="0.25">
      <c r="B90" s="81" t="s">
        <v>47</v>
      </c>
      <c r="F90" s="112" t="s">
        <v>148</v>
      </c>
    </row>
    <row r="91" spans="2:10" x14ac:dyDescent="0.25">
      <c r="B91" s="83" t="s">
        <v>115</v>
      </c>
      <c r="D91" s="70" t="s">
        <v>116</v>
      </c>
      <c r="F91" s="113">
        <f>+Combined!D31-(500000/1000)</f>
        <v>8525</v>
      </c>
      <c r="G91" s="93">
        <f>+Combined!E31</f>
        <v>3074.5580000000004</v>
      </c>
      <c r="H91" s="93" t="e">
        <f>+Combined!#REF!</f>
        <v>#REF!</v>
      </c>
      <c r="J91" s="125">
        <f>+Combined!F31</f>
        <v>4084</v>
      </c>
    </row>
    <row r="92" spans="2:10" x14ac:dyDescent="0.25">
      <c r="B92" s="83"/>
      <c r="J92" s="126"/>
    </row>
    <row r="93" spans="2:10" x14ac:dyDescent="0.25">
      <c r="B93" s="83" t="s">
        <v>117</v>
      </c>
      <c r="D93" s="70" t="s">
        <v>118</v>
      </c>
      <c r="F93" s="102">
        <f>+Combined!D18</f>
        <v>71843</v>
      </c>
      <c r="G93" s="102">
        <f>+Combined!E18</f>
        <v>68340.604000000007</v>
      </c>
      <c r="H93" s="102" t="e">
        <f>+Combined!#REF!</f>
        <v>#REF!</v>
      </c>
      <c r="J93" s="118">
        <f>+Combined!F18</f>
        <v>59922</v>
      </c>
    </row>
    <row r="94" spans="2:10" x14ac:dyDescent="0.25">
      <c r="B94" s="83" t="s">
        <v>119</v>
      </c>
      <c r="D94" s="70" t="s">
        <v>118</v>
      </c>
      <c r="F94" s="109">
        <f>+Combined!E18</f>
        <v>68340.604000000007</v>
      </c>
      <c r="G94" s="102">
        <f>+Delta!D29</f>
        <v>56847</v>
      </c>
      <c r="H94" s="109">
        <f>+Delta!D29</f>
        <v>56847</v>
      </c>
      <c r="J94" s="118">
        <f>+H94</f>
        <v>56847</v>
      </c>
    </row>
    <row r="95" spans="2:10" x14ac:dyDescent="0.25">
      <c r="B95" s="83" t="s">
        <v>120</v>
      </c>
      <c r="D95" s="70" t="s">
        <v>113</v>
      </c>
      <c r="F95" s="114">
        <f>AVERAGE(F93:F94)</f>
        <v>70091.801999999996</v>
      </c>
      <c r="G95" s="114">
        <f>AVERAGE(G93:G94)</f>
        <v>62593.802000000003</v>
      </c>
      <c r="H95" s="114" t="e">
        <f>AVERAGE(H93:H94)</f>
        <v>#REF!</v>
      </c>
      <c r="J95" s="127">
        <f>AVERAGE(J93:J94)</f>
        <v>58384.5</v>
      </c>
    </row>
    <row r="96" spans="2:10" x14ac:dyDescent="0.25">
      <c r="B96" s="83"/>
      <c r="F96" s="107"/>
      <c r="H96" s="107"/>
      <c r="J96" s="126"/>
    </row>
    <row r="97" spans="2:10" x14ac:dyDescent="0.25">
      <c r="B97" s="88" t="s">
        <v>47</v>
      </c>
      <c r="D97" s="70" t="s">
        <v>113</v>
      </c>
      <c r="F97" s="115">
        <f>+F91/F95</f>
        <v>0.12162620672814205</v>
      </c>
      <c r="G97" s="115">
        <f>+G91/G95</f>
        <v>4.9119208320338177E-2</v>
      </c>
      <c r="H97" s="115" t="e">
        <f>+H91/H95</f>
        <v>#REF!</v>
      </c>
      <c r="J97" s="128">
        <f>+J91/J95</f>
        <v>6.9950072365096899E-2</v>
      </c>
    </row>
    <row r="98" spans="2:10" x14ac:dyDescent="0.25">
      <c r="F98" s="107"/>
      <c r="H98" s="107"/>
      <c r="J98" s="126"/>
    </row>
    <row r="99" spans="2:10" x14ac:dyDescent="0.25">
      <c r="B99" s="81" t="s">
        <v>48</v>
      </c>
      <c r="F99" s="107"/>
      <c r="H99" s="107"/>
      <c r="J99" s="126"/>
    </row>
    <row r="100" spans="2:10" x14ac:dyDescent="0.25">
      <c r="B100" s="83" t="s">
        <v>115</v>
      </c>
      <c r="D100" s="70" t="s">
        <v>116</v>
      </c>
      <c r="F100" s="108">
        <f>+F91</f>
        <v>8525</v>
      </c>
      <c r="G100" s="108">
        <f>+G91</f>
        <v>3074.5580000000004</v>
      </c>
      <c r="H100" s="108" t="e">
        <f>+H91</f>
        <v>#REF!</v>
      </c>
      <c r="J100" s="122">
        <f>+J91</f>
        <v>4084</v>
      </c>
    </row>
    <row r="101" spans="2:10" x14ac:dyDescent="0.25">
      <c r="B101" s="83"/>
      <c r="F101" s="107"/>
      <c r="H101" s="107"/>
      <c r="J101" s="126"/>
    </row>
    <row r="102" spans="2:10" x14ac:dyDescent="0.25">
      <c r="B102" s="83" t="s">
        <v>117</v>
      </c>
      <c r="D102" s="70" t="s">
        <v>118</v>
      </c>
      <c r="F102" s="109">
        <f>+F93</f>
        <v>71843</v>
      </c>
      <c r="G102" s="109">
        <f>+G93</f>
        <v>68340.604000000007</v>
      </c>
      <c r="H102" s="109" t="e">
        <f>+H93</f>
        <v>#REF!</v>
      </c>
      <c r="J102" s="117">
        <f>+J93</f>
        <v>59922</v>
      </c>
    </row>
    <row r="103" spans="2:10" x14ac:dyDescent="0.25">
      <c r="B103" s="83" t="s">
        <v>121</v>
      </c>
      <c r="D103" s="70" t="s">
        <v>118</v>
      </c>
      <c r="F103" s="109">
        <f>+Combined!D17</f>
        <v>67017</v>
      </c>
      <c r="G103" s="109">
        <f>+Combined!E17</f>
        <v>67133.274999999994</v>
      </c>
      <c r="H103" s="109" t="e">
        <f>+Combined!#REF!</f>
        <v>#REF!</v>
      </c>
      <c r="J103" s="117">
        <f>+Combined!F17</f>
        <v>43318</v>
      </c>
    </row>
    <row r="104" spans="2:10" x14ac:dyDescent="0.25">
      <c r="B104" s="88" t="s">
        <v>122</v>
      </c>
      <c r="D104" s="70" t="s">
        <v>113</v>
      </c>
      <c r="F104" s="109">
        <f>+F102+F103</f>
        <v>138860</v>
      </c>
      <c r="G104" s="109">
        <f>+G102+G103</f>
        <v>135473.87900000002</v>
      </c>
      <c r="H104" s="109" t="e">
        <f>+H102+H103</f>
        <v>#REF!</v>
      </c>
      <c r="J104" s="127">
        <f>+J102+J103</f>
        <v>103240</v>
      </c>
    </row>
    <row r="105" spans="2:10" x14ac:dyDescent="0.25">
      <c r="B105" s="88"/>
      <c r="F105" s="107"/>
      <c r="H105" s="107"/>
      <c r="J105" s="126"/>
    </row>
    <row r="106" spans="2:10" x14ac:dyDescent="0.25">
      <c r="B106" s="83" t="s">
        <v>119</v>
      </c>
      <c r="D106" s="70" t="s">
        <v>118</v>
      </c>
      <c r="F106" s="109">
        <f>+G102</f>
        <v>68340.604000000007</v>
      </c>
      <c r="G106" s="93">
        <f>+F26</f>
        <v>56847</v>
      </c>
      <c r="H106" s="108">
        <f>+G26</f>
        <v>67300</v>
      </c>
      <c r="J106" s="125">
        <f>+H106</f>
        <v>67300</v>
      </c>
    </row>
    <row r="107" spans="2:10" x14ac:dyDescent="0.25">
      <c r="B107" s="83" t="s">
        <v>123</v>
      </c>
      <c r="D107" s="70" t="s">
        <v>118</v>
      </c>
      <c r="F107" s="109">
        <f>+G103</f>
        <v>67133.274999999994</v>
      </c>
      <c r="G107" s="93">
        <f>+F27</f>
        <v>43000</v>
      </c>
      <c r="H107" s="108">
        <f>+G27</f>
        <v>44500</v>
      </c>
      <c r="J107" s="125">
        <f>+H107</f>
        <v>44500</v>
      </c>
    </row>
    <row r="108" spans="2:10" x14ac:dyDescent="0.25">
      <c r="B108" s="88" t="s">
        <v>124</v>
      </c>
      <c r="D108" s="70" t="s">
        <v>113</v>
      </c>
      <c r="F108" s="109">
        <f>+F106+F107</f>
        <v>135473.87900000002</v>
      </c>
      <c r="G108" s="109">
        <f>+G106+G107</f>
        <v>99847</v>
      </c>
      <c r="H108" s="109">
        <f>+H106+H107</f>
        <v>111800</v>
      </c>
      <c r="J108" s="117">
        <f>+J106+J107</f>
        <v>111800</v>
      </c>
    </row>
    <row r="109" spans="2:10" x14ac:dyDescent="0.25">
      <c r="B109" s="88"/>
      <c r="F109" s="107"/>
      <c r="H109" s="107"/>
      <c r="J109" s="126"/>
    </row>
    <row r="110" spans="2:10" x14ac:dyDescent="0.25">
      <c r="B110" s="83" t="s">
        <v>125</v>
      </c>
      <c r="D110" s="70" t="s">
        <v>113</v>
      </c>
      <c r="F110" s="114">
        <f>AVERAGE(F104,F108)</f>
        <v>137166.93950000001</v>
      </c>
      <c r="G110" s="114">
        <f>AVERAGE(G104,G108)</f>
        <v>117660.43950000001</v>
      </c>
      <c r="H110" s="114" t="e">
        <f>AVERAGE(H104,H108)</f>
        <v>#REF!</v>
      </c>
      <c r="J110" s="127">
        <f>AVERAGE(J104,J108)</f>
        <v>107520</v>
      </c>
    </row>
    <row r="111" spans="2:10" x14ac:dyDescent="0.25">
      <c r="B111" s="83"/>
      <c r="F111" s="114"/>
      <c r="H111" s="114"/>
      <c r="J111" s="126"/>
    </row>
    <row r="112" spans="2:10" x14ac:dyDescent="0.25">
      <c r="B112" s="88" t="s">
        <v>48</v>
      </c>
      <c r="D112" s="70" t="s">
        <v>113</v>
      </c>
      <c r="F112" s="115">
        <f>+F100/F110</f>
        <v>6.2150544665320023E-2</v>
      </c>
      <c r="G112" s="115">
        <f>+G100/G110</f>
        <v>2.6130770997162562E-2</v>
      </c>
      <c r="H112" s="115" t="e">
        <f>+H100/H110</f>
        <v>#REF!</v>
      </c>
      <c r="J112" s="128">
        <f>+J100/J110</f>
        <v>3.7983630952380949E-2</v>
      </c>
    </row>
    <row r="113" spans="2:10" x14ac:dyDescent="0.25">
      <c r="F113" s="107"/>
      <c r="H113" s="107"/>
      <c r="J113" s="126"/>
    </row>
    <row r="114" spans="2:10" x14ac:dyDescent="0.25">
      <c r="B114" s="98" t="s">
        <v>49</v>
      </c>
      <c r="F114" s="107"/>
      <c r="H114" s="107"/>
      <c r="J114" s="126"/>
    </row>
    <row r="115" spans="2:10" x14ac:dyDescent="0.25">
      <c r="B115" s="83" t="s">
        <v>115</v>
      </c>
      <c r="D115" s="70" t="s">
        <v>116</v>
      </c>
      <c r="F115" s="108">
        <f>+F100</f>
        <v>8525</v>
      </c>
      <c r="G115" s="108">
        <f>+G100</f>
        <v>3074.5580000000004</v>
      </c>
      <c r="H115" s="108" t="e">
        <f>+H100</f>
        <v>#REF!</v>
      </c>
      <c r="J115" s="122">
        <f>+J100</f>
        <v>4084</v>
      </c>
    </row>
    <row r="116" spans="2:10" x14ac:dyDescent="0.25">
      <c r="B116" s="83"/>
      <c r="F116" s="107"/>
      <c r="H116" s="107"/>
      <c r="J116" s="126"/>
    </row>
    <row r="117" spans="2:10" x14ac:dyDescent="0.25">
      <c r="B117" s="83" t="s">
        <v>126</v>
      </c>
      <c r="E117" s="70" t="s">
        <v>118</v>
      </c>
      <c r="F117" s="108">
        <f>+Combined!D12</f>
        <v>173399</v>
      </c>
      <c r="G117" s="108">
        <f>+Combined!E12</f>
        <v>169536.83199999999</v>
      </c>
      <c r="H117" s="108" t="e">
        <f>+Combined!#REF!</f>
        <v>#REF!</v>
      </c>
      <c r="J117" s="122">
        <f>+Combined!F12</f>
        <v>161948</v>
      </c>
    </row>
    <row r="118" spans="2:10" x14ac:dyDescent="0.25">
      <c r="B118" s="83" t="s">
        <v>127</v>
      </c>
      <c r="E118" s="70" t="s">
        <v>118</v>
      </c>
      <c r="F118" s="116" t="e">
        <f>+H117</f>
        <v>#REF!</v>
      </c>
      <c r="G118" s="116">
        <f>+F41</f>
        <v>152870</v>
      </c>
      <c r="H118" s="116">
        <f>+G41</f>
        <v>147559</v>
      </c>
      <c r="J118" s="129">
        <f>+H118</f>
        <v>147559</v>
      </c>
    </row>
    <row r="119" spans="2:10" x14ac:dyDescent="0.25">
      <c r="B119" s="83" t="s">
        <v>128</v>
      </c>
      <c r="E119" s="70" t="s">
        <v>113</v>
      </c>
      <c r="F119" s="108" t="e">
        <f>+F117+F118</f>
        <v>#REF!</v>
      </c>
      <c r="G119" s="108">
        <f>+G117+G118</f>
        <v>322406.83199999999</v>
      </c>
      <c r="H119" s="108" t="e">
        <f>+H117+H118</f>
        <v>#REF!</v>
      </c>
      <c r="J119" s="122">
        <f>+J117+J118</f>
        <v>309507</v>
      </c>
    </row>
    <row r="120" spans="2:10" x14ac:dyDescent="0.25">
      <c r="B120" s="83"/>
      <c r="F120" s="107"/>
      <c r="H120" s="107"/>
      <c r="J120" s="126"/>
    </row>
    <row r="121" spans="2:10" x14ac:dyDescent="0.25">
      <c r="B121" s="88" t="s">
        <v>129</v>
      </c>
      <c r="E121" s="70" t="s">
        <v>113</v>
      </c>
      <c r="F121" s="115" t="e">
        <f>+F115/F119</f>
        <v>#REF!</v>
      </c>
      <c r="G121" s="115">
        <f>+G115/G119</f>
        <v>9.5362681396280111E-3</v>
      </c>
      <c r="H121" s="115" t="e">
        <f>+H115/H119</f>
        <v>#REF!</v>
      </c>
      <c r="J121" s="128">
        <f>+J115/J119</f>
        <v>1.319517813813581E-2</v>
      </c>
    </row>
    <row r="122" spans="2:10" x14ac:dyDescent="0.25">
      <c r="F122" s="107"/>
      <c r="G122" s="107"/>
      <c r="H122" s="107"/>
    </row>
    <row r="123" spans="2:10" x14ac:dyDescent="0.25">
      <c r="F123" s="107"/>
      <c r="G123" s="107"/>
      <c r="H123" s="10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62"/>
  <sheetViews>
    <sheetView tabSelected="1" topLeftCell="A22" zoomScale="80" zoomScaleNormal="80" workbookViewId="0">
      <selection activeCell="N38" sqref="N38"/>
    </sheetView>
  </sheetViews>
  <sheetFormatPr defaultRowHeight="15" x14ac:dyDescent="0.25"/>
  <cols>
    <col min="1" max="1" width="44.140625" bestFit="1" customWidth="1"/>
    <col min="2" max="2" width="0.42578125" customWidth="1"/>
    <col min="3" max="3" width="15.140625" bestFit="1" customWidth="1"/>
    <col min="5" max="12" width="14.5703125" customWidth="1"/>
  </cols>
  <sheetData>
    <row r="3" spans="1:12" x14ac:dyDescent="0.25">
      <c r="A3" t="s">
        <v>95</v>
      </c>
    </row>
    <row r="5" spans="1:12" x14ac:dyDescent="0.25">
      <c r="E5">
        <v>2020</v>
      </c>
      <c r="F5">
        <v>2019</v>
      </c>
      <c r="G5">
        <v>2018</v>
      </c>
      <c r="H5">
        <v>2017</v>
      </c>
      <c r="I5">
        <v>2016</v>
      </c>
      <c r="J5">
        <v>2015</v>
      </c>
      <c r="K5">
        <v>2014</v>
      </c>
      <c r="L5">
        <v>2013</v>
      </c>
    </row>
    <row r="8" spans="1:12" x14ac:dyDescent="0.25">
      <c r="A8" t="s">
        <v>50</v>
      </c>
      <c r="C8" t="s">
        <v>138</v>
      </c>
    </row>
    <row r="9" spans="1:12" x14ac:dyDescent="0.25">
      <c r="A9" t="s">
        <v>139</v>
      </c>
      <c r="E9">
        <v>93.710089999999994</v>
      </c>
      <c r="F9">
        <v>90.314329999999998</v>
      </c>
      <c r="G9">
        <v>84.6999</v>
      </c>
      <c r="H9">
        <v>72.2059</v>
      </c>
      <c r="I9">
        <v>66.248360000000005</v>
      </c>
      <c r="J9">
        <v>56.572470000000003</v>
      </c>
      <c r="K9">
        <v>110.97828999999999</v>
      </c>
      <c r="L9">
        <v>3.9751399999999997</v>
      </c>
    </row>
    <row r="10" spans="1:12" x14ac:dyDescent="0.25">
      <c r="A10" t="s">
        <v>140</v>
      </c>
      <c r="E10" s="8">
        <f>+'Peoples KY'!D12</f>
        <v>2872</v>
      </c>
      <c r="F10" s="8">
        <f>+'Peoples KY'!E12</f>
        <v>2508</v>
      </c>
      <c r="G10" s="8">
        <f>+'Peoples KY'!F12</f>
        <v>2421</v>
      </c>
      <c r="H10" s="8">
        <f>+'Peoples KY'!G12</f>
        <v>2251</v>
      </c>
      <c r="I10" s="8">
        <f>+'Peoples KY'!H12</f>
        <v>2026</v>
      </c>
      <c r="J10" s="8">
        <f>+'Peoples KY'!I12</f>
        <v>1798</v>
      </c>
      <c r="K10" s="8">
        <f>+'Peoples KY'!J12</f>
        <v>1616</v>
      </c>
      <c r="L10" s="8">
        <f>+'Peoples KY'!K12</f>
        <v>1355</v>
      </c>
    </row>
    <row r="11" spans="1:12" x14ac:dyDescent="0.25">
      <c r="E11" s="38">
        <f>ROUND(+E9/E10,3)</f>
        <v>3.3000000000000002E-2</v>
      </c>
      <c r="F11" s="38">
        <f t="shared" ref="F11:L11" si="0">ROUND(+F9/F10,3)</f>
        <v>3.5999999999999997E-2</v>
      </c>
      <c r="G11" s="38">
        <f t="shared" si="0"/>
        <v>3.5000000000000003E-2</v>
      </c>
      <c r="H11" s="38">
        <f t="shared" si="0"/>
        <v>3.2000000000000001E-2</v>
      </c>
      <c r="I11" s="38">
        <f t="shared" si="0"/>
        <v>3.3000000000000002E-2</v>
      </c>
      <c r="J11" s="38">
        <f t="shared" si="0"/>
        <v>3.1E-2</v>
      </c>
      <c r="K11" s="38">
        <f t="shared" si="0"/>
        <v>6.9000000000000006E-2</v>
      </c>
      <c r="L11" s="38">
        <f t="shared" si="0"/>
        <v>3.0000000000000001E-3</v>
      </c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25">
      <c r="A16" s="24" t="s">
        <v>149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4" x14ac:dyDescent="0.25">
      <c r="A17" s="24" t="s">
        <v>130</v>
      </c>
      <c r="B17" s="24"/>
      <c r="C17" s="24"/>
      <c r="D17" s="24"/>
      <c r="E17" s="36">
        <f>+'Peoples KY'!D38</f>
        <v>-823</v>
      </c>
      <c r="F17" s="36">
        <f>+'Peoples KY'!E38</f>
        <v>-801</v>
      </c>
      <c r="G17" s="36">
        <f>+'Peoples KY'!F38</f>
        <v>-937</v>
      </c>
      <c r="H17" s="36">
        <f>+'Peoples KY'!G38</f>
        <v>-741</v>
      </c>
      <c r="I17" s="36">
        <f>+'Peoples KY'!H38</f>
        <v>-615</v>
      </c>
      <c r="J17" s="36">
        <f>+'Peoples KY'!I38</f>
        <v>-469</v>
      </c>
      <c r="K17" s="36">
        <f>+'Peoples KY'!J38</f>
        <v>-298</v>
      </c>
      <c r="L17" s="36">
        <f>+'Peoples KY'!K38</f>
        <v>-32</v>
      </c>
    </row>
    <row r="18" spans="1:14" s="26" customFormat="1" x14ac:dyDescent="0.25">
      <c r="A18" s="57" t="s">
        <v>150</v>
      </c>
      <c r="B18" s="57"/>
      <c r="C18" s="57"/>
      <c r="D18" s="57"/>
      <c r="E18" s="57">
        <v>251</v>
      </c>
      <c r="F18" s="57">
        <v>353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N18" s="26" t="s">
        <v>151</v>
      </c>
    </row>
    <row r="19" spans="1:14" x14ac:dyDescent="0.25">
      <c r="A19" s="24" t="s">
        <v>132</v>
      </c>
      <c r="B19" s="24"/>
      <c r="C19" s="24"/>
      <c r="D19" s="24"/>
      <c r="E19" s="54">
        <f>+E26</f>
        <v>132</v>
      </c>
      <c r="F19" s="54">
        <f t="shared" ref="F19:L19" si="1">+F26</f>
        <v>207</v>
      </c>
      <c r="G19" s="54">
        <f t="shared" si="1"/>
        <v>171</v>
      </c>
      <c r="H19" s="54">
        <f t="shared" si="1"/>
        <v>103</v>
      </c>
      <c r="I19" s="54">
        <f t="shared" si="1"/>
        <v>52</v>
      </c>
      <c r="J19" s="54">
        <f t="shared" si="1"/>
        <v>32</v>
      </c>
      <c r="K19" s="54">
        <f t="shared" si="1"/>
        <v>24</v>
      </c>
      <c r="L19" s="54">
        <f t="shared" si="1"/>
        <v>0</v>
      </c>
    </row>
    <row r="20" spans="1:14" x14ac:dyDescent="0.25">
      <c r="A20" s="24" t="s">
        <v>152</v>
      </c>
      <c r="B20" s="24"/>
      <c r="C20" s="24"/>
      <c r="D20" s="24"/>
      <c r="E20" s="36">
        <f>SUM(E17:E19)</f>
        <v>-440</v>
      </c>
      <c r="F20" s="36">
        <f t="shared" ref="F20:L20" si="2">SUM(F17:F19)</f>
        <v>-241</v>
      </c>
      <c r="G20" s="36">
        <f t="shared" si="2"/>
        <v>-766</v>
      </c>
      <c r="H20" s="36">
        <f t="shared" si="2"/>
        <v>-638</v>
      </c>
      <c r="I20" s="36">
        <f t="shared" si="2"/>
        <v>-563</v>
      </c>
      <c r="J20" s="36">
        <f t="shared" si="2"/>
        <v>-437</v>
      </c>
      <c r="K20" s="36">
        <f t="shared" si="2"/>
        <v>-274</v>
      </c>
      <c r="L20" s="36">
        <f t="shared" si="2"/>
        <v>-32</v>
      </c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4" x14ac:dyDescent="0.25">
      <c r="A22" s="24" t="s">
        <v>132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4" x14ac:dyDescent="0.25">
      <c r="A23" s="24" t="s">
        <v>153</v>
      </c>
      <c r="B23" s="24"/>
      <c r="C23" s="24"/>
      <c r="D23" s="24"/>
      <c r="E23" s="58">
        <f>+'Peoples KY'!D36</f>
        <v>114</v>
      </c>
      <c r="F23" s="58">
        <f>+'Peoples KY'!E36</f>
        <v>200</v>
      </c>
      <c r="G23" s="58">
        <f>+'Peoples KY'!F36</f>
        <v>164</v>
      </c>
      <c r="H23" s="58">
        <f>+'Peoples KY'!G36</f>
        <v>99</v>
      </c>
      <c r="I23" s="58">
        <f>+'Peoples KY'!H36</f>
        <v>52</v>
      </c>
      <c r="J23" s="58">
        <f>+'Peoples KY'!I36</f>
        <v>32</v>
      </c>
      <c r="K23" s="58">
        <f>+'Peoples KY'!J36</f>
        <v>24</v>
      </c>
      <c r="L23" s="24">
        <v>0</v>
      </c>
    </row>
    <row r="24" spans="1:14" x14ac:dyDescent="0.25">
      <c r="A24" s="24" t="s">
        <v>134</v>
      </c>
      <c r="B24" s="24"/>
      <c r="C24" s="24"/>
      <c r="D24" s="24"/>
      <c r="E24" s="24">
        <v>18</v>
      </c>
      <c r="F24" s="24">
        <v>7</v>
      </c>
      <c r="G24" s="24">
        <v>7</v>
      </c>
      <c r="H24" s="24">
        <v>4</v>
      </c>
      <c r="I24" s="24">
        <v>0</v>
      </c>
      <c r="J24" s="57">
        <v>0</v>
      </c>
      <c r="K24" s="57">
        <v>0</v>
      </c>
      <c r="L24" s="24">
        <v>0</v>
      </c>
    </row>
    <row r="25" spans="1:14" x14ac:dyDescent="0.25">
      <c r="A25" s="24" t="s">
        <v>154</v>
      </c>
      <c r="B25" s="24"/>
      <c r="C25" s="24"/>
      <c r="D25" s="24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</row>
    <row r="26" spans="1:14" x14ac:dyDescent="0.25">
      <c r="A26" s="24" t="s">
        <v>152</v>
      </c>
      <c r="B26" s="24"/>
      <c r="C26" s="24"/>
      <c r="D26" s="24"/>
      <c r="E26" s="59">
        <f>SUM(E23:E25)</f>
        <v>132</v>
      </c>
      <c r="F26" s="59">
        <f t="shared" ref="F26:L26" si="3">SUM(F23:F25)</f>
        <v>207</v>
      </c>
      <c r="G26" s="59">
        <f t="shared" si="3"/>
        <v>171</v>
      </c>
      <c r="H26" s="59">
        <f t="shared" si="3"/>
        <v>103</v>
      </c>
      <c r="I26" s="59">
        <f t="shared" si="3"/>
        <v>52</v>
      </c>
      <c r="J26" s="59">
        <f t="shared" si="3"/>
        <v>32</v>
      </c>
      <c r="K26" s="59">
        <f t="shared" si="3"/>
        <v>24</v>
      </c>
      <c r="L26" s="59">
        <f t="shared" si="3"/>
        <v>0</v>
      </c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4" x14ac:dyDescent="0.25">
      <c r="A28" s="24" t="s">
        <v>137</v>
      </c>
      <c r="B28" s="24"/>
      <c r="C28" s="24"/>
      <c r="D28" s="24"/>
      <c r="E28" s="60">
        <f>+E20/E26</f>
        <v>-3.3333333333333335</v>
      </c>
      <c r="F28" s="60">
        <f t="shared" ref="F28:L28" si="4">+F20/F26</f>
        <v>-1.1642512077294687</v>
      </c>
      <c r="G28" s="60">
        <f t="shared" si="4"/>
        <v>-4.4795321637426904</v>
      </c>
      <c r="H28" s="60">
        <f t="shared" si="4"/>
        <v>-6.1941747572815533</v>
      </c>
      <c r="I28" s="60">
        <f t="shared" si="4"/>
        <v>-10.826923076923077</v>
      </c>
      <c r="J28" s="60">
        <f t="shared" si="4"/>
        <v>-13.65625</v>
      </c>
      <c r="K28" s="60">
        <f t="shared" si="4"/>
        <v>-11.416666666666666</v>
      </c>
      <c r="L28" s="60" t="e">
        <f t="shared" si="4"/>
        <v>#DIV/0!</v>
      </c>
    </row>
    <row r="31" spans="1:14" x14ac:dyDescent="0.25">
      <c r="A31" s="33" t="s">
        <v>47</v>
      </c>
      <c r="E31" s="6">
        <f>+'Peoples KY'!D38</f>
        <v>-823</v>
      </c>
      <c r="F31" s="6">
        <f>+'Peoples KY'!E38</f>
        <v>-801</v>
      </c>
      <c r="G31" s="6">
        <f>+'Peoples KY'!F38</f>
        <v>-937</v>
      </c>
      <c r="H31" s="6">
        <f>+'Peoples KY'!G38</f>
        <v>-741</v>
      </c>
      <c r="I31" s="6">
        <f>+'Peoples KY'!H38</f>
        <v>-615</v>
      </c>
      <c r="J31" s="6">
        <f>+'Peoples KY'!I38</f>
        <v>-469</v>
      </c>
      <c r="K31" s="6">
        <f>+'Peoples KY'!J38</f>
        <v>-298</v>
      </c>
      <c r="L31" s="6">
        <f>+'Peoples KY'!K38</f>
        <v>-32</v>
      </c>
    </row>
    <row r="32" spans="1:14" x14ac:dyDescent="0.25">
      <c r="A32" s="34" t="s">
        <v>115</v>
      </c>
    </row>
    <row r="33" spans="1:14" x14ac:dyDescent="0.25">
      <c r="A33" s="34"/>
    </row>
    <row r="34" spans="1:14" x14ac:dyDescent="0.25">
      <c r="A34" s="34" t="s">
        <v>117</v>
      </c>
      <c r="E34" s="8">
        <f>+'Peoples KY'!D24</f>
        <v>1140</v>
      </c>
      <c r="F34" s="8">
        <f>+'Peoples KY'!E24</f>
        <v>-3834</v>
      </c>
      <c r="G34" s="8">
        <f>+'Peoples KY'!F24</f>
        <v>-3040</v>
      </c>
      <c r="H34" s="8">
        <f>+'Peoples KY'!G24</f>
        <v>-2089</v>
      </c>
      <c r="I34" s="8">
        <f>+'Peoples KY'!H24</f>
        <v>-1350</v>
      </c>
      <c r="J34" s="8">
        <f>+'Peoples KY'!I24</f>
        <v>-702</v>
      </c>
      <c r="K34" s="8">
        <f>+'Peoples KY'!J24</f>
        <v>-338</v>
      </c>
      <c r="L34" s="8">
        <f>+'Peoples KY'!K24</f>
        <v>66</v>
      </c>
    </row>
    <row r="35" spans="1:14" x14ac:dyDescent="0.25">
      <c r="A35" s="34" t="s">
        <v>119</v>
      </c>
      <c r="E35" s="53">
        <f>+'Peoples KY'!E24</f>
        <v>-3834</v>
      </c>
      <c r="F35" s="53">
        <f>+'Peoples KY'!F24</f>
        <v>-3040</v>
      </c>
      <c r="G35" s="53">
        <f>+'Peoples KY'!G24</f>
        <v>-2089</v>
      </c>
      <c r="H35" s="53">
        <f>+'Peoples KY'!H24</f>
        <v>-1350</v>
      </c>
      <c r="I35" s="53">
        <f>+'Peoples KY'!I24</f>
        <v>-702</v>
      </c>
      <c r="J35" s="53">
        <f>+'Peoples KY'!J24</f>
        <v>-338</v>
      </c>
      <c r="K35" s="53">
        <f>+'Peoples KY'!K24</f>
        <v>66</v>
      </c>
      <c r="L35" s="54"/>
    </row>
    <row r="36" spans="1:14" x14ac:dyDescent="0.25">
      <c r="A36" s="34" t="s">
        <v>120</v>
      </c>
      <c r="E36" s="8">
        <f>AVERAGE(E34:E35)</f>
        <v>-1347</v>
      </c>
      <c r="F36" s="8">
        <f t="shared" ref="F36:L36" si="5">AVERAGE(F34:F35)</f>
        <v>-3437</v>
      </c>
      <c r="G36" s="8">
        <f t="shared" si="5"/>
        <v>-2564.5</v>
      </c>
      <c r="H36" s="8">
        <f t="shared" si="5"/>
        <v>-1719.5</v>
      </c>
      <c r="I36" s="8">
        <f t="shared" si="5"/>
        <v>-1026</v>
      </c>
      <c r="J36" s="8">
        <f t="shared" si="5"/>
        <v>-520</v>
      </c>
      <c r="K36" s="8">
        <f t="shared" si="5"/>
        <v>-136</v>
      </c>
      <c r="L36" s="8">
        <f t="shared" si="5"/>
        <v>66</v>
      </c>
    </row>
    <row r="37" spans="1:14" x14ac:dyDescent="0.25">
      <c r="A37" s="34"/>
    </row>
    <row r="38" spans="1:14" x14ac:dyDescent="0.25">
      <c r="A38" s="35" t="s">
        <v>47</v>
      </c>
      <c r="E38" s="51">
        <f>+E31/E36</f>
        <v>0.61098737936154413</v>
      </c>
      <c r="F38" s="51">
        <f t="shared" ref="F38:L38" si="6">+F31/F36</f>
        <v>0.23305208030258948</v>
      </c>
      <c r="G38" s="51">
        <f t="shared" si="6"/>
        <v>0.36537336712809515</v>
      </c>
      <c r="H38" s="51">
        <f t="shared" si="6"/>
        <v>0.43093922651933703</v>
      </c>
      <c r="I38" s="51">
        <f t="shared" si="6"/>
        <v>0.59941520467836262</v>
      </c>
      <c r="J38" s="51">
        <f t="shared" si="6"/>
        <v>0.90192307692307694</v>
      </c>
      <c r="K38" s="51">
        <f t="shared" si="6"/>
        <v>2.1911764705882355</v>
      </c>
      <c r="L38" s="51">
        <f t="shared" si="6"/>
        <v>-0.48484848484848486</v>
      </c>
      <c r="N38" t="s">
        <v>155</v>
      </c>
    </row>
    <row r="39" spans="1:14" x14ac:dyDescent="0.25">
      <c r="N39" t="s">
        <v>156</v>
      </c>
    </row>
    <row r="40" spans="1:14" x14ac:dyDescent="0.25">
      <c r="A40" s="33" t="s">
        <v>48</v>
      </c>
    </row>
    <row r="41" spans="1:14" x14ac:dyDescent="0.25">
      <c r="A41" s="34" t="s">
        <v>115</v>
      </c>
      <c r="E41" s="6">
        <f>+'Peoples KY'!D38</f>
        <v>-823</v>
      </c>
      <c r="F41" s="6">
        <f>+'Peoples KY'!E38</f>
        <v>-801</v>
      </c>
      <c r="G41" s="6">
        <f>+'Peoples KY'!F38</f>
        <v>-937</v>
      </c>
      <c r="H41" s="6">
        <f>+'Peoples KY'!G38</f>
        <v>-741</v>
      </c>
      <c r="I41" s="6">
        <f>+'Peoples KY'!H38</f>
        <v>-615</v>
      </c>
      <c r="J41" s="6">
        <f>+'Peoples KY'!I38</f>
        <v>-469</v>
      </c>
      <c r="K41" s="6">
        <f>+'Peoples KY'!J38</f>
        <v>-298</v>
      </c>
      <c r="L41" s="6">
        <f>+'Peoples KY'!K38</f>
        <v>-32</v>
      </c>
    </row>
    <row r="42" spans="1:14" x14ac:dyDescent="0.25">
      <c r="A42" s="34"/>
    </row>
    <row r="43" spans="1:14" x14ac:dyDescent="0.25">
      <c r="A43" s="34" t="s">
        <v>117</v>
      </c>
      <c r="E43" s="8">
        <f>+'Peoples KY'!D24</f>
        <v>1140</v>
      </c>
      <c r="F43" s="8">
        <f>+'Peoples KY'!E24</f>
        <v>-3834</v>
      </c>
      <c r="G43" s="8">
        <f>+'Peoples KY'!F24</f>
        <v>-3040</v>
      </c>
      <c r="H43" s="8">
        <f>+'Peoples KY'!G24</f>
        <v>-2089</v>
      </c>
      <c r="I43" s="8">
        <f>+'Peoples KY'!H24</f>
        <v>-1350</v>
      </c>
      <c r="J43" s="8">
        <f>+'Peoples KY'!I24</f>
        <v>-702</v>
      </c>
      <c r="K43" s="8">
        <f>+'Peoples KY'!J24</f>
        <v>-338</v>
      </c>
      <c r="L43" s="8">
        <f>+'Peoples KY'!K24</f>
        <v>66</v>
      </c>
    </row>
    <row r="44" spans="1:14" x14ac:dyDescent="0.25">
      <c r="A44" s="34" t="s">
        <v>121</v>
      </c>
      <c r="E44" s="53">
        <f>+'Peoples KY'!D23</f>
        <v>319</v>
      </c>
      <c r="F44" s="53">
        <f>+'Peoples KY'!E23</f>
        <v>319</v>
      </c>
      <c r="G44" s="53">
        <f>+'Peoples KY'!F23</f>
        <v>319</v>
      </c>
      <c r="H44" s="53">
        <f>+'Peoples KY'!G23</f>
        <v>319</v>
      </c>
      <c r="I44" s="53">
        <f>+'Peoples KY'!H23</f>
        <v>319</v>
      </c>
      <c r="J44" s="53">
        <f>+'Peoples KY'!I23</f>
        <v>500</v>
      </c>
      <c r="K44" s="53">
        <f>+'Peoples KY'!J23</f>
        <v>500</v>
      </c>
      <c r="L44" s="53">
        <f>+'Peoples KY'!K23</f>
        <v>500</v>
      </c>
    </row>
    <row r="45" spans="1:14" x14ac:dyDescent="0.25">
      <c r="A45" s="35" t="s">
        <v>122</v>
      </c>
      <c r="E45" s="5">
        <f>+E43+E44</f>
        <v>1459</v>
      </c>
      <c r="F45" s="5">
        <f t="shared" ref="F45:L45" si="7">+F43+F44</f>
        <v>-3515</v>
      </c>
      <c r="G45" s="5">
        <f t="shared" si="7"/>
        <v>-2721</v>
      </c>
      <c r="H45" s="5">
        <f t="shared" si="7"/>
        <v>-1770</v>
      </c>
      <c r="I45" s="5">
        <f t="shared" si="7"/>
        <v>-1031</v>
      </c>
      <c r="J45" s="5">
        <f t="shared" si="7"/>
        <v>-202</v>
      </c>
      <c r="K45" s="5">
        <f t="shared" si="7"/>
        <v>162</v>
      </c>
      <c r="L45" s="5">
        <f t="shared" si="7"/>
        <v>566</v>
      </c>
    </row>
    <row r="46" spans="1:14" x14ac:dyDescent="0.25">
      <c r="A46" s="35"/>
    </row>
    <row r="47" spans="1:14" x14ac:dyDescent="0.25">
      <c r="A47" s="34" t="s">
        <v>119</v>
      </c>
      <c r="E47" s="8">
        <f>+'Peoples KY'!E24</f>
        <v>-3834</v>
      </c>
      <c r="F47" s="8">
        <f>+'Peoples KY'!F24</f>
        <v>-3040</v>
      </c>
      <c r="G47" s="8">
        <f>+'Peoples KY'!G24</f>
        <v>-2089</v>
      </c>
      <c r="H47" s="8">
        <f>+'Peoples KY'!H24</f>
        <v>-1350</v>
      </c>
      <c r="I47" s="8">
        <f>+'Peoples KY'!I24</f>
        <v>-702</v>
      </c>
      <c r="J47" s="8">
        <f>+'Peoples KY'!J24</f>
        <v>-338</v>
      </c>
      <c r="K47" s="8">
        <f>+'Peoples KY'!K24</f>
        <v>66</v>
      </c>
      <c r="L47" s="8">
        <f>+'Peoples KY'!L24</f>
        <v>0</v>
      </c>
    </row>
    <row r="48" spans="1:14" x14ac:dyDescent="0.25">
      <c r="A48" s="34" t="s">
        <v>123</v>
      </c>
      <c r="E48" s="53">
        <f>+'Peoples KY'!E23</f>
        <v>319</v>
      </c>
      <c r="F48" s="53">
        <f>+'Peoples KY'!F23</f>
        <v>319</v>
      </c>
      <c r="G48" s="53">
        <f>+'Peoples KY'!G23</f>
        <v>319</v>
      </c>
      <c r="H48" s="53">
        <f>+'Peoples KY'!H23</f>
        <v>319</v>
      </c>
      <c r="I48" s="53">
        <f>+'Peoples KY'!I23</f>
        <v>500</v>
      </c>
      <c r="J48" s="53">
        <f>+'Peoples KY'!J23</f>
        <v>500</v>
      </c>
      <c r="K48" s="53">
        <f>+'Peoples KY'!K23</f>
        <v>500</v>
      </c>
      <c r="L48" s="53">
        <f>+'Peoples KY'!L23</f>
        <v>0</v>
      </c>
    </row>
    <row r="49" spans="1:14" x14ac:dyDescent="0.25">
      <c r="A49" s="35" t="s">
        <v>124</v>
      </c>
      <c r="E49" s="5">
        <f>+E47+E48</f>
        <v>-3515</v>
      </c>
      <c r="F49" s="5">
        <f t="shared" ref="F49:L49" si="8">+F47+F48</f>
        <v>-2721</v>
      </c>
      <c r="G49" s="5">
        <f t="shared" si="8"/>
        <v>-1770</v>
      </c>
      <c r="H49" s="5">
        <f t="shared" si="8"/>
        <v>-1031</v>
      </c>
      <c r="I49" s="5">
        <f t="shared" si="8"/>
        <v>-202</v>
      </c>
      <c r="J49" s="5">
        <f t="shared" si="8"/>
        <v>162</v>
      </c>
      <c r="K49" s="5">
        <f t="shared" si="8"/>
        <v>566</v>
      </c>
      <c r="L49" s="5">
        <f t="shared" si="8"/>
        <v>0</v>
      </c>
    </row>
    <row r="50" spans="1:14" x14ac:dyDescent="0.25">
      <c r="A50" s="35"/>
    </row>
    <row r="51" spans="1:14" x14ac:dyDescent="0.25">
      <c r="A51" s="34" t="s">
        <v>125</v>
      </c>
      <c r="E51" s="56">
        <f>AVERAGE(E45,E49)</f>
        <v>-1028</v>
      </c>
      <c r="F51" s="56">
        <f t="shared" ref="F51:L51" si="9">AVERAGE(F45,F49)</f>
        <v>-3118</v>
      </c>
      <c r="G51" s="56">
        <f t="shared" si="9"/>
        <v>-2245.5</v>
      </c>
      <c r="H51" s="56">
        <f t="shared" si="9"/>
        <v>-1400.5</v>
      </c>
      <c r="I51" s="56">
        <f t="shared" si="9"/>
        <v>-616.5</v>
      </c>
      <c r="J51" s="56">
        <f t="shared" si="9"/>
        <v>-20</v>
      </c>
      <c r="K51" s="56">
        <f t="shared" si="9"/>
        <v>364</v>
      </c>
      <c r="L51" s="56">
        <f t="shared" si="9"/>
        <v>283</v>
      </c>
    </row>
    <row r="52" spans="1:14" x14ac:dyDescent="0.25">
      <c r="A52" s="34"/>
      <c r="E52" s="56"/>
      <c r="F52" s="56"/>
      <c r="G52" s="56"/>
      <c r="H52" s="56"/>
      <c r="I52" s="56"/>
      <c r="J52" s="56"/>
      <c r="K52" s="56"/>
      <c r="L52" s="56"/>
    </row>
    <row r="53" spans="1:14" x14ac:dyDescent="0.25">
      <c r="A53" s="35" t="s">
        <v>48</v>
      </c>
      <c r="E53" s="51">
        <f>+E41/E51</f>
        <v>0.80058365758754868</v>
      </c>
      <c r="F53" s="51">
        <f t="shared" ref="F53:L53" si="10">+F41/F51</f>
        <v>0.25689544579858886</v>
      </c>
      <c r="G53" s="51">
        <f t="shared" si="10"/>
        <v>0.41727900244934313</v>
      </c>
      <c r="H53" s="51">
        <f t="shared" si="10"/>
        <v>0.52909675116029986</v>
      </c>
      <c r="I53" s="51">
        <f t="shared" si="10"/>
        <v>0.9975669099756691</v>
      </c>
      <c r="J53" s="51">
        <f t="shared" si="10"/>
        <v>23.45</v>
      </c>
      <c r="K53" s="51">
        <f t="shared" si="10"/>
        <v>-0.81868131868131866</v>
      </c>
      <c r="L53" s="51">
        <f t="shared" si="10"/>
        <v>-0.11307420494699646</v>
      </c>
      <c r="N53" t="s">
        <v>155</v>
      </c>
    </row>
    <row r="54" spans="1:14" x14ac:dyDescent="0.25">
      <c r="E54" s="51"/>
      <c r="F54" s="51"/>
      <c r="G54" s="51"/>
      <c r="H54" s="51"/>
      <c r="I54" s="51"/>
      <c r="J54" s="51"/>
      <c r="K54" s="51"/>
      <c r="L54" s="51"/>
      <c r="N54" t="s">
        <v>156</v>
      </c>
    </row>
    <row r="55" spans="1:14" x14ac:dyDescent="0.25">
      <c r="A55" s="37" t="s">
        <v>49</v>
      </c>
    </row>
    <row r="56" spans="1:14" x14ac:dyDescent="0.25">
      <c r="A56" s="34" t="s">
        <v>115</v>
      </c>
      <c r="E56" s="6">
        <f>+'Peoples KY'!D38</f>
        <v>-823</v>
      </c>
      <c r="F56" s="6">
        <f>+'Peoples KY'!E38</f>
        <v>-801</v>
      </c>
      <c r="G56" s="6">
        <f>+'Peoples KY'!F38</f>
        <v>-937</v>
      </c>
      <c r="H56" s="6">
        <f>+'Peoples KY'!G38</f>
        <v>-741</v>
      </c>
      <c r="I56" s="6">
        <f>+'Peoples KY'!H38</f>
        <v>-615</v>
      </c>
      <c r="J56" s="6">
        <f>+'Peoples KY'!I38</f>
        <v>-469</v>
      </c>
      <c r="K56" s="6">
        <f>+'Peoples KY'!J38</f>
        <v>-298</v>
      </c>
      <c r="L56" s="6">
        <f>+'Peoples KY'!K38</f>
        <v>-32</v>
      </c>
    </row>
    <row r="57" spans="1:14" x14ac:dyDescent="0.25">
      <c r="A57" s="34"/>
    </row>
    <row r="58" spans="1:14" x14ac:dyDescent="0.25">
      <c r="A58" s="34" t="s">
        <v>126</v>
      </c>
      <c r="E58" s="8">
        <f>+'Peoples KY'!D14</f>
        <v>2024</v>
      </c>
      <c r="F58" s="8">
        <f>+'Peoples KY'!E14</f>
        <v>1776</v>
      </c>
      <c r="G58" s="8">
        <f>+'Peoples KY'!F14</f>
        <v>1725</v>
      </c>
      <c r="H58" s="8">
        <f>+'Peoples KY'!G14</f>
        <v>1643</v>
      </c>
      <c r="I58" s="8">
        <f>+'Peoples KY'!H14</f>
        <v>1363</v>
      </c>
      <c r="J58" s="8">
        <f>+'Peoples KY'!I14</f>
        <v>1073</v>
      </c>
      <c r="K58" s="8">
        <f>+'Peoples KY'!J14</f>
        <v>948</v>
      </c>
      <c r="L58" s="8">
        <f>+'Peoples KY'!K14</f>
        <v>767</v>
      </c>
    </row>
    <row r="59" spans="1:14" x14ac:dyDescent="0.25">
      <c r="A59" s="34" t="s">
        <v>127</v>
      </c>
      <c r="E59" s="53">
        <f>+F58</f>
        <v>1776</v>
      </c>
      <c r="F59" s="53">
        <f t="shared" ref="F59:L59" si="11">+G58</f>
        <v>1725</v>
      </c>
      <c r="G59" s="53">
        <f t="shared" si="11"/>
        <v>1643</v>
      </c>
      <c r="H59" s="53">
        <f t="shared" si="11"/>
        <v>1363</v>
      </c>
      <c r="I59" s="53">
        <f t="shared" si="11"/>
        <v>1073</v>
      </c>
      <c r="J59" s="53">
        <f t="shared" si="11"/>
        <v>948</v>
      </c>
      <c r="K59" s="53">
        <f t="shared" si="11"/>
        <v>767</v>
      </c>
      <c r="L59" s="53">
        <f t="shared" si="11"/>
        <v>0</v>
      </c>
    </row>
    <row r="60" spans="1:14" x14ac:dyDescent="0.25">
      <c r="A60" s="34" t="s">
        <v>128</v>
      </c>
      <c r="E60" s="8">
        <f>AVERAGE(E58:E59)</f>
        <v>1900</v>
      </c>
      <c r="F60" s="8">
        <f t="shared" ref="F60:L60" si="12">AVERAGE(F58:F59)</f>
        <v>1750.5</v>
      </c>
      <c r="G60" s="8">
        <f t="shared" si="12"/>
        <v>1684</v>
      </c>
      <c r="H60" s="8">
        <f t="shared" si="12"/>
        <v>1503</v>
      </c>
      <c r="I60" s="8">
        <f t="shared" si="12"/>
        <v>1218</v>
      </c>
      <c r="J60" s="8">
        <f t="shared" si="12"/>
        <v>1010.5</v>
      </c>
      <c r="K60" s="8">
        <f t="shared" si="12"/>
        <v>857.5</v>
      </c>
      <c r="L60" s="8">
        <f t="shared" si="12"/>
        <v>383.5</v>
      </c>
    </row>
    <row r="61" spans="1:14" x14ac:dyDescent="0.25">
      <c r="A61" s="34"/>
    </row>
    <row r="62" spans="1:14" x14ac:dyDescent="0.25">
      <c r="A62" s="35" t="s">
        <v>129</v>
      </c>
      <c r="E62" s="51">
        <f>+E56/E60</f>
        <v>-0.43315789473684213</v>
      </c>
      <c r="F62" s="51">
        <f t="shared" ref="F62:L62" si="13">+F56/F60</f>
        <v>-0.45758354755784064</v>
      </c>
      <c r="G62" s="51">
        <f t="shared" si="13"/>
        <v>-0.55641330166270786</v>
      </c>
      <c r="H62" s="51">
        <f t="shared" si="13"/>
        <v>-0.49301397205588821</v>
      </c>
      <c r="I62" s="51">
        <f t="shared" si="13"/>
        <v>-0.50492610837438423</v>
      </c>
      <c r="J62" s="51">
        <f t="shared" si="13"/>
        <v>-0.46412666996536367</v>
      </c>
      <c r="K62" s="51">
        <f t="shared" si="13"/>
        <v>-0.34752186588921286</v>
      </c>
      <c r="L62" s="51">
        <f t="shared" si="13"/>
        <v>-8.344198174706649E-2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Combined</vt:lpstr>
      <vt:lpstr>Delta</vt:lpstr>
      <vt:lpstr>Peoples KY</vt:lpstr>
      <vt:lpstr>SUPPORT-Delta Calculations</vt:lpstr>
      <vt:lpstr>SUPPORT-Peoples Calcs</vt:lpstr>
      <vt:lpstr>Combined!Print_Area</vt:lpstr>
      <vt:lpstr>Delta!Print_Area</vt:lpstr>
      <vt:lpstr>'Peoples KY'!Print_Area</vt:lpstr>
      <vt:lpstr>Delta!Print_Titles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2021-06-11T16:49:39Z</dcterms:created>
  <dcterms:modified xsi:type="dcterms:W3CDTF">2021-10-14T13:03:17Z</dcterms:modified>
  <cp:category/>
  <cp:contentStatus/>
</cp:coreProperties>
</file>